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ink/ink1.xml" ContentType="application/inkml+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tavan\OneDrive\Documentos\"/>
    </mc:Choice>
  </mc:AlternateContent>
  <xr:revisionPtr revIDLastSave="0" documentId="13_ncr:1_{34FD4DD3-EF51-42D0-BA6B-A718B150F07B}" xr6:coauthVersionLast="47" xr6:coauthVersionMax="47" xr10:uidLastSave="{00000000-0000-0000-0000-000000000000}"/>
  <bookViews>
    <workbookView xWindow="-108" yWindow="-108" windowWidth="23256" windowHeight="12456" tabRatio="660" firstSheet="34" activeTab="36" xr2:uid="{CD297304-8D51-47B9-B31B-C8F6FFE17B0D}"/>
  </bookViews>
  <sheets>
    <sheet name="Aluminum" sheetId="1" r:id="rId1"/>
    <sheet name="Market" sheetId="3" r:id="rId2"/>
    <sheet name="EcoInvent" sheetId="5" r:id="rId3"/>
    <sheet name="LCA" sheetId="9" r:id="rId4"/>
    <sheet name="Bauxite Mining" sheetId="29" r:id="rId5"/>
    <sheet name="Pitch Production" sheetId="30" r:id="rId6"/>
    <sheet name="Coke Production" sheetId="31" r:id="rId7"/>
    <sheet name="Fluosilic Acid Production" sheetId="32" r:id="rId8"/>
    <sheet name="Hydrofluoric Acid Production" sheetId="33" r:id="rId9"/>
    <sheet name="Caustic Soda Production" sheetId="34" r:id="rId10"/>
    <sheet name="Anode Production (Prebaked)" sheetId="35" r:id="rId11"/>
    <sheet name="Anode Production (Paste)" sheetId="36" r:id="rId12"/>
    <sheet name="Cryolite Production (HF)" sheetId="37" r:id="rId13"/>
    <sheet name="Cryolite Production (H2SiF6)" sheetId="38" r:id="rId14"/>
    <sheet name="Aluminum Fluoride Production" sheetId="39" r:id="rId15"/>
    <sheet name="Calcination" sheetId="40" r:id="rId16"/>
    <sheet name="Bayer Process" sheetId="41" r:id="rId17"/>
    <sheet name="Electrolysis (Prebaked)" sheetId="42" r:id="rId18"/>
    <sheet name="Electrolysis (Söderberg)" sheetId="43" r:id="rId19"/>
    <sheet name="Cast Alloy Market" sheetId="44" r:id="rId20"/>
    <sheet name="Wrought Alloy Market" sheetId="45" r:id="rId21"/>
    <sheet name="Aluminum Casting" sheetId="53" r:id="rId22"/>
    <sheet name="Hot and Cold Rolling" sheetId="54" r:id="rId23"/>
    <sheet name="Extrusion" sheetId="55" r:id="rId24"/>
    <sheet name="Stamping" sheetId="56" r:id="rId25"/>
    <sheet name="Drilling" sheetId="47" r:id="rId26"/>
    <sheet name="Milling" sheetId="48" r:id="rId27"/>
    <sheet name="Turning" sheetId="49" r:id="rId28"/>
    <sheet name="Welding" sheetId="50" r:id="rId29"/>
    <sheet name="Powder Coating" sheetId="57" r:id="rId30"/>
    <sheet name="LCI" sheetId="64" r:id="rId31"/>
    <sheet name="LCI - Comparação" sheetId="67" r:id="rId32"/>
    <sheet name="LCI - Simapro" sheetId="63" r:id="rId33"/>
    <sheet name="Emissão - Simapro" sheetId="68" r:id="rId34"/>
    <sheet name="FE - Aluminum" sheetId="26" r:id="rId35"/>
    <sheet name="Fluxograma" sheetId="27" r:id="rId36"/>
    <sheet name="Imagem" sheetId="69" r:id="rId37"/>
    <sheet name="FE - ACV Aluminum" sheetId="60" r:id="rId38"/>
    <sheet name="Gráfico" sheetId="62" r:id="rId39"/>
    <sheet name="Fluxograma Ecoinvent" sheetId="28" r:id="rId40"/>
    <sheet name="Parâmetros  Indústria Alumínio" sheetId="61" r:id="rId41"/>
    <sheet name="Ecoinvent Processes" sheetId="52" r:id="rId42"/>
    <sheet name="Resultados" sheetId="58" r:id="rId43"/>
    <sheet name="Frete" sheetId="59" r:id="rId44"/>
    <sheet name="W.AL - GREET" sheetId="22" r:id="rId45"/>
    <sheet name="C.AL - GREET" sheetId="25" r:id="rId46"/>
    <sheet name="Outros - GREET" sheetId="13" r:id="rId47"/>
  </sheets>
  <externalReferences>
    <externalReference r:id="rId48"/>
    <externalReference r:id="rId49"/>
  </externalReferences>
  <definedNames>
    <definedName name="_xlnm._FilterDatabase" localSheetId="37" hidden="1">'FE - ACV Aluminum'!$CP$29:$CP$133</definedName>
    <definedName name="_xlnm._FilterDatabase" localSheetId="34" hidden="1">'FE - Aluminum'!$A$10:$EJ$54</definedName>
    <definedName name="_xlnm._FilterDatabase" localSheetId="30" hidden="1">LCI!$C$3:$BW$40</definedName>
    <definedName name="Bat_spec_energy">[1]Vehi_Inputs!#REF!</definedName>
    <definedName name="GREET2_HDPE">#REF!</definedName>
    <definedName name="GREET2_LDPE">#REF!</definedName>
    <definedName name="kWh2mmBTU">[2]Fuel_Specs!$F$209</definedName>
    <definedName name="mmBTU2kWh">[2]Fuel_Specs!$H$207</definedName>
    <definedName name="NMC811_energy">[1]Other_Cathodes!$AI$71</definedName>
    <definedName name="NMC811_pre_energy">[1]Other_Cathodes!$AF$71</definedName>
    <definedName name="T2kg">[2]Fuel_Specs!$F$190</definedName>
  </definedNames>
  <calcPr calcId="191029"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41" i="26" l="1"/>
  <c r="BG42" i="26"/>
  <c r="DQ105" i="60"/>
  <c r="DQ57" i="60"/>
  <c r="O276" i="63"/>
  <c r="DO105" i="60"/>
  <c r="DO57" i="60"/>
  <c r="O282" i="63"/>
  <c r="B94" i="63"/>
  <c r="A94" i="63"/>
  <c r="CN30" i="60"/>
  <c r="DO12" i="26" s="1"/>
  <c r="I12" i="26" s="1"/>
  <c r="O284" i="63"/>
  <c r="O283" i="63"/>
  <c r="O281" i="63"/>
  <c r="O277" i="63"/>
  <c r="O265" i="63"/>
  <c r="O264" i="63"/>
  <c r="O253" i="63"/>
  <c r="O252" i="63"/>
  <c r="CN118" i="60"/>
  <c r="DW42" i="26" s="1"/>
  <c r="CN40" i="60"/>
  <c r="DO41" i="26" s="1"/>
  <c r="CN62" i="60"/>
  <c r="DP41" i="26" s="1"/>
  <c r="CL62" i="60" s="1"/>
  <c r="CN41" i="60"/>
  <c r="DO42" i="26" s="1"/>
  <c r="O42" i="26" s="1"/>
  <c r="CN63" i="60"/>
  <c r="DP42" i="26" s="1"/>
  <c r="CL63" i="60" s="1"/>
  <c r="AE4" i="64"/>
  <c r="AF4" i="64"/>
  <c r="AE5" i="64"/>
  <c r="AF5" i="64"/>
  <c r="AE6" i="64"/>
  <c r="AF6" i="64"/>
  <c r="AE7" i="64"/>
  <c r="AF7" i="64"/>
  <c r="AE8" i="64"/>
  <c r="AF8" i="64"/>
  <c r="AE9" i="64"/>
  <c r="AF9" i="64"/>
  <c r="AE10" i="64"/>
  <c r="AF10" i="64"/>
  <c r="AE11" i="64"/>
  <c r="AF11" i="64"/>
  <c r="AE12" i="64"/>
  <c r="AF12" i="64"/>
  <c r="AE13" i="64"/>
  <c r="AF13" i="64"/>
  <c r="AE14" i="64"/>
  <c r="AF14" i="64"/>
  <c r="AE15" i="64"/>
  <c r="AF15" i="64"/>
  <c r="AE16" i="64"/>
  <c r="AF16" i="64"/>
  <c r="AE17" i="64"/>
  <c r="AF17" i="64"/>
  <c r="AE18" i="64"/>
  <c r="AF18" i="64"/>
  <c r="AE19" i="64"/>
  <c r="AF19" i="64"/>
  <c r="AE20" i="64"/>
  <c r="AF20" i="64"/>
  <c r="AE21" i="64"/>
  <c r="AF21" i="64"/>
  <c r="AE22" i="64"/>
  <c r="AF22" i="64"/>
  <c r="AE23" i="64"/>
  <c r="AF23" i="64"/>
  <c r="AE26" i="64"/>
  <c r="AF26" i="64"/>
  <c r="AE27" i="64"/>
  <c r="AF27" i="64"/>
  <c r="CN114" i="60"/>
  <c r="CN115" i="60"/>
  <c r="DT41" i="26" s="1"/>
  <c r="CN117" i="60"/>
  <c r="DV41" i="26" s="1"/>
  <c r="AE28" i="64"/>
  <c r="AF28" i="64"/>
  <c r="AE29" i="64"/>
  <c r="AF29" i="64"/>
  <c r="AE30" i="64"/>
  <c r="AF30" i="64"/>
  <c r="AE31" i="64"/>
  <c r="AF31" i="64"/>
  <c r="AE32" i="64"/>
  <c r="AF32" i="64"/>
  <c r="CN112" i="60"/>
  <c r="DQ41" i="26" s="1"/>
  <c r="CN113" i="60"/>
  <c r="DR41" i="26" s="1"/>
  <c r="CN116" i="60"/>
  <c r="DU42" i="26" s="1"/>
  <c r="CN133" i="60"/>
  <c r="DV5" i="26" s="1"/>
  <c r="CN119" i="60"/>
  <c r="DX41" i="26" s="1"/>
  <c r="O248" i="63"/>
  <c r="B245" i="63"/>
  <c r="B246" i="63"/>
  <c r="B247" i="63"/>
  <c r="B248" i="63"/>
  <c r="CN128" i="60"/>
  <c r="DW45" i="26" s="1"/>
  <c r="CN42" i="60"/>
  <c r="DO45" i="26" s="1"/>
  <c r="CN61" i="60"/>
  <c r="DP45" i="26" s="1"/>
  <c r="CL61" i="60" s="1"/>
  <c r="AH4" i="64"/>
  <c r="AH5" i="64"/>
  <c r="AH6" i="64"/>
  <c r="AZ6" i="64" s="1"/>
  <c r="AH7" i="64"/>
  <c r="AZ7" i="64" s="1"/>
  <c r="AH8" i="64"/>
  <c r="AH9" i="64"/>
  <c r="AH10" i="64"/>
  <c r="AZ10" i="64" s="1"/>
  <c r="AH11" i="64"/>
  <c r="AZ11" i="64" s="1"/>
  <c r="AH12" i="64"/>
  <c r="AZ12" i="64" s="1"/>
  <c r="AH13" i="64"/>
  <c r="AH14" i="64"/>
  <c r="AZ14" i="64" s="1"/>
  <c r="AH15" i="64"/>
  <c r="AZ15" i="64" s="1"/>
  <c r="AH16" i="64"/>
  <c r="AH17" i="64"/>
  <c r="AH18" i="64"/>
  <c r="AH19" i="64"/>
  <c r="AZ19" i="64" s="1"/>
  <c r="AH20" i="64"/>
  <c r="AZ20" i="64" s="1"/>
  <c r="AH21" i="64"/>
  <c r="AH22" i="64"/>
  <c r="AZ22" i="64" s="1"/>
  <c r="AH23" i="64"/>
  <c r="AZ23" i="64" s="1"/>
  <c r="AH26" i="64"/>
  <c r="AZ26" i="64" s="1"/>
  <c r="AH27" i="64"/>
  <c r="AZ27" i="64" s="1"/>
  <c r="CN124" i="60"/>
  <c r="DS50" i="26" s="1"/>
  <c r="CN125" i="60"/>
  <c r="DT45" i="26" s="1"/>
  <c r="CN127" i="60"/>
  <c r="DV45" i="26" s="1"/>
  <c r="O234" i="63"/>
  <c r="AH28" i="64"/>
  <c r="AZ28" i="64" s="1"/>
  <c r="AH29" i="64"/>
  <c r="AH30" i="64"/>
  <c r="AZ30" i="64" s="1"/>
  <c r="AH31" i="64"/>
  <c r="AH32" i="64"/>
  <c r="AZ32" i="64" s="1"/>
  <c r="CN122" i="60"/>
  <c r="DQ45" i="26" s="1"/>
  <c r="CN123" i="60"/>
  <c r="DR50" i="26" s="1"/>
  <c r="CN126" i="60"/>
  <c r="DU45" i="26" s="1"/>
  <c r="CN129" i="60"/>
  <c r="DX45" i="26" s="1"/>
  <c r="CN34" i="60"/>
  <c r="DO32" i="26" s="1"/>
  <c r="CN35" i="60"/>
  <c r="DO33" i="26" s="1"/>
  <c r="M33" i="26" s="1"/>
  <c r="CN36" i="60"/>
  <c r="DO34" i="26" s="1"/>
  <c r="M34" i="26" s="1"/>
  <c r="CN37" i="60"/>
  <c r="DO35" i="26" s="1"/>
  <c r="M35" i="26" s="1"/>
  <c r="AV35" i="26" s="1"/>
  <c r="AA23" i="64" s="1"/>
  <c r="CN38" i="60"/>
  <c r="DO36" i="26" s="1"/>
  <c r="M36" i="26" s="1"/>
  <c r="AV36" i="26" s="1"/>
  <c r="CN39" i="60"/>
  <c r="DO37" i="26" s="1"/>
  <c r="M37" i="26" s="1"/>
  <c r="AV37" i="26" s="1"/>
  <c r="AC23" i="64" s="1"/>
  <c r="CN33" i="60"/>
  <c r="DO26" i="26" s="1"/>
  <c r="CL33" i="60" s="1"/>
  <c r="W4" i="64"/>
  <c r="AY4" i="64" s="1"/>
  <c r="W5" i="64"/>
  <c r="AY5" i="64" s="1"/>
  <c r="W6" i="64"/>
  <c r="AY6" i="64" s="1"/>
  <c r="W7" i="64"/>
  <c r="AY7" i="64" s="1"/>
  <c r="W8" i="64"/>
  <c r="AY8" i="64" s="1"/>
  <c r="W9" i="64"/>
  <c r="AY9" i="64" s="1"/>
  <c r="W10" i="64"/>
  <c r="AY10" i="64" s="1"/>
  <c r="W11" i="64"/>
  <c r="AY11" i="64" s="1"/>
  <c r="W12" i="64"/>
  <c r="AY12" i="64" s="1"/>
  <c r="W13" i="64"/>
  <c r="AY13" i="64" s="1"/>
  <c r="W14" i="64"/>
  <c r="AY14" i="64" s="1"/>
  <c r="W15" i="64"/>
  <c r="AY15" i="64" s="1"/>
  <c r="W16" i="64"/>
  <c r="AY16" i="64" s="1"/>
  <c r="W17" i="64"/>
  <c r="AY17" i="64" s="1"/>
  <c r="W20" i="64"/>
  <c r="AY20" i="64" s="1"/>
  <c r="W21" i="64"/>
  <c r="AY21" i="64" s="1"/>
  <c r="W22" i="64"/>
  <c r="AY22" i="64" s="1"/>
  <c r="W23" i="64"/>
  <c r="AY23" i="64" s="1"/>
  <c r="W24" i="64"/>
  <c r="AY24" i="64" s="1"/>
  <c r="W25" i="64"/>
  <c r="AY25" i="64" s="1"/>
  <c r="W26" i="64"/>
  <c r="AY26" i="64" s="1"/>
  <c r="W27" i="64"/>
  <c r="AY27" i="64" s="1"/>
  <c r="O197" i="63"/>
  <c r="O196" i="63"/>
  <c r="O198" i="63"/>
  <c r="O199" i="63"/>
  <c r="O200" i="63"/>
  <c r="O201" i="63"/>
  <c r="O202" i="63"/>
  <c r="O203" i="63"/>
  <c r="O204" i="63"/>
  <c r="O205" i="63"/>
  <c r="O206" i="63"/>
  <c r="O195" i="63"/>
  <c r="O193" i="63"/>
  <c r="T4" i="64"/>
  <c r="AX4" i="64" s="1"/>
  <c r="T7" i="64"/>
  <c r="AX7" i="64" s="1"/>
  <c r="T8" i="64"/>
  <c r="AX8" i="64" s="1"/>
  <c r="CJ26" i="26"/>
  <c r="T10" i="64"/>
  <c r="AX10" i="64" s="1"/>
  <c r="T11" i="64"/>
  <c r="AX11" i="64" s="1"/>
  <c r="T13" i="64"/>
  <c r="AX13" i="64" s="1"/>
  <c r="T16" i="64"/>
  <c r="AX16" i="64" s="1"/>
  <c r="T17" i="64"/>
  <c r="AX17" i="64" s="1"/>
  <c r="T19" i="64"/>
  <c r="AX19" i="64" s="1"/>
  <c r="T20" i="64"/>
  <c r="AX20" i="64" s="1"/>
  <c r="T21" i="64"/>
  <c r="AX21" i="64" s="1"/>
  <c r="T22" i="64"/>
  <c r="AX22" i="64" s="1"/>
  <c r="T23" i="64"/>
  <c r="AX23" i="64" s="1"/>
  <c r="T24" i="64"/>
  <c r="AX24" i="64" s="1"/>
  <c r="T25" i="64"/>
  <c r="AX25" i="64" s="1"/>
  <c r="T26" i="64"/>
  <c r="AX26" i="64" s="1"/>
  <c r="T27" i="64"/>
  <c r="AX27" i="64" s="1"/>
  <c r="U4" i="64"/>
  <c r="AW4" i="64" s="1"/>
  <c r="U7" i="64"/>
  <c r="AW7" i="64" s="1"/>
  <c r="U8" i="64"/>
  <c r="AW8" i="64" s="1"/>
  <c r="CJ27" i="26"/>
  <c r="U10" i="64"/>
  <c r="AW10" i="64" s="1"/>
  <c r="U11" i="64"/>
  <c r="AW11" i="64" s="1"/>
  <c r="U12" i="64"/>
  <c r="AW12" i="64" s="1"/>
  <c r="U16" i="64"/>
  <c r="AW16" i="64" s="1"/>
  <c r="U17" i="64"/>
  <c r="AW17" i="64" s="1"/>
  <c r="U19" i="64"/>
  <c r="AW19" i="64" s="1"/>
  <c r="U20" i="64"/>
  <c r="AW20" i="64" s="1"/>
  <c r="U21" i="64"/>
  <c r="AW21" i="64" s="1"/>
  <c r="U22" i="64"/>
  <c r="AW22" i="64" s="1"/>
  <c r="U23" i="64"/>
  <c r="AW23" i="64" s="1"/>
  <c r="U24" i="64"/>
  <c r="AW24" i="64" s="1"/>
  <c r="U25" i="64"/>
  <c r="AW25" i="64" s="1"/>
  <c r="U26" i="64"/>
  <c r="AW26" i="64" s="1"/>
  <c r="U27" i="64"/>
  <c r="AW27" i="64" s="1"/>
  <c r="CN32" i="60"/>
  <c r="DO18" i="26" s="1"/>
  <c r="J18" i="26" s="1"/>
  <c r="Q4" i="64"/>
  <c r="R4" i="64"/>
  <c r="P5" i="64"/>
  <c r="Q5" i="64"/>
  <c r="R5" i="64"/>
  <c r="P6" i="64"/>
  <c r="Q6" i="64"/>
  <c r="R6" i="64"/>
  <c r="P7" i="64"/>
  <c r="Q7" i="64"/>
  <c r="R7" i="64"/>
  <c r="P8" i="64"/>
  <c r="Q8" i="64"/>
  <c r="R8" i="64"/>
  <c r="P9" i="64"/>
  <c r="Q9" i="64"/>
  <c r="R9" i="64"/>
  <c r="P10" i="64"/>
  <c r="Q10" i="64"/>
  <c r="R10" i="64"/>
  <c r="R11" i="64"/>
  <c r="P12" i="64"/>
  <c r="Q12" i="64"/>
  <c r="R12" i="64"/>
  <c r="P13" i="64"/>
  <c r="Q13" i="64"/>
  <c r="R13" i="64"/>
  <c r="P14" i="64"/>
  <c r="Q14" i="64"/>
  <c r="R14" i="64"/>
  <c r="P15" i="64"/>
  <c r="Q15" i="64"/>
  <c r="R15" i="64"/>
  <c r="P16" i="64"/>
  <c r="P17" i="64"/>
  <c r="Q17" i="64"/>
  <c r="P18" i="64"/>
  <c r="Q18" i="64"/>
  <c r="R18" i="64"/>
  <c r="P19" i="64"/>
  <c r="Q19" i="64"/>
  <c r="R19" i="64"/>
  <c r="P20" i="64"/>
  <c r="Q20" i="64"/>
  <c r="R20" i="64"/>
  <c r="P21" i="64"/>
  <c r="Q21" i="64"/>
  <c r="R21" i="64"/>
  <c r="P22" i="64"/>
  <c r="Q22" i="64"/>
  <c r="R22" i="64"/>
  <c r="P23" i="64"/>
  <c r="Q23" i="64"/>
  <c r="R23" i="64"/>
  <c r="P24" i="64"/>
  <c r="Q24" i="64"/>
  <c r="R24" i="64"/>
  <c r="P25" i="64"/>
  <c r="Q25" i="64"/>
  <c r="R25" i="64"/>
  <c r="P26" i="64"/>
  <c r="Q26" i="64"/>
  <c r="R26" i="64"/>
  <c r="P27" i="64"/>
  <c r="Q27" i="64"/>
  <c r="R27" i="64"/>
  <c r="S4" i="64"/>
  <c r="AV4" i="64" s="1"/>
  <c r="S5" i="64"/>
  <c r="AV5" i="64" s="1"/>
  <c r="S6" i="64"/>
  <c r="AV6" i="64" s="1"/>
  <c r="S7" i="64"/>
  <c r="AV7" i="64" s="1"/>
  <c r="S8" i="64"/>
  <c r="AV8" i="64" s="1"/>
  <c r="S10" i="64"/>
  <c r="AV10" i="64" s="1"/>
  <c r="S11" i="64"/>
  <c r="AV11" i="64" s="1"/>
  <c r="S12" i="64"/>
  <c r="AV12" i="64" s="1"/>
  <c r="S13" i="64"/>
  <c r="AV13" i="64" s="1"/>
  <c r="S14" i="64"/>
  <c r="AV14" i="64" s="1"/>
  <c r="S15" i="64"/>
  <c r="AV15" i="64" s="1"/>
  <c r="S16" i="64"/>
  <c r="AV16" i="64" s="1"/>
  <c r="S18" i="64"/>
  <c r="AV18" i="64" s="1"/>
  <c r="S19" i="64"/>
  <c r="AV19" i="64" s="1"/>
  <c r="S20" i="64"/>
  <c r="AV20" i="64" s="1"/>
  <c r="S21" i="64"/>
  <c r="AV21" i="64" s="1"/>
  <c r="S22" i="64"/>
  <c r="AV22" i="64" s="1"/>
  <c r="S23" i="64"/>
  <c r="AV23" i="64" s="1"/>
  <c r="S24" i="64"/>
  <c r="AV24" i="64" s="1"/>
  <c r="S25" i="64"/>
  <c r="AV25" i="64" s="1"/>
  <c r="S26" i="64"/>
  <c r="AV26" i="64" s="1"/>
  <c r="S27" i="64"/>
  <c r="AV27" i="64" s="1"/>
  <c r="CN59" i="60"/>
  <c r="DP26" i="26" s="1"/>
  <c r="CL59" i="60" s="1"/>
  <c r="O152" i="63"/>
  <c r="O153" i="63"/>
  <c r="O154" i="63"/>
  <c r="O158" i="63"/>
  <c r="O159" i="63"/>
  <c r="O148" i="63"/>
  <c r="O146" i="63"/>
  <c r="CN60" i="60"/>
  <c r="DP27" i="26" s="1"/>
  <c r="CL60" i="60" s="1"/>
  <c r="B3" i="63"/>
  <c r="A3" i="63"/>
  <c r="B4" i="63"/>
  <c r="A4" i="63"/>
  <c r="B5" i="63"/>
  <c r="A5" i="63"/>
  <c r="B6" i="63"/>
  <c r="A6" i="63"/>
  <c r="B7" i="63"/>
  <c r="A7" i="63"/>
  <c r="B8" i="63"/>
  <c r="A8" i="63"/>
  <c r="B9" i="63"/>
  <c r="A9" i="63"/>
  <c r="B10" i="63"/>
  <c r="A10" i="63"/>
  <c r="B11" i="63"/>
  <c r="A11" i="63"/>
  <c r="B12" i="63"/>
  <c r="A12" i="63"/>
  <c r="B13" i="63"/>
  <c r="A13" i="63"/>
  <c r="B14" i="63"/>
  <c r="A14" i="63"/>
  <c r="B15" i="63"/>
  <c r="A15" i="63"/>
  <c r="B16" i="63"/>
  <c r="A16" i="63"/>
  <c r="B17" i="63"/>
  <c r="A17" i="63"/>
  <c r="B18" i="63"/>
  <c r="A18" i="63"/>
  <c r="B19" i="63"/>
  <c r="A19" i="63"/>
  <c r="B20" i="63"/>
  <c r="A20" i="63"/>
  <c r="B21" i="63"/>
  <c r="A21" i="63"/>
  <c r="B22" i="63"/>
  <c r="A22" i="63"/>
  <c r="B23" i="63"/>
  <c r="A23" i="63"/>
  <c r="B25" i="63"/>
  <c r="A25" i="63"/>
  <c r="B27" i="63"/>
  <c r="A27" i="63"/>
  <c r="B28" i="63"/>
  <c r="A28" i="63"/>
  <c r="B29" i="63"/>
  <c r="A29" i="63"/>
  <c r="B30" i="63"/>
  <c r="A30" i="63"/>
  <c r="B31" i="63"/>
  <c r="A31" i="63"/>
  <c r="B32" i="63"/>
  <c r="A32" i="63"/>
  <c r="B33" i="63"/>
  <c r="A33" i="63"/>
  <c r="B34" i="63"/>
  <c r="A34" i="63"/>
  <c r="B35" i="63"/>
  <c r="A35" i="63"/>
  <c r="B36" i="63"/>
  <c r="A36" i="63"/>
  <c r="B37" i="63"/>
  <c r="A37" i="63"/>
  <c r="B38" i="63"/>
  <c r="A38" i="63"/>
  <c r="B39" i="63"/>
  <c r="A39" i="63"/>
  <c r="B40" i="63"/>
  <c r="A40" i="63"/>
  <c r="B41" i="63"/>
  <c r="A41" i="63"/>
  <c r="B42" i="63"/>
  <c r="A42" i="63"/>
  <c r="B43" i="63"/>
  <c r="A43" i="63"/>
  <c r="B45" i="63"/>
  <c r="A45" i="63"/>
  <c r="B46" i="63"/>
  <c r="A46" i="63"/>
  <c r="B47" i="63"/>
  <c r="A47" i="63"/>
  <c r="B48" i="63"/>
  <c r="A48" i="63"/>
  <c r="B49" i="63"/>
  <c r="A49" i="63"/>
  <c r="B50" i="63"/>
  <c r="A50" i="63"/>
  <c r="B51" i="63"/>
  <c r="A51" i="63"/>
  <c r="B52" i="63"/>
  <c r="A52" i="63"/>
  <c r="B53" i="63"/>
  <c r="A53" i="63"/>
  <c r="B54" i="63"/>
  <c r="A54" i="63"/>
  <c r="B55" i="63"/>
  <c r="A55" i="63"/>
  <c r="B56" i="63"/>
  <c r="A56" i="63"/>
  <c r="B57" i="63"/>
  <c r="A57" i="63"/>
  <c r="B58" i="63"/>
  <c r="A58" i="63"/>
  <c r="B59" i="63"/>
  <c r="A59" i="63"/>
  <c r="B60" i="63"/>
  <c r="A60" i="63"/>
  <c r="B61" i="63"/>
  <c r="A61" i="63"/>
  <c r="B63" i="63"/>
  <c r="A63" i="63"/>
  <c r="B64" i="63"/>
  <c r="A64" i="63"/>
  <c r="B65" i="63"/>
  <c r="A65" i="63"/>
  <c r="B66" i="63"/>
  <c r="A66" i="63"/>
  <c r="B67" i="63"/>
  <c r="A67" i="63"/>
  <c r="B68" i="63"/>
  <c r="A68" i="63"/>
  <c r="B69" i="63"/>
  <c r="A69" i="63"/>
  <c r="B70" i="63"/>
  <c r="A70" i="63"/>
  <c r="B71" i="63"/>
  <c r="A71" i="63"/>
  <c r="B72" i="63"/>
  <c r="A72" i="63"/>
  <c r="B73" i="63"/>
  <c r="A73" i="63"/>
  <c r="B74" i="63"/>
  <c r="A74" i="63"/>
  <c r="B75" i="63"/>
  <c r="A75" i="63"/>
  <c r="B76" i="63"/>
  <c r="A76" i="63"/>
  <c r="B77" i="63"/>
  <c r="A77" i="63"/>
  <c r="B78" i="63"/>
  <c r="A78" i="63"/>
  <c r="B79" i="63"/>
  <c r="A79" i="63"/>
  <c r="B80" i="63"/>
  <c r="A80" i="63"/>
  <c r="B81" i="63"/>
  <c r="A81" i="63"/>
  <c r="B82" i="63"/>
  <c r="A82" i="63"/>
  <c r="B83" i="63"/>
  <c r="A83" i="63"/>
  <c r="B84" i="63"/>
  <c r="A84" i="63"/>
  <c r="B85" i="63"/>
  <c r="A85" i="63"/>
  <c r="B86" i="63"/>
  <c r="A86" i="63"/>
  <c r="B87" i="63"/>
  <c r="A87" i="63"/>
  <c r="B88" i="63"/>
  <c r="A88" i="63"/>
  <c r="B89" i="63"/>
  <c r="A89" i="63"/>
  <c r="B90" i="63"/>
  <c r="A90" i="63"/>
  <c r="B91" i="63"/>
  <c r="A91" i="63"/>
  <c r="B96" i="63"/>
  <c r="A96" i="63"/>
  <c r="B97" i="63"/>
  <c r="A97" i="63"/>
  <c r="B98" i="63"/>
  <c r="A98" i="63"/>
  <c r="B99" i="63"/>
  <c r="A99" i="63"/>
  <c r="B100" i="63"/>
  <c r="A100" i="63"/>
  <c r="B101" i="63"/>
  <c r="A101" i="63"/>
  <c r="B102" i="63"/>
  <c r="A102" i="63"/>
  <c r="B103" i="63"/>
  <c r="A103" i="63"/>
  <c r="B104" i="63"/>
  <c r="A104" i="63"/>
  <c r="B105" i="63"/>
  <c r="A105" i="63"/>
  <c r="B106" i="63"/>
  <c r="A106" i="63"/>
  <c r="B107" i="63"/>
  <c r="A107" i="63"/>
  <c r="B108" i="63"/>
  <c r="A108" i="63"/>
  <c r="B109" i="63"/>
  <c r="A109" i="63"/>
  <c r="B110" i="63"/>
  <c r="A110" i="63"/>
  <c r="B111" i="63"/>
  <c r="A111" i="63"/>
  <c r="B112" i="63"/>
  <c r="A112" i="63"/>
  <c r="B113" i="63"/>
  <c r="A113" i="63"/>
  <c r="B114" i="63"/>
  <c r="A114" i="63"/>
  <c r="B115" i="63"/>
  <c r="A115" i="63"/>
  <c r="B116" i="63"/>
  <c r="A116" i="63"/>
  <c r="B117" i="63"/>
  <c r="A117" i="63"/>
  <c r="B118" i="63"/>
  <c r="A118" i="63"/>
  <c r="B119" i="63"/>
  <c r="A119" i="63"/>
  <c r="B120" i="63"/>
  <c r="A120" i="63"/>
  <c r="B121" i="63"/>
  <c r="A121" i="63"/>
  <c r="B122" i="63"/>
  <c r="A122" i="63"/>
  <c r="B123" i="63"/>
  <c r="A123" i="63"/>
  <c r="B124" i="63"/>
  <c r="A124" i="63"/>
  <c r="B125" i="63"/>
  <c r="A125" i="63"/>
  <c r="B126" i="63"/>
  <c r="A126" i="63"/>
  <c r="B127" i="63"/>
  <c r="A127" i="63"/>
  <c r="B128" i="63"/>
  <c r="A128" i="63"/>
  <c r="B130" i="63"/>
  <c r="A130" i="63"/>
  <c r="B131" i="63"/>
  <c r="A131" i="63"/>
  <c r="B132" i="63"/>
  <c r="A132" i="63"/>
  <c r="B133" i="63"/>
  <c r="A133" i="63"/>
  <c r="B134" i="63"/>
  <c r="A134" i="63"/>
  <c r="B135" i="63"/>
  <c r="A135" i="63"/>
  <c r="B136" i="63"/>
  <c r="A136" i="63"/>
  <c r="B137" i="63"/>
  <c r="A137" i="63"/>
  <c r="B138" i="63"/>
  <c r="A138" i="63"/>
  <c r="B139" i="63"/>
  <c r="A139" i="63"/>
  <c r="B140" i="63"/>
  <c r="A140" i="63"/>
  <c r="B141" i="63"/>
  <c r="A141" i="63"/>
  <c r="B142" i="63"/>
  <c r="A142" i="63"/>
  <c r="B143" i="63"/>
  <c r="A143" i="63"/>
  <c r="B144" i="63"/>
  <c r="A144" i="63"/>
  <c r="B145" i="63"/>
  <c r="A145" i="63"/>
  <c r="B146" i="63"/>
  <c r="A146" i="63"/>
  <c r="B147" i="63"/>
  <c r="A147" i="63"/>
  <c r="B148" i="63"/>
  <c r="A148" i="63"/>
  <c r="B149" i="63"/>
  <c r="A149" i="63"/>
  <c r="B150" i="63"/>
  <c r="A150" i="63"/>
  <c r="B151" i="63"/>
  <c r="A151" i="63"/>
  <c r="B152" i="63"/>
  <c r="A152" i="63"/>
  <c r="B153" i="63"/>
  <c r="A153" i="63"/>
  <c r="B154" i="63"/>
  <c r="A154" i="63"/>
  <c r="B155" i="63"/>
  <c r="A155" i="63"/>
  <c r="B156" i="63"/>
  <c r="A156" i="63"/>
  <c r="B157" i="63"/>
  <c r="A157" i="63"/>
  <c r="B158" i="63"/>
  <c r="A158" i="63"/>
  <c r="B159" i="63"/>
  <c r="A159" i="63"/>
  <c r="B160" i="63"/>
  <c r="A160" i="63"/>
  <c r="B161" i="63"/>
  <c r="A161" i="63"/>
  <c r="B162" i="63"/>
  <c r="A162" i="63"/>
  <c r="B163" i="63"/>
  <c r="A163" i="63"/>
  <c r="B164" i="63"/>
  <c r="A164" i="63"/>
  <c r="B165" i="63"/>
  <c r="A165" i="63"/>
  <c r="B166" i="63"/>
  <c r="A166" i="63"/>
  <c r="B167" i="63"/>
  <c r="A167" i="63"/>
  <c r="B168" i="63"/>
  <c r="A168" i="63"/>
  <c r="B169" i="63"/>
  <c r="A169" i="63"/>
  <c r="B170" i="63"/>
  <c r="A170" i="63"/>
  <c r="B171" i="63"/>
  <c r="A171" i="63"/>
  <c r="B172" i="63"/>
  <c r="A172" i="63"/>
  <c r="B173" i="63"/>
  <c r="A173" i="63"/>
  <c r="B174" i="63"/>
  <c r="A174" i="63"/>
  <c r="B175" i="63"/>
  <c r="A175" i="63"/>
  <c r="B177" i="63"/>
  <c r="A177" i="63"/>
  <c r="B178" i="63"/>
  <c r="A178" i="63"/>
  <c r="B179" i="63"/>
  <c r="A179" i="63"/>
  <c r="B180" i="63"/>
  <c r="A180" i="63"/>
  <c r="B181" i="63"/>
  <c r="A181" i="63"/>
  <c r="B182" i="63"/>
  <c r="A182" i="63"/>
  <c r="B183" i="63"/>
  <c r="A183" i="63"/>
  <c r="B184" i="63"/>
  <c r="A184" i="63"/>
  <c r="B185" i="63"/>
  <c r="A185" i="63"/>
  <c r="B186" i="63"/>
  <c r="A186" i="63"/>
  <c r="B187" i="63"/>
  <c r="A187" i="63"/>
  <c r="B188" i="63"/>
  <c r="A188" i="63"/>
  <c r="B189" i="63"/>
  <c r="A189" i="63"/>
  <c r="B190" i="63"/>
  <c r="A190" i="63"/>
  <c r="B191" i="63"/>
  <c r="A191" i="63"/>
  <c r="B192" i="63"/>
  <c r="A192" i="63"/>
  <c r="B193" i="63"/>
  <c r="A193" i="63"/>
  <c r="B194" i="63"/>
  <c r="A194" i="63"/>
  <c r="B195" i="63"/>
  <c r="A195" i="63"/>
  <c r="B196" i="63"/>
  <c r="A196" i="63"/>
  <c r="B197" i="63"/>
  <c r="A197" i="63"/>
  <c r="B198" i="63"/>
  <c r="A198" i="63"/>
  <c r="B199" i="63"/>
  <c r="A199" i="63"/>
  <c r="B200" i="63"/>
  <c r="A200" i="63"/>
  <c r="B201" i="63"/>
  <c r="A201" i="63"/>
  <c r="B202" i="63"/>
  <c r="A202" i="63"/>
  <c r="B203" i="63"/>
  <c r="A203" i="63"/>
  <c r="B204" i="63"/>
  <c r="A204" i="63"/>
  <c r="B205" i="63"/>
  <c r="A205" i="63"/>
  <c r="B206" i="63"/>
  <c r="A206" i="63"/>
  <c r="B207" i="63"/>
  <c r="A207" i="63"/>
  <c r="B208" i="63"/>
  <c r="A208" i="63"/>
  <c r="B209" i="63"/>
  <c r="A209" i="63"/>
  <c r="B210" i="63"/>
  <c r="A210" i="63"/>
  <c r="B213" i="63"/>
  <c r="A213" i="63"/>
  <c r="B215" i="63"/>
  <c r="A215" i="63"/>
  <c r="B216" i="63"/>
  <c r="A216" i="63"/>
  <c r="B217" i="63"/>
  <c r="A217" i="63"/>
  <c r="B218" i="63"/>
  <c r="A218" i="63"/>
  <c r="B219" i="63"/>
  <c r="A219" i="63"/>
  <c r="B220" i="63"/>
  <c r="A220" i="63"/>
  <c r="B221" i="63"/>
  <c r="A221" i="63"/>
  <c r="B222" i="63"/>
  <c r="A222" i="63"/>
  <c r="B223" i="63"/>
  <c r="A223" i="63"/>
  <c r="B224" i="63"/>
  <c r="A224" i="63"/>
  <c r="B225" i="63"/>
  <c r="A225" i="63"/>
  <c r="B226" i="63"/>
  <c r="A226" i="63"/>
  <c r="B227" i="63"/>
  <c r="A227" i="63"/>
  <c r="B228" i="63"/>
  <c r="A228" i="63"/>
  <c r="B229" i="63"/>
  <c r="A229" i="63"/>
  <c r="B230" i="63"/>
  <c r="A230" i="63"/>
  <c r="B231" i="63"/>
  <c r="A231" i="63"/>
  <c r="B232" i="63"/>
  <c r="A232" i="63"/>
  <c r="B233" i="63"/>
  <c r="A233" i="63"/>
  <c r="B234" i="63"/>
  <c r="A234" i="63"/>
  <c r="B235" i="63"/>
  <c r="A235" i="63"/>
  <c r="B236" i="63"/>
  <c r="A236" i="63"/>
  <c r="B237" i="63"/>
  <c r="A237" i="63"/>
  <c r="B238" i="63"/>
  <c r="A238" i="63"/>
  <c r="B240" i="63"/>
  <c r="A240" i="63"/>
  <c r="B242" i="63"/>
  <c r="A242" i="63"/>
  <c r="B243" i="63"/>
  <c r="A243" i="63"/>
  <c r="B244" i="63"/>
  <c r="A244" i="63"/>
  <c r="A245" i="63"/>
  <c r="A246" i="63"/>
  <c r="A247" i="63"/>
  <c r="A248" i="63"/>
  <c r="B249" i="63"/>
  <c r="A249" i="63"/>
  <c r="B250" i="63"/>
  <c r="A250" i="63"/>
  <c r="B251" i="63"/>
  <c r="A251" i="63"/>
  <c r="B252" i="63"/>
  <c r="A252" i="63"/>
  <c r="B253" i="63"/>
  <c r="A253" i="63"/>
  <c r="B254" i="63"/>
  <c r="A254" i="63"/>
  <c r="B255" i="63"/>
  <c r="A255" i="63"/>
  <c r="B256" i="63"/>
  <c r="A256" i="63"/>
  <c r="B257" i="63"/>
  <c r="A257" i="63"/>
  <c r="B258" i="63"/>
  <c r="A258" i="63"/>
  <c r="B261" i="63"/>
  <c r="A261" i="63"/>
  <c r="B262" i="63"/>
  <c r="A262" i="63"/>
  <c r="B263" i="63"/>
  <c r="A263" i="63"/>
  <c r="B264" i="63"/>
  <c r="A264" i="63"/>
  <c r="B265" i="63"/>
  <c r="A265" i="63"/>
  <c r="B266" i="63"/>
  <c r="A266" i="63"/>
  <c r="B267" i="63"/>
  <c r="A267" i="63"/>
  <c r="B268" i="63"/>
  <c r="A268" i="63"/>
  <c r="B269" i="63"/>
  <c r="A269" i="63"/>
  <c r="B270" i="63"/>
  <c r="A270" i="63"/>
  <c r="B273" i="63"/>
  <c r="A273" i="63"/>
  <c r="B274" i="63"/>
  <c r="A274" i="63"/>
  <c r="B275" i="63"/>
  <c r="A275" i="63"/>
  <c r="B276" i="63"/>
  <c r="A276" i="63"/>
  <c r="B277" i="63"/>
  <c r="A277" i="63"/>
  <c r="B278" i="63"/>
  <c r="A278" i="63"/>
  <c r="B279" i="63"/>
  <c r="A279" i="63"/>
  <c r="B280" i="63"/>
  <c r="A280" i="63"/>
  <c r="B281" i="63"/>
  <c r="A281" i="63"/>
  <c r="B282" i="63"/>
  <c r="A282" i="63"/>
  <c r="B283" i="63"/>
  <c r="A283" i="63"/>
  <c r="B284" i="63"/>
  <c r="A284" i="63"/>
  <c r="BM15" i="64"/>
  <c r="N17" i="67"/>
  <c r="O102" i="63" s="1"/>
  <c r="O105" i="63"/>
  <c r="O106" i="63"/>
  <c r="O107" i="63"/>
  <c r="O111" i="63"/>
  <c r="O112" i="63"/>
  <c r="O101" i="63"/>
  <c r="O99" i="63"/>
  <c r="CN97" i="60"/>
  <c r="DV24" i="26" s="1"/>
  <c r="CN58" i="60"/>
  <c r="DP24" i="26" s="1"/>
  <c r="CL58" i="60" s="1"/>
  <c r="CN96" i="60"/>
  <c r="DU24" i="26" s="1"/>
  <c r="CN93" i="60"/>
  <c r="DR24" i="26" s="1"/>
  <c r="CN95" i="60"/>
  <c r="DT24" i="26" s="1"/>
  <c r="O87" i="63"/>
  <c r="CN83" i="60"/>
  <c r="DR21" i="26" s="1"/>
  <c r="CN56" i="60"/>
  <c r="DP21" i="26" s="1"/>
  <c r="CL56" i="60" s="1"/>
  <c r="CN57" i="60"/>
  <c r="DP22" i="26" s="1"/>
  <c r="CL57" i="60" s="1"/>
  <c r="CN86" i="60"/>
  <c r="DU15" i="26" s="1"/>
  <c r="CN85" i="60"/>
  <c r="DT22" i="26" s="1"/>
  <c r="CN87" i="60"/>
  <c r="DV22" i="26" s="1"/>
  <c r="O53" i="63"/>
  <c r="O54" i="63"/>
  <c r="O51" i="63"/>
  <c r="O49" i="63"/>
  <c r="O48" i="63"/>
  <c r="O40" i="63"/>
  <c r="CN78" i="60"/>
  <c r="DW11" i="26" s="1"/>
  <c r="CN55" i="60"/>
  <c r="DP11" i="26" s="1"/>
  <c r="F5" i="64"/>
  <c r="AS5" i="64" s="1"/>
  <c r="F6" i="64"/>
  <c r="AS6" i="64" s="1"/>
  <c r="F7" i="64"/>
  <c r="AS7" i="64" s="1"/>
  <c r="F8" i="64"/>
  <c r="AS8" i="64" s="1"/>
  <c r="F9" i="64"/>
  <c r="AS9" i="64" s="1"/>
  <c r="F10" i="64"/>
  <c r="AS10" i="64" s="1"/>
  <c r="F11" i="64"/>
  <c r="AS11" i="64" s="1"/>
  <c r="F12" i="64"/>
  <c r="AS12" i="64" s="1"/>
  <c r="F13" i="64"/>
  <c r="AS13" i="64" s="1"/>
  <c r="F14" i="64"/>
  <c r="AS14" i="64" s="1"/>
  <c r="F15" i="64"/>
  <c r="AS15" i="64" s="1"/>
  <c r="F16" i="64"/>
  <c r="AS16" i="64" s="1"/>
  <c r="F17" i="64"/>
  <c r="AS17" i="64" s="1"/>
  <c r="F18" i="64"/>
  <c r="AS18" i="64" s="1"/>
  <c r="F19" i="64"/>
  <c r="AS19" i="64" s="1"/>
  <c r="F20" i="64"/>
  <c r="AS20" i="64" s="1"/>
  <c r="F21" i="64"/>
  <c r="AS21" i="64" s="1"/>
  <c r="F22" i="64"/>
  <c r="AS22" i="64" s="1"/>
  <c r="F23" i="64"/>
  <c r="AS23" i="64" s="1"/>
  <c r="F24" i="64"/>
  <c r="AS24" i="64" s="1"/>
  <c r="F25" i="64"/>
  <c r="AS25" i="64" s="1"/>
  <c r="F26" i="64"/>
  <c r="AS26" i="64" s="1"/>
  <c r="F27" i="64"/>
  <c r="AS27" i="64" s="1"/>
  <c r="CN74" i="60"/>
  <c r="DS11" i="26" s="1"/>
  <c r="CN73" i="60"/>
  <c r="DR11" i="26" s="1"/>
  <c r="CN77" i="60"/>
  <c r="DV11" i="26" s="1"/>
  <c r="O18" i="63"/>
  <c r="O19" i="63"/>
  <c r="O17" i="63"/>
  <c r="O7" i="63"/>
  <c r="O8" i="63"/>
  <c r="O9" i="63"/>
  <c r="O10" i="63"/>
  <c r="O11" i="63"/>
  <c r="O12" i="63"/>
  <c r="O13" i="63"/>
  <c r="O14" i="63"/>
  <c r="O15" i="63"/>
  <c r="O6" i="63"/>
  <c r="BI31" i="64"/>
  <c r="F33" i="67"/>
  <c r="G33" i="67"/>
  <c r="BJ31" i="64"/>
  <c r="H33" i="67"/>
  <c r="P31" i="64"/>
  <c r="Q31" i="64"/>
  <c r="R31" i="64"/>
  <c r="BK31" i="64"/>
  <c r="J33" i="67"/>
  <c r="S31" i="64"/>
  <c r="AV31" i="64" s="1"/>
  <c r="BL31" i="64"/>
  <c r="L33" i="67"/>
  <c r="BM31" i="64"/>
  <c r="N33" i="67"/>
  <c r="BN31" i="64"/>
  <c r="P33" i="67"/>
  <c r="W31" i="64"/>
  <c r="AY31" i="64" s="1"/>
  <c r="BO31" i="64"/>
  <c r="R33" i="67"/>
  <c r="AG31" i="64"/>
  <c r="AG4" i="64"/>
  <c r="AG5" i="64"/>
  <c r="AG6" i="64"/>
  <c r="AG7" i="64"/>
  <c r="AG8" i="64"/>
  <c r="AG9" i="64"/>
  <c r="AG10" i="64"/>
  <c r="AG11" i="64"/>
  <c r="AG12" i="64"/>
  <c r="AG13" i="64"/>
  <c r="AG14" i="64"/>
  <c r="AG15" i="64"/>
  <c r="AG16" i="64"/>
  <c r="AG17" i="64"/>
  <c r="AG18" i="64"/>
  <c r="AG19" i="64"/>
  <c r="AG20" i="64"/>
  <c r="AG21" i="64"/>
  <c r="AG22" i="64"/>
  <c r="AG25" i="64"/>
  <c r="AG26" i="64"/>
  <c r="AG27" i="64"/>
  <c r="BP31" i="64"/>
  <c r="T33" i="67"/>
  <c r="AD31" i="64"/>
  <c r="AD4" i="64"/>
  <c r="AD5" i="64"/>
  <c r="AD6" i="64"/>
  <c r="AD7" i="64"/>
  <c r="AD8" i="64"/>
  <c r="AD9" i="64"/>
  <c r="AD10" i="64"/>
  <c r="AD11" i="64"/>
  <c r="AD12" i="64"/>
  <c r="AD13" i="64"/>
  <c r="AD14" i="64"/>
  <c r="AD15" i="64"/>
  <c r="AD16" i="64"/>
  <c r="AD17" i="64"/>
  <c r="AD18" i="64"/>
  <c r="AD19" i="64"/>
  <c r="AD20" i="64"/>
  <c r="AD21" i="64"/>
  <c r="AD22" i="64"/>
  <c r="AD25" i="64"/>
  <c r="AD26" i="64"/>
  <c r="AD27" i="64"/>
  <c r="BQ31" i="64"/>
  <c r="V33" i="67"/>
  <c r="V31" i="64"/>
  <c r="V4" i="64"/>
  <c r="V5" i="64"/>
  <c r="V6" i="64"/>
  <c r="V7" i="64"/>
  <c r="V8" i="64"/>
  <c r="V9" i="64"/>
  <c r="V10" i="64"/>
  <c r="V11" i="64"/>
  <c r="V12" i="64"/>
  <c r="V13" i="64"/>
  <c r="V14" i="64"/>
  <c r="V15" i="64"/>
  <c r="V16" i="64"/>
  <c r="V17" i="64"/>
  <c r="V18" i="64"/>
  <c r="V19" i="64"/>
  <c r="V20" i="64"/>
  <c r="V23" i="64"/>
  <c r="V24" i="64"/>
  <c r="V25" i="64"/>
  <c r="V26" i="64"/>
  <c r="V27" i="64"/>
  <c r="BR31" i="64"/>
  <c r="X33" i="67"/>
  <c r="Y33" i="67"/>
  <c r="BS31" i="64"/>
  <c r="Z33" i="67"/>
  <c r="BT31" i="64"/>
  <c r="AB33" i="67"/>
  <c r="AC33" i="67"/>
  <c r="BU31" i="64"/>
  <c r="AD33" i="67"/>
  <c r="AI31" i="64"/>
  <c r="BF31" i="64" s="1"/>
  <c r="AI4" i="64"/>
  <c r="BF4" i="64" s="1"/>
  <c r="AI5" i="64"/>
  <c r="BF5" i="64" s="1"/>
  <c r="AI6" i="64"/>
  <c r="BF6" i="64" s="1"/>
  <c r="AI7" i="64"/>
  <c r="BF7" i="64" s="1"/>
  <c r="AI8" i="64"/>
  <c r="BF8" i="64" s="1"/>
  <c r="AI9" i="64"/>
  <c r="BF9" i="64" s="1"/>
  <c r="AI10" i="64"/>
  <c r="BF10" i="64" s="1"/>
  <c r="AI11" i="64"/>
  <c r="BF11" i="64" s="1"/>
  <c r="AI12" i="64"/>
  <c r="BF12" i="64" s="1"/>
  <c r="AI13" i="64"/>
  <c r="BF13" i="64" s="1"/>
  <c r="AI14" i="64"/>
  <c r="BF14" i="64" s="1"/>
  <c r="AI15" i="64"/>
  <c r="BF15" i="64" s="1"/>
  <c r="AI16" i="64"/>
  <c r="BF16" i="64" s="1"/>
  <c r="AI17" i="64"/>
  <c r="BF17" i="64" s="1"/>
  <c r="AI18" i="64"/>
  <c r="BF18" i="64" s="1"/>
  <c r="AI19" i="64"/>
  <c r="BF19" i="64" s="1"/>
  <c r="AI20" i="64"/>
  <c r="BF20" i="64" s="1"/>
  <c r="AI21" i="64"/>
  <c r="BF21" i="64" s="1"/>
  <c r="AI22" i="64"/>
  <c r="BF22" i="64" s="1"/>
  <c r="AI23" i="64"/>
  <c r="BF23" i="64" s="1"/>
  <c r="AI24" i="64"/>
  <c r="BF24" i="64" s="1"/>
  <c r="CN43" i="60"/>
  <c r="DO46" i="26" s="1"/>
  <c r="P46" i="26" s="1"/>
  <c r="AY7" i="28" s="1"/>
  <c r="AI27" i="64"/>
  <c r="BF27" i="64" s="1"/>
  <c r="BV31" i="64"/>
  <c r="AF33" i="67"/>
  <c r="BW31" i="64"/>
  <c r="AH33" i="67"/>
  <c r="F31" i="64"/>
  <c r="AS31" i="64" s="1"/>
  <c r="G31" i="64"/>
  <c r="H31" i="64"/>
  <c r="I31" i="64"/>
  <c r="J31" i="64"/>
  <c r="K31" i="64"/>
  <c r="L31" i="64"/>
  <c r="M31" i="64"/>
  <c r="N31" i="64"/>
  <c r="O31" i="64"/>
  <c r="X31" i="64"/>
  <c r="Y31" i="64"/>
  <c r="Z31" i="64"/>
  <c r="AA31" i="64"/>
  <c r="AB31" i="64"/>
  <c r="AC31" i="64"/>
  <c r="AJ31" i="64"/>
  <c r="AK31" i="64"/>
  <c r="AL31" i="64"/>
  <c r="AM31" i="64"/>
  <c r="AN31" i="64"/>
  <c r="AO31" i="64"/>
  <c r="AP31" i="64"/>
  <c r="AQ31" i="64"/>
  <c r="CN103" i="60"/>
  <c r="DR20" i="26" s="1"/>
  <c r="CN64" i="60"/>
  <c r="DP16" i="26" s="1"/>
  <c r="CL64" i="60" s="1"/>
  <c r="CN65" i="60"/>
  <c r="DP17" i="26" s="1"/>
  <c r="CL65" i="60" s="1"/>
  <c r="CN44" i="60"/>
  <c r="DO47" i="26" s="1"/>
  <c r="P47" i="26" s="1"/>
  <c r="CN45" i="60"/>
  <c r="DO48" i="26" s="1"/>
  <c r="CN46" i="60"/>
  <c r="DO49" i="26" s="1"/>
  <c r="P49" i="26" s="1"/>
  <c r="AY11" i="28" s="1"/>
  <c r="CN47" i="60"/>
  <c r="DO50" i="26" s="1"/>
  <c r="CN48" i="60"/>
  <c r="DO51" i="26" s="1"/>
  <c r="P51" i="26" s="1"/>
  <c r="AY13" i="28" s="1"/>
  <c r="CN49" i="60"/>
  <c r="DO52" i="26" s="1"/>
  <c r="Q52" i="26" s="1"/>
  <c r="BE7" i="28" s="1"/>
  <c r="CN50" i="60"/>
  <c r="DO53" i="26" s="1"/>
  <c r="Q53" i="26" s="1"/>
  <c r="BE8" i="28" s="1"/>
  <c r="CN51" i="60"/>
  <c r="DO54" i="26" s="1"/>
  <c r="CN104" i="60"/>
  <c r="DS13" i="26" s="1"/>
  <c r="CN84" i="60"/>
  <c r="DS15" i="26" s="1"/>
  <c r="CN94" i="60"/>
  <c r="DS24" i="26" s="1"/>
  <c r="CN75" i="60"/>
  <c r="DT11" i="26" s="1"/>
  <c r="CN105" i="60"/>
  <c r="DT14" i="26" s="1"/>
  <c r="CN76" i="60"/>
  <c r="DU11" i="26" s="1"/>
  <c r="CN106" i="60"/>
  <c r="DU16" i="26" s="1"/>
  <c r="CN107" i="60"/>
  <c r="DV14" i="26" s="1"/>
  <c r="CN108" i="60"/>
  <c r="DW14" i="26" s="1"/>
  <c r="CN88" i="60"/>
  <c r="DW23" i="26" s="1"/>
  <c r="CN98" i="60"/>
  <c r="DW24" i="26" s="1"/>
  <c r="CN102" i="60"/>
  <c r="DQ14" i="26" s="1"/>
  <c r="CN82" i="60"/>
  <c r="DQ21" i="26" s="1"/>
  <c r="CN92" i="60"/>
  <c r="DQ24" i="26" s="1"/>
  <c r="CN72" i="60"/>
  <c r="DQ11" i="26" s="1"/>
  <c r="DP105" i="60"/>
  <c r="DL127" i="60"/>
  <c r="DJ127" i="60"/>
  <c r="CX125" i="60"/>
  <c r="CX127" i="60"/>
  <c r="DL126" i="60"/>
  <c r="DL125" i="60"/>
  <c r="DJ125" i="60"/>
  <c r="DL124" i="60"/>
  <c r="DL123" i="60"/>
  <c r="DL122" i="60"/>
  <c r="DL117" i="60"/>
  <c r="DJ117" i="60"/>
  <c r="CX115" i="60"/>
  <c r="CX117" i="60"/>
  <c r="DL116" i="60"/>
  <c r="DL115" i="60"/>
  <c r="DJ115" i="60"/>
  <c r="DL114" i="60"/>
  <c r="DL113" i="60"/>
  <c r="DL112" i="60"/>
  <c r="DL107" i="60"/>
  <c r="DJ107" i="60"/>
  <c r="CX105" i="60"/>
  <c r="CX107" i="60"/>
  <c r="DL106" i="60"/>
  <c r="DL105" i="60"/>
  <c r="DJ105" i="60"/>
  <c r="DL104" i="60"/>
  <c r="DL103" i="60"/>
  <c r="DL102" i="60"/>
  <c r="DL97" i="60"/>
  <c r="DJ97" i="60"/>
  <c r="CX85" i="60"/>
  <c r="CX87" i="60"/>
  <c r="DL96" i="60"/>
  <c r="DL95" i="60"/>
  <c r="DJ95" i="60"/>
  <c r="DL94" i="60"/>
  <c r="DL93" i="60"/>
  <c r="DL92" i="60"/>
  <c r="DL87" i="60"/>
  <c r="DJ87" i="60"/>
  <c r="DL86" i="60"/>
  <c r="DL85" i="60"/>
  <c r="DJ85" i="60"/>
  <c r="DL84" i="60"/>
  <c r="DL83" i="60"/>
  <c r="DL82" i="60"/>
  <c r="DL77" i="60"/>
  <c r="DJ77" i="60"/>
  <c r="CX75" i="60"/>
  <c r="CX77" i="60"/>
  <c r="DL76" i="60"/>
  <c r="DL75" i="60"/>
  <c r="DJ75" i="60"/>
  <c r="DL74" i="60"/>
  <c r="DL73" i="60"/>
  <c r="DL72" i="60"/>
  <c r="DK58" i="60"/>
  <c r="DI58" i="60"/>
  <c r="DH58" i="60"/>
  <c r="DG58" i="60"/>
  <c r="DF58" i="60"/>
  <c r="DK57" i="60"/>
  <c r="DI57" i="60"/>
  <c r="DH57" i="60"/>
  <c r="DG57" i="60"/>
  <c r="DF57" i="60"/>
  <c r="DE127" i="60"/>
  <c r="DC127" i="60"/>
  <c r="DE126" i="60"/>
  <c r="DE125" i="60"/>
  <c r="DC125" i="60"/>
  <c r="DE124" i="60"/>
  <c r="DE123" i="60"/>
  <c r="DE122" i="60"/>
  <c r="DE117" i="60"/>
  <c r="DC117" i="60"/>
  <c r="DE116" i="60"/>
  <c r="DE115" i="60"/>
  <c r="DC115" i="60"/>
  <c r="DE114" i="60"/>
  <c r="DE113" i="60"/>
  <c r="DE112" i="60"/>
  <c r="DE107" i="60"/>
  <c r="DC107" i="60"/>
  <c r="DE106" i="60"/>
  <c r="DE105" i="60"/>
  <c r="DC105" i="60"/>
  <c r="DE104" i="60"/>
  <c r="DE103" i="60"/>
  <c r="DE102" i="60"/>
  <c r="DE97" i="60"/>
  <c r="DC97" i="60"/>
  <c r="DE96" i="60"/>
  <c r="DE95" i="60"/>
  <c r="DC95" i="60"/>
  <c r="DE94" i="60"/>
  <c r="DE93" i="60"/>
  <c r="DE92" i="60"/>
  <c r="DE87" i="60"/>
  <c r="DC87" i="60"/>
  <c r="DE86" i="60"/>
  <c r="DE85" i="60"/>
  <c r="DC85" i="60"/>
  <c r="DE84" i="60"/>
  <c r="DE83" i="60"/>
  <c r="DE82" i="60"/>
  <c r="DE77" i="60"/>
  <c r="DC77" i="60"/>
  <c r="DE76" i="60"/>
  <c r="DE75" i="60"/>
  <c r="DC75" i="60"/>
  <c r="DE74" i="60"/>
  <c r="DE73" i="60"/>
  <c r="DE72" i="60"/>
  <c r="DD58" i="60"/>
  <c r="DB58" i="60"/>
  <c r="DA58" i="60"/>
  <c r="CZ58" i="60"/>
  <c r="CY58" i="60"/>
  <c r="DD57" i="60"/>
  <c r="DB57" i="60"/>
  <c r="DA57" i="60"/>
  <c r="CZ57" i="60"/>
  <c r="CY57" i="60"/>
  <c r="CN79" i="60"/>
  <c r="DX11" i="26" s="1"/>
  <c r="CU58" i="60"/>
  <c r="CU57" i="60"/>
  <c r="CT58" i="60"/>
  <c r="CT57" i="60"/>
  <c r="CS58" i="60"/>
  <c r="CS57" i="60"/>
  <c r="CR58" i="60"/>
  <c r="CR57" i="60"/>
  <c r="CW57" i="60"/>
  <c r="CW58" i="60"/>
  <c r="CN89" i="60"/>
  <c r="DX22" i="26" s="1"/>
  <c r="CN99" i="60"/>
  <c r="DX24" i="26" s="1"/>
  <c r="DJ15" i="26"/>
  <c r="CN109" i="60"/>
  <c r="DX13" i="26" s="1"/>
  <c r="DJ16" i="26"/>
  <c r="DJ17" i="26"/>
  <c r="DJ18" i="26"/>
  <c r="DJ20" i="26"/>
  <c r="DJ13" i="26"/>
  <c r="DJ14" i="26"/>
  <c r="DP29" i="26"/>
  <c r="EB59" i="60"/>
  <c r="EB55" i="60"/>
  <c r="DT4" i="26"/>
  <c r="EC8" i="60"/>
  <c r="EC9" i="60"/>
  <c r="DJ29" i="26"/>
  <c r="DQ5" i="26"/>
  <c r="DW5" i="26"/>
  <c r="DX5" i="26"/>
  <c r="AS1" i="64"/>
  <c r="AT1" i="64"/>
  <c r="AU1" i="64"/>
  <c r="I2" i="67"/>
  <c r="AV1" i="64"/>
  <c r="K2" i="67"/>
  <c r="AW1" i="64"/>
  <c r="M2" i="67"/>
  <c r="AX1" i="64"/>
  <c r="O2" i="67"/>
  <c r="DK16" i="26"/>
  <c r="DK18" i="26"/>
  <c r="DJ11" i="26"/>
  <c r="DQ4" i="26"/>
  <c r="DS4" i="26"/>
  <c r="DU4" i="26"/>
  <c r="DW4" i="26"/>
  <c r="DX4" i="26"/>
  <c r="EN18" i="60"/>
  <c r="EN19" i="60"/>
  <c r="EN20" i="60"/>
  <c r="EN21" i="60"/>
  <c r="EN16" i="60"/>
  <c r="EN17" i="60"/>
  <c r="DR4" i="26"/>
  <c r="C135" i="68"/>
  <c r="C117" i="68"/>
  <c r="F97" i="68"/>
  <c r="H97" i="68"/>
  <c r="L97" i="68"/>
  <c r="M97" i="68"/>
  <c r="N97" i="68"/>
  <c r="R97" i="68"/>
  <c r="S97" i="68"/>
  <c r="U97" i="68"/>
  <c r="V97" i="68"/>
  <c r="W97" i="68"/>
  <c r="X97" i="68"/>
  <c r="Y97" i="68"/>
  <c r="Z97" i="68"/>
  <c r="C95" i="68"/>
  <c r="F56" i="68"/>
  <c r="H56" i="68"/>
  <c r="Q56" i="68"/>
  <c r="R56" i="68"/>
  <c r="C54" i="68"/>
  <c r="F18" i="68"/>
  <c r="H18" i="68"/>
  <c r="I18" i="68"/>
  <c r="J18" i="68"/>
  <c r="N18" i="68"/>
  <c r="O18" i="68"/>
  <c r="P18" i="68"/>
  <c r="C16" i="68"/>
  <c r="T137" i="68"/>
  <c r="U137" i="68"/>
  <c r="V137" i="68"/>
  <c r="C129" i="68"/>
  <c r="J137" i="68"/>
  <c r="C131" i="68"/>
  <c r="I137" i="68"/>
  <c r="C133" i="68"/>
  <c r="F137" i="68"/>
  <c r="C137" i="68"/>
  <c r="CN69" i="60"/>
  <c r="F119" i="68"/>
  <c r="C119" i="68"/>
  <c r="G119" i="68"/>
  <c r="C115" i="68"/>
  <c r="I119" i="68"/>
  <c r="C113" i="68"/>
  <c r="J119" i="68"/>
  <c r="C111" i="68"/>
  <c r="K119" i="68"/>
  <c r="C109" i="68"/>
  <c r="O119" i="68"/>
  <c r="C107" i="68"/>
  <c r="P119" i="68"/>
  <c r="C105" i="68"/>
  <c r="Q119" i="68"/>
  <c r="C103" i="68"/>
  <c r="T119" i="68"/>
  <c r="C101" i="68"/>
  <c r="G97" i="68"/>
  <c r="C93" i="68"/>
  <c r="T97" i="68"/>
  <c r="C79" i="68"/>
  <c r="Q97" i="68"/>
  <c r="C81" i="68"/>
  <c r="P97" i="68"/>
  <c r="C83" i="68"/>
  <c r="O97" i="68"/>
  <c r="C85" i="68"/>
  <c r="S28" i="64"/>
  <c r="AV28" i="64" s="1"/>
  <c r="K97" i="68"/>
  <c r="C87" i="68"/>
  <c r="I97" i="68"/>
  <c r="C91" i="68"/>
  <c r="J97" i="68"/>
  <c r="C89" i="68"/>
  <c r="S30" i="64"/>
  <c r="AV30" i="64" s="1"/>
  <c r="C97" i="68"/>
  <c r="H75" i="68"/>
  <c r="C73" i="68"/>
  <c r="J75" i="68"/>
  <c r="K75" i="68"/>
  <c r="L75" i="68"/>
  <c r="C71" i="68"/>
  <c r="F75" i="68"/>
  <c r="C75" i="68"/>
  <c r="C18" i="68"/>
  <c r="F37" i="68"/>
  <c r="C37" i="68"/>
  <c r="C56" i="68"/>
  <c r="J56" i="68"/>
  <c r="K56" i="68"/>
  <c r="C52" i="68"/>
  <c r="I56" i="68"/>
  <c r="C50" i="68"/>
  <c r="L56" i="68"/>
  <c r="M56" i="68"/>
  <c r="N56" i="68"/>
  <c r="O56" i="68"/>
  <c r="P56" i="68"/>
  <c r="C48" i="68"/>
  <c r="I37" i="68"/>
  <c r="J37" i="68"/>
  <c r="K37" i="68"/>
  <c r="C35" i="68"/>
  <c r="CV32" i="26"/>
  <c r="CV33" i="26"/>
  <c r="CV34" i="26"/>
  <c r="CV35" i="26"/>
  <c r="CV36" i="26"/>
  <c r="CV37" i="26"/>
  <c r="K18" i="68"/>
  <c r="L18" i="68"/>
  <c r="M18" i="68"/>
  <c r="C14" i="68"/>
  <c r="DP57" i="60"/>
  <c r="CL55" i="60"/>
  <c r="P32" i="64"/>
  <c r="Q28" i="64"/>
  <c r="R28" i="64"/>
  <c r="P29" i="64"/>
  <c r="Q29" i="64"/>
  <c r="R29" i="64"/>
  <c r="P30" i="64"/>
  <c r="Q30" i="64"/>
  <c r="R30" i="64"/>
  <c r="DU22" i="60"/>
  <c r="DU21" i="60"/>
  <c r="DU20" i="60"/>
  <c r="R20" i="67"/>
  <c r="BM33" i="64"/>
  <c r="AY1" i="64"/>
  <c r="AZ1" i="64"/>
  <c r="BA1" i="64"/>
  <c r="BB1" i="64"/>
  <c r="BC1" i="64"/>
  <c r="BD1" i="64"/>
  <c r="BE1" i="64"/>
  <c r="BF1" i="64"/>
  <c r="BG1" i="64"/>
  <c r="BI1" i="64"/>
  <c r="BJ1" i="64"/>
  <c r="BK1" i="64"/>
  <c r="BL1" i="64"/>
  <c r="BM1" i="64"/>
  <c r="BN1" i="64"/>
  <c r="BO1" i="64"/>
  <c r="BP1" i="64"/>
  <c r="BQ1" i="64"/>
  <c r="BR1" i="64"/>
  <c r="BS1" i="64"/>
  <c r="BT1" i="64"/>
  <c r="BU1" i="64"/>
  <c r="BV1" i="64"/>
  <c r="BW1" i="64"/>
  <c r="BI4" i="64"/>
  <c r="BJ4" i="64"/>
  <c r="BK4" i="64"/>
  <c r="BL4" i="64"/>
  <c r="BM4" i="64"/>
  <c r="BN4" i="64"/>
  <c r="BO4" i="64"/>
  <c r="BP4" i="64"/>
  <c r="BQ4" i="64"/>
  <c r="BR4" i="64"/>
  <c r="BS4" i="64"/>
  <c r="BT4" i="64"/>
  <c r="BU4" i="64"/>
  <c r="BV4" i="64"/>
  <c r="BW4" i="64"/>
  <c r="BI5" i="64"/>
  <c r="BJ5" i="64"/>
  <c r="BK5" i="64"/>
  <c r="BL5" i="64"/>
  <c r="BM5" i="64"/>
  <c r="BN5" i="64"/>
  <c r="BO5" i="64"/>
  <c r="BP5" i="64"/>
  <c r="BQ5" i="64"/>
  <c r="BR5" i="64"/>
  <c r="BS5" i="64"/>
  <c r="BT5" i="64"/>
  <c r="BU5" i="64"/>
  <c r="BV5" i="64"/>
  <c r="BW5" i="64"/>
  <c r="BI6" i="64"/>
  <c r="BJ6" i="64"/>
  <c r="BK6" i="64"/>
  <c r="BL6" i="64"/>
  <c r="BM6" i="64"/>
  <c r="BN6" i="64"/>
  <c r="BO6" i="64"/>
  <c r="BP6" i="64"/>
  <c r="BQ6" i="64"/>
  <c r="BR6" i="64"/>
  <c r="BS6" i="64"/>
  <c r="BT6" i="64"/>
  <c r="BU6" i="64"/>
  <c r="BV6" i="64"/>
  <c r="BW6" i="64"/>
  <c r="BI7" i="64"/>
  <c r="BJ7" i="64"/>
  <c r="BK7" i="64"/>
  <c r="BL7" i="64"/>
  <c r="BM7" i="64"/>
  <c r="BN7" i="64"/>
  <c r="BO7" i="64"/>
  <c r="BP7" i="64"/>
  <c r="BQ7" i="64"/>
  <c r="BR7" i="64"/>
  <c r="BS7" i="64"/>
  <c r="BT7" i="64"/>
  <c r="BU7" i="64"/>
  <c r="BV7" i="64"/>
  <c r="BW7" i="64"/>
  <c r="BI8" i="64"/>
  <c r="BJ8" i="64"/>
  <c r="BK8" i="64"/>
  <c r="BL8" i="64"/>
  <c r="BM8" i="64"/>
  <c r="BN8" i="64"/>
  <c r="BO8" i="64"/>
  <c r="BP8" i="64"/>
  <c r="BQ8" i="64"/>
  <c r="BR8" i="64"/>
  <c r="BS8" i="64"/>
  <c r="BT8" i="64"/>
  <c r="BU8" i="64"/>
  <c r="BV8" i="64"/>
  <c r="BW8" i="64"/>
  <c r="BI9" i="64"/>
  <c r="BJ9" i="64"/>
  <c r="BK9" i="64"/>
  <c r="BL9" i="64"/>
  <c r="BM9" i="64"/>
  <c r="BN9" i="64"/>
  <c r="BO9" i="64"/>
  <c r="BP9" i="64"/>
  <c r="BQ9" i="64"/>
  <c r="BR9" i="64"/>
  <c r="BS9" i="64"/>
  <c r="BT9" i="64"/>
  <c r="BU9" i="64"/>
  <c r="BV9" i="64"/>
  <c r="BW9" i="64"/>
  <c r="BI10" i="64"/>
  <c r="BJ10" i="64"/>
  <c r="BK10" i="64"/>
  <c r="BL10" i="64"/>
  <c r="BM10" i="64"/>
  <c r="BN10" i="64"/>
  <c r="BO10" i="64"/>
  <c r="BP10" i="64"/>
  <c r="BQ10" i="64"/>
  <c r="BR10" i="64"/>
  <c r="BS10" i="64"/>
  <c r="BT10" i="64"/>
  <c r="BU10" i="64"/>
  <c r="BV10" i="64"/>
  <c r="BW10" i="64"/>
  <c r="BI11" i="64"/>
  <c r="BJ11" i="64"/>
  <c r="BK11" i="64"/>
  <c r="BL11" i="64"/>
  <c r="BM11" i="64"/>
  <c r="BN11" i="64"/>
  <c r="BO11" i="64"/>
  <c r="BP11" i="64"/>
  <c r="BQ11" i="64"/>
  <c r="BR11" i="64"/>
  <c r="BS11" i="64"/>
  <c r="BT11" i="64"/>
  <c r="BU11" i="64"/>
  <c r="BV11" i="64"/>
  <c r="BW11" i="64"/>
  <c r="BI12" i="64"/>
  <c r="BJ12" i="64"/>
  <c r="BK12" i="64"/>
  <c r="BL12" i="64"/>
  <c r="BM12" i="64"/>
  <c r="BN12" i="64"/>
  <c r="BO12" i="64"/>
  <c r="BP12" i="64"/>
  <c r="BQ12" i="64"/>
  <c r="BR12" i="64"/>
  <c r="BS12" i="64"/>
  <c r="BT12" i="64"/>
  <c r="BU12" i="64"/>
  <c r="BV12" i="64"/>
  <c r="BW12" i="64"/>
  <c r="BI13" i="64"/>
  <c r="BJ13" i="64"/>
  <c r="BK13" i="64"/>
  <c r="BL13" i="64"/>
  <c r="BM13" i="64"/>
  <c r="BN13" i="64"/>
  <c r="BO13" i="64"/>
  <c r="BP13" i="64"/>
  <c r="BQ13" i="64"/>
  <c r="BR13" i="64"/>
  <c r="BS13" i="64"/>
  <c r="BT13" i="64"/>
  <c r="BU13" i="64"/>
  <c r="BV13" i="64"/>
  <c r="BW13" i="64"/>
  <c r="BI14" i="64"/>
  <c r="BJ14" i="64"/>
  <c r="BK14" i="64"/>
  <c r="BL14" i="64"/>
  <c r="BM14" i="64"/>
  <c r="BN14" i="64"/>
  <c r="BO14" i="64"/>
  <c r="BP14" i="64"/>
  <c r="BQ14" i="64"/>
  <c r="BR14" i="64"/>
  <c r="BS14" i="64"/>
  <c r="BT14" i="64"/>
  <c r="BU14" i="64"/>
  <c r="BV14" i="64"/>
  <c r="BW14" i="64"/>
  <c r="BI15" i="64"/>
  <c r="BJ15" i="64"/>
  <c r="BK15" i="64"/>
  <c r="BL15" i="64"/>
  <c r="BN15" i="64"/>
  <c r="BO15" i="64"/>
  <c r="BP15" i="64"/>
  <c r="BQ15" i="64"/>
  <c r="BR15" i="64"/>
  <c r="BS15" i="64"/>
  <c r="BT15" i="64"/>
  <c r="BU15" i="64"/>
  <c r="BV15" i="64"/>
  <c r="BW15" i="64"/>
  <c r="BI16" i="64"/>
  <c r="BJ16" i="64"/>
  <c r="BK16" i="64"/>
  <c r="BL16" i="64"/>
  <c r="BM16" i="64"/>
  <c r="BN16" i="64"/>
  <c r="BO16" i="64"/>
  <c r="BP16" i="64"/>
  <c r="BQ16" i="64"/>
  <c r="BR16" i="64"/>
  <c r="BS16" i="64"/>
  <c r="BT16" i="64"/>
  <c r="BU16" i="64"/>
  <c r="BV16" i="64"/>
  <c r="BW16" i="64"/>
  <c r="BI17" i="64"/>
  <c r="BJ17" i="64"/>
  <c r="BK17" i="64"/>
  <c r="BL17" i="64"/>
  <c r="BM17" i="64"/>
  <c r="BN17" i="64"/>
  <c r="BO17" i="64"/>
  <c r="BP17" i="64"/>
  <c r="BQ17" i="64"/>
  <c r="BR17" i="64"/>
  <c r="BS17" i="64"/>
  <c r="BT17" i="64"/>
  <c r="BU17" i="64"/>
  <c r="BV17" i="64"/>
  <c r="BW17" i="64"/>
  <c r="BI18" i="64"/>
  <c r="BJ18" i="64"/>
  <c r="BK18" i="64"/>
  <c r="BL18" i="64"/>
  <c r="BM18" i="64"/>
  <c r="BN18" i="64"/>
  <c r="BO18" i="64"/>
  <c r="BP18" i="64"/>
  <c r="BQ18" i="64"/>
  <c r="BR18" i="64"/>
  <c r="BS18" i="64"/>
  <c r="BT18" i="64"/>
  <c r="BU18" i="64"/>
  <c r="BV18" i="64"/>
  <c r="BW18" i="64"/>
  <c r="BI19" i="64"/>
  <c r="BJ19" i="64"/>
  <c r="BK19" i="64"/>
  <c r="BL19" i="64"/>
  <c r="BM19" i="64"/>
  <c r="BN19" i="64"/>
  <c r="BO19" i="64"/>
  <c r="BP19" i="64"/>
  <c r="BQ19" i="64"/>
  <c r="BR19" i="64"/>
  <c r="BS19" i="64"/>
  <c r="BT19" i="64"/>
  <c r="BU19" i="64"/>
  <c r="BV19" i="64"/>
  <c r="BW19" i="64"/>
  <c r="BI20" i="64"/>
  <c r="BJ20" i="64"/>
  <c r="BK20" i="64"/>
  <c r="BL20" i="64"/>
  <c r="BM20" i="64"/>
  <c r="BN20" i="64"/>
  <c r="BO20" i="64"/>
  <c r="BP20" i="64"/>
  <c r="BQ20" i="64"/>
  <c r="BR20" i="64"/>
  <c r="BS20" i="64"/>
  <c r="BT20" i="64"/>
  <c r="BU20" i="64"/>
  <c r="BV20" i="64"/>
  <c r="BW20" i="64"/>
  <c r="BI21" i="64"/>
  <c r="BJ21" i="64"/>
  <c r="BK21" i="64"/>
  <c r="BL21" i="64"/>
  <c r="BM21" i="64"/>
  <c r="BN21" i="64"/>
  <c r="BO21" i="64"/>
  <c r="BP21" i="64"/>
  <c r="BQ21" i="64"/>
  <c r="BR21" i="64"/>
  <c r="BS21" i="64"/>
  <c r="BT21" i="64"/>
  <c r="BU21" i="64"/>
  <c r="BV21" i="64"/>
  <c r="BW21" i="64"/>
  <c r="BI22" i="64"/>
  <c r="BJ22" i="64"/>
  <c r="BK22" i="64"/>
  <c r="BL22" i="64"/>
  <c r="BM22" i="64"/>
  <c r="BN22" i="64"/>
  <c r="BO22" i="64"/>
  <c r="BP22" i="64"/>
  <c r="BQ22" i="64"/>
  <c r="BR22" i="64"/>
  <c r="BS22" i="64"/>
  <c r="BT22" i="64"/>
  <c r="BU22" i="64"/>
  <c r="BV22" i="64"/>
  <c r="BW22" i="64"/>
  <c r="BI23" i="64"/>
  <c r="BJ23" i="64"/>
  <c r="BK23" i="64"/>
  <c r="BL23" i="64"/>
  <c r="BM23" i="64"/>
  <c r="BN23" i="64"/>
  <c r="BO23" i="64"/>
  <c r="BP23" i="64"/>
  <c r="BQ23" i="64"/>
  <c r="BR23" i="64"/>
  <c r="BS23" i="64"/>
  <c r="BT23" i="64"/>
  <c r="BU23" i="64"/>
  <c r="BV23" i="64"/>
  <c r="BW23" i="64"/>
  <c r="BI24" i="64"/>
  <c r="BJ24" i="64"/>
  <c r="BK24" i="64"/>
  <c r="BL24" i="64"/>
  <c r="BM24" i="64"/>
  <c r="BN24" i="64"/>
  <c r="BO24" i="64"/>
  <c r="BP24" i="64"/>
  <c r="BQ24" i="64"/>
  <c r="BR24" i="64"/>
  <c r="BS24" i="64"/>
  <c r="BT24" i="64"/>
  <c r="BU24" i="64"/>
  <c r="BV24" i="64"/>
  <c r="BW24" i="64"/>
  <c r="BI25" i="64"/>
  <c r="BJ25" i="64"/>
  <c r="BK25" i="64"/>
  <c r="BL25" i="64"/>
  <c r="BM25" i="64"/>
  <c r="BN25" i="64"/>
  <c r="BO25" i="64"/>
  <c r="BP25" i="64"/>
  <c r="BQ25" i="64"/>
  <c r="BR25" i="64"/>
  <c r="BS25" i="64"/>
  <c r="BT25" i="64"/>
  <c r="BU25" i="64"/>
  <c r="BV25" i="64"/>
  <c r="BW25" i="64"/>
  <c r="BI26" i="64"/>
  <c r="BJ26" i="64"/>
  <c r="BK26" i="64"/>
  <c r="BL26" i="64"/>
  <c r="BM26" i="64"/>
  <c r="BN26" i="64"/>
  <c r="BO26" i="64"/>
  <c r="BP26" i="64"/>
  <c r="BQ26" i="64"/>
  <c r="BR26" i="64"/>
  <c r="BS26" i="64"/>
  <c r="BT26" i="64"/>
  <c r="BU26" i="64"/>
  <c r="BV26" i="64"/>
  <c r="BW26" i="64"/>
  <c r="BI27" i="64"/>
  <c r="BJ27" i="64"/>
  <c r="BK27" i="64"/>
  <c r="BL27" i="64"/>
  <c r="BM27" i="64"/>
  <c r="BN27" i="64"/>
  <c r="BO27" i="64"/>
  <c r="BP27" i="64"/>
  <c r="BQ27" i="64"/>
  <c r="BR27" i="64"/>
  <c r="BS27" i="64"/>
  <c r="BT27" i="64"/>
  <c r="BU27" i="64"/>
  <c r="BV27" i="64"/>
  <c r="BW27" i="64"/>
  <c r="F28" i="64"/>
  <c r="AS28" i="64" s="1"/>
  <c r="U28" i="64"/>
  <c r="AW28" i="64" s="1"/>
  <c r="T28" i="64"/>
  <c r="AX28" i="64" s="1"/>
  <c r="W28" i="64"/>
  <c r="AY28" i="64" s="1"/>
  <c r="AG28" i="64"/>
  <c r="AD28" i="64"/>
  <c r="V28" i="64"/>
  <c r="AI28" i="64"/>
  <c r="BF28" i="64" s="1"/>
  <c r="BI28" i="64"/>
  <c r="BJ28" i="64"/>
  <c r="BK28" i="64"/>
  <c r="BL28" i="64"/>
  <c r="BM28" i="64"/>
  <c r="BN28" i="64"/>
  <c r="BO28" i="64"/>
  <c r="BP28" i="64"/>
  <c r="BQ28" i="64"/>
  <c r="BR28" i="64"/>
  <c r="BS28" i="64"/>
  <c r="BT28" i="64"/>
  <c r="BU28" i="64"/>
  <c r="BV28" i="64"/>
  <c r="BW28" i="64"/>
  <c r="F29" i="64"/>
  <c r="AS29" i="64" s="1"/>
  <c r="S29" i="64"/>
  <c r="AV29" i="64" s="1"/>
  <c r="W29" i="64"/>
  <c r="AY29" i="64" s="1"/>
  <c r="AG29" i="64"/>
  <c r="AD29" i="64"/>
  <c r="V29" i="64"/>
  <c r="AI29" i="64"/>
  <c r="BF29" i="64" s="1"/>
  <c r="BI29" i="64"/>
  <c r="BJ29" i="64"/>
  <c r="BK29" i="64"/>
  <c r="BL29" i="64"/>
  <c r="BM29" i="64"/>
  <c r="BN29" i="64"/>
  <c r="BO29" i="64"/>
  <c r="BP29" i="64"/>
  <c r="BQ29" i="64"/>
  <c r="BR29" i="64"/>
  <c r="BS29" i="64"/>
  <c r="BT29" i="64"/>
  <c r="BU29" i="64"/>
  <c r="BV29" i="64"/>
  <c r="BW29" i="64"/>
  <c r="F30" i="64"/>
  <c r="AS30" i="64" s="1"/>
  <c r="W30" i="64"/>
  <c r="AY30" i="64" s="1"/>
  <c r="AG30" i="64"/>
  <c r="AD30" i="64"/>
  <c r="V30" i="64"/>
  <c r="AI30" i="64"/>
  <c r="BF30" i="64" s="1"/>
  <c r="BI30" i="64"/>
  <c r="BJ30" i="64"/>
  <c r="BK30" i="64"/>
  <c r="BL30" i="64"/>
  <c r="BM30" i="64"/>
  <c r="BN30" i="64"/>
  <c r="BO30" i="64"/>
  <c r="BP30" i="64"/>
  <c r="BQ30" i="64"/>
  <c r="BR30" i="64"/>
  <c r="BS30" i="64"/>
  <c r="BT30" i="64"/>
  <c r="BU30" i="64"/>
  <c r="BV30" i="64"/>
  <c r="BW30" i="64"/>
  <c r="F32" i="64"/>
  <c r="AS32" i="64" s="1"/>
  <c r="S32" i="64"/>
  <c r="AV32" i="64" s="1"/>
  <c r="U32" i="64"/>
  <c r="AW32" i="64" s="1"/>
  <c r="T32" i="64"/>
  <c r="AX32" i="64" s="1"/>
  <c r="W32" i="64"/>
  <c r="AY32" i="64" s="1"/>
  <c r="AG32" i="64"/>
  <c r="AD32" i="64"/>
  <c r="V32" i="64"/>
  <c r="AI32" i="64"/>
  <c r="BF32" i="64" s="1"/>
  <c r="BI32" i="64"/>
  <c r="BJ32" i="64"/>
  <c r="BK32" i="64"/>
  <c r="BL32" i="64"/>
  <c r="BM32" i="64"/>
  <c r="BN32" i="64"/>
  <c r="BO32" i="64"/>
  <c r="BP32" i="64"/>
  <c r="BQ32" i="64"/>
  <c r="BR32" i="64"/>
  <c r="BS32" i="64"/>
  <c r="BT32" i="64"/>
  <c r="BU32" i="64"/>
  <c r="BV32" i="64"/>
  <c r="BW32" i="64"/>
  <c r="BI33" i="64"/>
  <c r="BJ33" i="64"/>
  <c r="BK33" i="64"/>
  <c r="BL33" i="64"/>
  <c r="BN33" i="64"/>
  <c r="BO33" i="64"/>
  <c r="BP33" i="64"/>
  <c r="BQ33" i="64"/>
  <c r="BR33" i="64"/>
  <c r="BS33" i="64"/>
  <c r="BT33" i="64"/>
  <c r="BU33" i="64"/>
  <c r="BV33" i="64"/>
  <c r="BW33" i="64"/>
  <c r="BI34" i="64"/>
  <c r="BJ34" i="64"/>
  <c r="BK34" i="64"/>
  <c r="BL34" i="64"/>
  <c r="BM34" i="64"/>
  <c r="BN34" i="64"/>
  <c r="BO34" i="64"/>
  <c r="BP34" i="64"/>
  <c r="BQ34" i="64"/>
  <c r="BR34" i="64"/>
  <c r="BS34" i="64"/>
  <c r="BT34" i="64"/>
  <c r="BU34" i="64"/>
  <c r="BV34" i="64"/>
  <c r="BW34" i="64"/>
  <c r="BI35" i="64"/>
  <c r="BJ35" i="64"/>
  <c r="BK35" i="64"/>
  <c r="BL35" i="64"/>
  <c r="BM35" i="64"/>
  <c r="BN35" i="64"/>
  <c r="BO35" i="64"/>
  <c r="BP35" i="64"/>
  <c r="BQ35" i="64"/>
  <c r="BR35" i="64"/>
  <c r="BS35" i="64"/>
  <c r="BT35" i="64"/>
  <c r="BU35" i="64"/>
  <c r="BV35" i="64"/>
  <c r="BW35" i="64"/>
  <c r="BI36" i="64"/>
  <c r="BJ36" i="64"/>
  <c r="BK36" i="64"/>
  <c r="BL36" i="64"/>
  <c r="BM36" i="64"/>
  <c r="BN36" i="64"/>
  <c r="BO36" i="64"/>
  <c r="BP36" i="64"/>
  <c r="BQ36" i="64"/>
  <c r="BR36" i="64"/>
  <c r="BS36" i="64"/>
  <c r="BT36" i="64"/>
  <c r="BU36" i="64"/>
  <c r="BV36" i="64"/>
  <c r="BW36" i="64"/>
  <c r="BI37" i="64"/>
  <c r="BJ37" i="64"/>
  <c r="BK37" i="64"/>
  <c r="BL37" i="64"/>
  <c r="BM37" i="64"/>
  <c r="BN37" i="64"/>
  <c r="BO37" i="64"/>
  <c r="BP37" i="64"/>
  <c r="BQ37" i="64"/>
  <c r="BR37" i="64"/>
  <c r="BS37" i="64"/>
  <c r="BT37" i="64"/>
  <c r="BU37" i="64"/>
  <c r="BV37" i="64"/>
  <c r="BW37" i="64"/>
  <c r="BI38" i="64"/>
  <c r="BJ38" i="64"/>
  <c r="BK38" i="64"/>
  <c r="BL38" i="64"/>
  <c r="BM38" i="64"/>
  <c r="BN38" i="64"/>
  <c r="BO38" i="64"/>
  <c r="BP38" i="64"/>
  <c r="BQ38" i="64"/>
  <c r="BR38" i="64"/>
  <c r="BS38" i="64"/>
  <c r="BT38" i="64"/>
  <c r="BU38" i="64"/>
  <c r="BV38" i="64"/>
  <c r="BW38" i="64"/>
  <c r="BI39" i="64"/>
  <c r="BJ39" i="64"/>
  <c r="BK39" i="64"/>
  <c r="BL39" i="64"/>
  <c r="BM39" i="64"/>
  <c r="BN39" i="64"/>
  <c r="BO39" i="64"/>
  <c r="BP39" i="64"/>
  <c r="BQ39" i="64"/>
  <c r="BR39" i="64"/>
  <c r="BS39" i="64"/>
  <c r="BT39" i="64"/>
  <c r="BU39" i="64"/>
  <c r="BV39" i="64"/>
  <c r="BW39" i="64"/>
  <c r="BI40" i="64"/>
  <c r="BJ40" i="64"/>
  <c r="BK40" i="64"/>
  <c r="BL40" i="64"/>
  <c r="BM40" i="64"/>
  <c r="BN40" i="64"/>
  <c r="BO40" i="64"/>
  <c r="BP40" i="64"/>
  <c r="BQ40" i="64"/>
  <c r="BR40" i="64"/>
  <c r="BS40" i="64"/>
  <c r="BT40" i="64"/>
  <c r="BU40" i="64"/>
  <c r="BV40" i="64"/>
  <c r="BW40" i="64"/>
  <c r="N2" i="67"/>
  <c r="N35" i="67"/>
  <c r="N40" i="67"/>
  <c r="T2" i="67"/>
  <c r="T36" i="67"/>
  <c r="T35" i="67"/>
  <c r="T37" i="67"/>
  <c r="T38" i="67"/>
  <c r="T39" i="67"/>
  <c r="T40" i="67"/>
  <c r="T41" i="67"/>
  <c r="P2" i="67"/>
  <c r="Q2" i="67"/>
  <c r="R2" i="67"/>
  <c r="S2" i="67"/>
  <c r="U2" i="67"/>
  <c r="V2" i="67"/>
  <c r="W2" i="67"/>
  <c r="X2" i="67"/>
  <c r="Y2" i="67"/>
  <c r="Z2" i="67"/>
  <c r="AA2" i="67"/>
  <c r="AB2" i="67"/>
  <c r="AC2" i="67"/>
  <c r="AD2" i="67"/>
  <c r="AE2" i="67"/>
  <c r="AF2" i="67"/>
  <c r="AG2" i="67"/>
  <c r="AH2" i="67"/>
  <c r="P36" i="67"/>
  <c r="P35" i="67"/>
  <c r="P37" i="67"/>
  <c r="P38" i="67"/>
  <c r="P39" i="67"/>
  <c r="P40" i="67"/>
  <c r="P41" i="67"/>
  <c r="N36" i="67"/>
  <c r="N37" i="67"/>
  <c r="N38" i="67"/>
  <c r="N39" i="67"/>
  <c r="N41" i="67"/>
  <c r="L2" i="67"/>
  <c r="CX97" i="60"/>
  <c r="CV97" i="60"/>
  <c r="CX96" i="60"/>
  <c r="CX95" i="60"/>
  <c r="CV95" i="60"/>
  <c r="CX94" i="60"/>
  <c r="CX93" i="60"/>
  <c r="CX92" i="60"/>
  <c r="L36" i="67"/>
  <c r="L35" i="67"/>
  <c r="L37" i="67"/>
  <c r="L38" i="67"/>
  <c r="L39" i="67"/>
  <c r="L40" i="67"/>
  <c r="L41" i="67"/>
  <c r="J2" i="67"/>
  <c r="J36" i="67"/>
  <c r="J35" i="67"/>
  <c r="J37" i="67"/>
  <c r="J38" i="67"/>
  <c r="J39" i="67"/>
  <c r="J40" i="67"/>
  <c r="J41" i="67"/>
  <c r="F2" i="67"/>
  <c r="F37" i="67"/>
  <c r="F35" i="67"/>
  <c r="F36" i="67"/>
  <c r="F38" i="67"/>
  <c r="F39" i="67"/>
  <c r="F40" i="67"/>
  <c r="F41" i="67"/>
  <c r="I156" i="68"/>
  <c r="J156" i="68"/>
  <c r="K156" i="68"/>
  <c r="K439" i="68"/>
  <c r="J439" i="68"/>
  <c r="I439" i="68"/>
  <c r="H439" i="68"/>
  <c r="G439" i="68"/>
  <c r="F439" i="68"/>
  <c r="K421" i="68"/>
  <c r="J421" i="68"/>
  <c r="I421" i="68"/>
  <c r="H421" i="68"/>
  <c r="G421" i="68"/>
  <c r="F421" i="68"/>
  <c r="K402" i="68"/>
  <c r="J402" i="68"/>
  <c r="I402" i="68"/>
  <c r="H402" i="68"/>
  <c r="G402" i="68"/>
  <c r="F402" i="68"/>
  <c r="I383" i="68"/>
  <c r="H383" i="68"/>
  <c r="G383" i="68"/>
  <c r="F383" i="68"/>
  <c r="I365" i="68"/>
  <c r="H365" i="68"/>
  <c r="G365" i="68"/>
  <c r="F365" i="68"/>
  <c r="I346" i="68"/>
  <c r="H346" i="68"/>
  <c r="G346" i="68"/>
  <c r="F346" i="68"/>
  <c r="I327" i="68"/>
  <c r="H327" i="68"/>
  <c r="G327" i="68"/>
  <c r="F327" i="68"/>
  <c r="F308" i="68"/>
  <c r="H289" i="68"/>
  <c r="G289" i="68"/>
  <c r="F289" i="68"/>
  <c r="I270" i="68"/>
  <c r="H270" i="68"/>
  <c r="G270" i="68"/>
  <c r="F270" i="68"/>
  <c r="H252" i="68"/>
  <c r="G252" i="68"/>
  <c r="F252" i="68"/>
  <c r="I234" i="68"/>
  <c r="H234" i="68"/>
  <c r="G234" i="68"/>
  <c r="F234" i="68"/>
  <c r="I215" i="68"/>
  <c r="H215" i="68"/>
  <c r="G215" i="68"/>
  <c r="F215" i="68"/>
  <c r="H196" i="68"/>
  <c r="G196" i="68"/>
  <c r="F196" i="68"/>
  <c r="I177" i="68"/>
  <c r="H177" i="68"/>
  <c r="G177" i="68"/>
  <c r="F177" i="68"/>
  <c r="H156" i="68"/>
  <c r="G156" i="68"/>
  <c r="F156" i="68"/>
  <c r="Y137" i="68"/>
  <c r="X137" i="68"/>
  <c r="W137" i="68"/>
  <c r="S137" i="68"/>
  <c r="R137" i="68"/>
  <c r="Q137" i="68"/>
  <c r="P137" i="68"/>
  <c r="O137" i="68"/>
  <c r="N137" i="68"/>
  <c r="M137" i="68"/>
  <c r="L137" i="68"/>
  <c r="K137" i="68"/>
  <c r="H137" i="68"/>
  <c r="G137" i="68"/>
  <c r="Z119" i="68"/>
  <c r="Y119" i="68"/>
  <c r="X119" i="68"/>
  <c r="W119" i="68"/>
  <c r="V119" i="68"/>
  <c r="U119" i="68"/>
  <c r="S119" i="68"/>
  <c r="R119" i="68"/>
  <c r="N119" i="68"/>
  <c r="M119" i="68"/>
  <c r="L119" i="68"/>
  <c r="H119" i="68"/>
  <c r="I75" i="68"/>
  <c r="G75" i="68"/>
  <c r="G56" i="68"/>
  <c r="H37" i="68"/>
  <c r="G37" i="68"/>
  <c r="G18" i="68"/>
  <c r="E2" i="67"/>
  <c r="J17" i="64"/>
  <c r="G4" i="64"/>
  <c r="H4" i="64"/>
  <c r="I4" i="64"/>
  <c r="J4" i="64"/>
  <c r="K4" i="64"/>
  <c r="L4" i="64"/>
  <c r="M4" i="64"/>
  <c r="N4" i="64"/>
  <c r="O4" i="64"/>
  <c r="X4" i="64"/>
  <c r="Y4" i="64"/>
  <c r="Z4" i="64"/>
  <c r="AA4" i="64"/>
  <c r="AB4" i="64"/>
  <c r="AC4" i="64"/>
  <c r="F7" i="67"/>
  <c r="G2" i="67"/>
  <c r="G7" i="67"/>
  <c r="H2" i="67"/>
  <c r="H7" i="67"/>
  <c r="J5" i="64"/>
  <c r="J6" i="64"/>
  <c r="J7" i="64"/>
  <c r="J8" i="64"/>
  <c r="J9" i="64"/>
  <c r="J10" i="64"/>
  <c r="J11" i="64"/>
  <c r="J12" i="64"/>
  <c r="J13" i="64"/>
  <c r="J14" i="64"/>
  <c r="J15" i="64"/>
  <c r="J16" i="64"/>
  <c r="J18" i="64"/>
  <c r="J19" i="64"/>
  <c r="J20" i="64"/>
  <c r="J21" i="64"/>
  <c r="J22" i="64"/>
  <c r="J23" i="64"/>
  <c r="J24" i="64"/>
  <c r="J25" i="64"/>
  <c r="J26" i="64"/>
  <c r="J27" i="64"/>
  <c r="J7" i="67"/>
  <c r="L7" i="67"/>
  <c r="R7" i="67"/>
  <c r="T7" i="67"/>
  <c r="V7" i="67"/>
  <c r="X7" i="67"/>
  <c r="Y7" i="67"/>
  <c r="Z7" i="67"/>
  <c r="AB7" i="67"/>
  <c r="AC7" i="67"/>
  <c r="AD7" i="67"/>
  <c r="AF7" i="67"/>
  <c r="AH7" i="67"/>
  <c r="F8" i="67"/>
  <c r="G8" i="67"/>
  <c r="H8" i="67"/>
  <c r="J8" i="67"/>
  <c r="L8" i="67"/>
  <c r="N8" i="67"/>
  <c r="P8" i="67"/>
  <c r="R8" i="67"/>
  <c r="T8" i="67"/>
  <c r="V8" i="67"/>
  <c r="X8" i="67"/>
  <c r="Y8" i="67"/>
  <c r="Z8" i="67"/>
  <c r="AB8" i="67"/>
  <c r="AC8" i="67"/>
  <c r="AD8" i="67"/>
  <c r="AF8" i="67"/>
  <c r="AH8" i="67"/>
  <c r="F9" i="67"/>
  <c r="G9" i="67"/>
  <c r="H9" i="67"/>
  <c r="J9" i="67"/>
  <c r="L9" i="67"/>
  <c r="N9" i="67"/>
  <c r="P9" i="67"/>
  <c r="R9" i="67"/>
  <c r="T9" i="67"/>
  <c r="V9" i="67"/>
  <c r="X9" i="67"/>
  <c r="Y9" i="67"/>
  <c r="Z9" i="67"/>
  <c r="AB9" i="67"/>
  <c r="AC9" i="67"/>
  <c r="AD9" i="67"/>
  <c r="AF9" i="67"/>
  <c r="AH9" i="67"/>
  <c r="F10" i="67"/>
  <c r="G10" i="67"/>
  <c r="H10" i="67"/>
  <c r="J10" i="67"/>
  <c r="L10" i="67"/>
  <c r="N10" i="67"/>
  <c r="P10" i="67"/>
  <c r="R10" i="67"/>
  <c r="T10" i="67"/>
  <c r="V10" i="67"/>
  <c r="X10" i="67"/>
  <c r="Y10" i="67"/>
  <c r="Z10" i="67"/>
  <c r="AB10" i="67"/>
  <c r="AC10" i="67"/>
  <c r="AD10" i="67"/>
  <c r="AF10" i="67"/>
  <c r="AH10" i="67"/>
  <c r="F11" i="67"/>
  <c r="G11" i="67"/>
  <c r="H11" i="67"/>
  <c r="J11" i="67"/>
  <c r="L11" i="67"/>
  <c r="N11" i="67"/>
  <c r="P11" i="67"/>
  <c r="R11" i="67"/>
  <c r="T11" i="67"/>
  <c r="V11" i="67"/>
  <c r="X11" i="67"/>
  <c r="Y11" i="67"/>
  <c r="Z11" i="67"/>
  <c r="AB11" i="67"/>
  <c r="AC11" i="67"/>
  <c r="AD11" i="67"/>
  <c r="AF11" i="67"/>
  <c r="AH11" i="67"/>
  <c r="F12" i="67"/>
  <c r="G12" i="67"/>
  <c r="H12" i="67"/>
  <c r="J12" i="67"/>
  <c r="L12" i="67"/>
  <c r="N12" i="67"/>
  <c r="P12" i="67"/>
  <c r="R12" i="67"/>
  <c r="T12" i="67"/>
  <c r="V12" i="67"/>
  <c r="X12" i="67"/>
  <c r="Y12" i="67"/>
  <c r="Z12" i="67"/>
  <c r="AB12" i="67"/>
  <c r="AC12" i="67"/>
  <c r="AD12" i="67"/>
  <c r="AF12" i="67"/>
  <c r="AH12" i="67"/>
  <c r="F13" i="67"/>
  <c r="G13" i="67"/>
  <c r="H13" i="67"/>
  <c r="J13" i="67"/>
  <c r="L13" i="67"/>
  <c r="N13" i="67"/>
  <c r="P13" i="67"/>
  <c r="R13" i="67"/>
  <c r="T13" i="67"/>
  <c r="V13" i="67"/>
  <c r="X13" i="67"/>
  <c r="Y13" i="67"/>
  <c r="Z13" i="67"/>
  <c r="AB13" i="67"/>
  <c r="AC13" i="67"/>
  <c r="AD13" i="67"/>
  <c r="AF13" i="67"/>
  <c r="AH13" i="67"/>
  <c r="F14" i="67"/>
  <c r="G14" i="67"/>
  <c r="H14" i="67"/>
  <c r="J14" i="67"/>
  <c r="L14" i="67"/>
  <c r="N14" i="67"/>
  <c r="P14" i="67"/>
  <c r="R14" i="67"/>
  <c r="T14" i="67"/>
  <c r="V14" i="67"/>
  <c r="X14" i="67"/>
  <c r="Y14" i="67"/>
  <c r="Z14" i="67"/>
  <c r="AB14" i="67"/>
  <c r="AC14" i="67"/>
  <c r="AD14" i="67"/>
  <c r="AF14" i="67"/>
  <c r="AH14" i="67"/>
  <c r="F15" i="67"/>
  <c r="G15" i="67"/>
  <c r="H15" i="67"/>
  <c r="J15" i="67"/>
  <c r="L15" i="67"/>
  <c r="N15" i="67"/>
  <c r="P15" i="67"/>
  <c r="R15" i="67"/>
  <c r="T15" i="67"/>
  <c r="V15" i="67"/>
  <c r="X15" i="67"/>
  <c r="Y15" i="67"/>
  <c r="Z15" i="67"/>
  <c r="AB15" i="67"/>
  <c r="AC15" i="67"/>
  <c r="AD15" i="67"/>
  <c r="AF15" i="67"/>
  <c r="AH15" i="67"/>
  <c r="F16" i="67"/>
  <c r="G16" i="67"/>
  <c r="H16" i="67"/>
  <c r="J16" i="67"/>
  <c r="L16" i="67"/>
  <c r="N16" i="67"/>
  <c r="P16" i="67"/>
  <c r="R16" i="67"/>
  <c r="T16" i="67"/>
  <c r="V16" i="67"/>
  <c r="X16" i="67"/>
  <c r="Y16" i="67"/>
  <c r="Z16" i="67"/>
  <c r="AB16" i="67"/>
  <c r="AC16" i="67"/>
  <c r="AD16" i="67"/>
  <c r="AF16" i="67"/>
  <c r="AH16" i="67"/>
  <c r="F17" i="67"/>
  <c r="G17" i="67"/>
  <c r="H17" i="67"/>
  <c r="J17" i="67"/>
  <c r="L17" i="67"/>
  <c r="P17" i="67"/>
  <c r="R17" i="67"/>
  <c r="T17" i="67"/>
  <c r="V17" i="67"/>
  <c r="X17" i="67"/>
  <c r="Y17" i="67"/>
  <c r="Z17" i="67"/>
  <c r="AB17" i="67"/>
  <c r="AC17" i="67"/>
  <c r="AD17" i="67"/>
  <c r="AF17" i="67"/>
  <c r="AH17" i="67"/>
  <c r="F18" i="67"/>
  <c r="G18" i="67"/>
  <c r="H18" i="67"/>
  <c r="J18" i="67"/>
  <c r="L18" i="67"/>
  <c r="N18" i="67"/>
  <c r="P18" i="67"/>
  <c r="R18" i="67"/>
  <c r="T18" i="67"/>
  <c r="V18" i="67"/>
  <c r="X18" i="67"/>
  <c r="Y18" i="67"/>
  <c r="Z18" i="67"/>
  <c r="AB18" i="67"/>
  <c r="AC18" i="67"/>
  <c r="AD18" i="67"/>
  <c r="AF18" i="67"/>
  <c r="AH18" i="67"/>
  <c r="F19" i="67"/>
  <c r="G19" i="67"/>
  <c r="H19" i="67"/>
  <c r="J19" i="67"/>
  <c r="L19" i="67"/>
  <c r="N19" i="67"/>
  <c r="P19" i="67"/>
  <c r="R19" i="67"/>
  <c r="T19" i="67"/>
  <c r="V19" i="67"/>
  <c r="X19" i="67"/>
  <c r="Y19" i="67"/>
  <c r="Z19" i="67"/>
  <c r="AB19" i="67"/>
  <c r="AC19" i="67"/>
  <c r="AD19" i="67"/>
  <c r="AF19" i="67"/>
  <c r="AH19" i="67"/>
  <c r="F20" i="67"/>
  <c r="G20" i="67"/>
  <c r="H20" i="67"/>
  <c r="J20" i="67"/>
  <c r="L20" i="67"/>
  <c r="N20" i="67"/>
  <c r="P20" i="67"/>
  <c r="T20" i="67"/>
  <c r="V20" i="67"/>
  <c r="X20" i="67"/>
  <c r="Y20" i="67"/>
  <c r="Z20" i="67"/>
  <c r="AB20" i="67"/>
  <c r="AC20" i="67"/>
  <c r="AD20" i="67"/>
  <c r="AF20" i="67"/>
  <c r="AH20" i="67"/>
  <c r="F21" i="67"/>
  <c r="G21" i="67"/>
  <c r="H21" i="67"/>
  <c r="J21" i="67"/>
  <c r="L21" i="67"/>
  <c r="N21" i="67"/>
  <c r="P21" i="67"/>
  <c r="R21" i="67"/>
  <c r="T21" i="67"/>
  <c r="V21" i="67"/>
  <c r="X21" i="67"/>
  <c r="Y21" i="67"/>
  <c r="Z21" i="67"/>
  <c r="AB21" i="67"/>
  <c r="AC21" i="67"/>
  <c r="AD21" i="67"/>
  <c r="AF21" i="67"/>
  <c r="AH21" i="67"/>
  <c r="F22" i="67"/>
  <c r="G22" i="67"/>
  <c r="H22" i="67"/>
  <c r="J22" i="67"/>
  <c r="L22" i="67"/>
  <c r="N22" i="67"/>
  <c r="P22" i="67"/>
  <c r="R22" i="67"/>
  <c r="T22" i="67"/>
  <c r="V22" i="67"/>
  <c r="X22" i="67"/>
  <c r="Y22" i="67"/>
  <c r="Z22" i="67"/>
  <c r="AB22" i="67"/>
  <c r="AC22" i="67"/>
  <c r="AD22" i="67"/>
  <c r="AF22" i="67"/>
  <c r="AH22" i="67"/>
  <c r="F23" i="67"/>
  <c r="G23" i="67"/>
  <c r="H23" i="67"/>
  <c r="J23" i="67"/>
  <c r="L23" i="67"/>
  <c r="N23" i="67"/>
  <c r="P23" i="67"/>
  <c r="R23" i="67"/>
  <c r="T23" i="67"/>
  <c r="V23" i="67"/>
  <c r="X23" i="67"/>
  <c r="Y23" i="67"/>
  <c r="Z23" i="67"/>
  <c r="AB23" i="67"/>
  <c r="AC23" i="67"/>
  <c r="AD23" i="67"/>
  <c r="AF23" i="67"/>
  <c r="AH23" i="67"/>
  <c r="F24" i="67"/>
  <c r="G24" i="67"/>
  <c r="H24" i="67"/>
  <c r="J24" i="67"/>
  <c r="L24" i="67"/>
  <c r="N24" i="67"/>
  <c r="P24" i="67"/>
  <c r="R24" i="67"/>
  <c r="T24" i="67"/>
  <c r="V24" i="67"/>
  <c r="X24" i="67"/>
  <c r="Y24" i="67"/>
  <c r="Z24" i="67"/>
  <c r="AB24" i="67"/>
  <c r="AC24" i="67"/>
  <c r="AD24" i="67"/>
  <c r="AF24" i="67"/>
  <c r="AH24" i="67"/>
  <c r="F25" i="67"/>
  <c r="G25" i="67"/>
  <c r="H25" i="67"/>
  <c r="J25" i="67"/>
  <c r="L25" i="67"/>
  <c r="N25" i="67"/>
  <c r="P25" i="67"/>
  <c r="R25" i="67"/>
  <c r="T25" i="67"/>
  <c r="V25" i="67"/>
  <c r="X25" i="67"/>
  <c r="Y25" i="67"/>
  <c r="Z25" i="67"/>
  <c r="AB25" i="67"/>
  <c r="AC25" i="67"/>
  <c r="AD25" i="67"/>
  <c r="AF25" i="67"/>
  <c r="AH25" i="67"/>
  <c r="F26" i="67"/>
  <c r="G26" i="67"/>
  <c r="H26" i="67"/>
  <c r="J26" i="67"/>
  <c r="L26" i="67"/>
  <c r="N26" i="67"/>
  <c r="P26" i="67"/>
  <c r="R26" i="67"/>
  <c r="T26" i="67"/>
  <c r="V26" i="67"/>
  <c r="X26" i="67"/>
  <c r="Y26" i="67"/>
  <c r="Z26" i="67"/>
  <c r="AB26" i="67"/>
  <c r="AC26" i="67"/>
  <c r="AD26" i="67"/>
  <c r="AF26" i="67"/>
  <c r="AH26" i="67"/>
  <c r="F27" i="67"/>
  <c r="G27" i="67"/>
  <c r="H27" i="67"/>
  <c r="J27" i="67"/>
  <c r="L27" i="67"/>
  <c r="N27" i="67"/>
  <c r="P27" i="67"/>
  <c r="R27" i="67"/>
  <c r="T27" i="67"/>
  <c r="V27" i="67"/>
  <c r="X27" i="67"/>
  <c r="Y27" i="67"/>
  <c r="Z27" i="67"/>
  <c r="AB27" i="67"/>
  <c r="AC27" i="67"/>
  <c r="AD27" i="67"/>
  <c r="AF27" i="67"/>
  <c r="AH27" i="67"/>
  <c r="F28" i="67"/>
  <c r="G28" i="67"/>
  <c r="H28" i="67"/>
  <c r="J28" i="67"/>
  <c r="L28" i="67"/>
  <c r="N28" i="67"/>
  <c r="P28" i="67"/>
  <c r="R28" i="67"/>
  <c r="T28" i="67"/>
  <c r="V28" i="67"/>
  <c r="X28" i="67"/>
  <c r="Y28" i="67"/>
  <c r="Z28" i="67"/>
  <c r="AB28" i="67"/>
  <c r="AC28" i="67"/>
  <c r="AD28" i="67"/>
  <c r="AF28" i="67"/>
  <c r="AH28" i="67"/>
  <c r="F29" i="67"/>
  <c r="G29" i="67"/>
  <c r="H29" i="67"/>
  <c r="J28" i="64"/>
  <c r="J29" i="67"/>
  <c r="L29" i="67"/>
  <c r="N29" i="67"/>
  <c r="P29" i="67"/>
  <c r="R29" i="67"/>
  <c r="T29" i="67"/>
  <c r="V29" i="67"/>
  <c r="X29" i="67"/>
  <c r="Y29" i="67"/>
  <c r="Z29" i="67"/>
  <c r="AB29" i="67"/>
  <c r="AC29" i="67"/>
  <c r="AD29" i="67"/>
  <c r="AF29" i="67"/>
  <c r="AH29" i="67"/>
  <c r="F30" i="67"/>
  <c r="G30" i="67"/>
  <c r="H30" i="67"/>
  <c r="J30" i="67"/>
  <c r="L30" i="67"/>
  <c r="N30" i="67"/>
  <c r="P30" i="67"/>
  <c r="R30" i="67"/>
  <c r="T30" i="67"/>
  <c r="V30" i="67"/>
  <c r="X30" i="67"/>
  <c r="Y30" i="67"/>
  <c r="Z30" i="67"/>
  <c r="AB30" i="67"/>
  <c r="AC30" i="67"/>
  <c r="AD30" i="67"/>
  <c r="AF30" i="67"/>
  <c r="AH30" i="67"/>
  <c r="F31" i="67"/>
  <c r="G31" i="67"/>
  <c r="H31" i="67"/>
  <c r="J29" i="64"/>
  <c r="J31" i="67"/>
  <c r="L31" i="67"/>
  <c r="N31" i="67"/>
  <c r="P31" i="67"/>
  <c r="R31" i="67"/>
  <c r="T31" i="67"/>
  <c r="V31" i="67"/>
  <c r="X31" i="67"/>
  <c r="Y31" i="67"/>
  <c r="Z31" i="67"/>
  <c r="AB31" i="67"/>
  <c r="AC31" i="67"/>
  <c r="AD31" i="67"/>
  <c r="AF31" i="67"/>
  <c r="AH31" i="67"/>
  <c r="F32" i="67"/>
  <c r="G32" i="67"/>
  <c r="H32" i="67"/>
  <c r="J30" i="64"/>
  <c r="J32" i="67"/>
  <c r="L32" i="67"/>
  <c r="N32" i="67"/>
  <c r="P32" i="67"/>
  <c r="R32" i="67"/>
  <c r="T32" i="67"/>
  <c r="V32" i="67"/>
  <c r="X32" i="67"/>
  <c r="Y32" i="67"/>
  <c r="Z32" i="67"/>
  <c r="AB32" i="67"/>
  <c r="AC32" i="67"/>
  <c r="AD32" i="67"/>
  <c r="AF32" i="67"/>
  <c r="AH32" i="67"/>
  <c r="F34" i="67"/>
  <c r="G34" i="67"/>
  <c r="H34" i="67"/>
  <c r="J34" i="67"/>
  <c r="L34" i="67"/>
  <c r="N34" i="67"/>
  <c r="P34" i="67"/>
  <c r="R34" i="67"/>
  <c r="T34" i="67"/>
  <c r="V34" i="67"/>
  <c r="X34" i="67"/>
  <c r="Y34" i="67"/>
  <c r="Z34" i="67"/>
  <c r="AB34" i="67"/>
  <c r="AC34" i="67"/>
  <c r="AD34" i="67"/>
  <c r="AF34" i="67"/>
  <c r="AH34" i="67"/>
  <c r="G35" i="67"/>
  <c r="H35" i="67"/>
  <c r="R35" i="67"/>
  <c r="V35" i="67"/>
  <c r="X35" i="67"/>
  <c r="Y35" i="67"/>
  <c r="Z35" i="67"/>
  <c r="AB35" i="67"/>
  <c r="AC35" i="67"/>
  <c r="AD35" i="67"/>
  <c r="AF35" i="67"/>
  <c r="AH35" i="67"/>
  <c r="G36" i="67"/>
  <c r="H36" i="67"/>
  <c r="R36" i="67"/>
  <c r="V36" i="67"/>
  <c r="X36" i="67"/>
  <c r="Y36" i="67"/>
  <c r="Z36" i="67"/>
  <c r="AB36" i="67"/>
  <c r="AC36" i="67"/>
  <c r="AD36" i="67"/>
  <c r="AF36" i="67"/>
  <c r="AH36" i="67"/>
  <c r="G37" i="67"/>
  <c r="H37" i="67"/>
  <c r="R37" i="67"/>
  <c r="V37" i="67"/>
  <c r="X37" i="67"/>
  <c r="Y37" i="67"/>
  <c r="Z37" i="67"/>
  <c r="AB37" i="67"/>
  <c r="AC37" i="67"/>
  <c r="AD37" i="67"/>
  <c r="AF37" i="67"/>
  <c r="AH37" i="67"/>
  <c r="G38" i="67"/>
  <c r="H38" i="67"/>
  <c r="R38" i="67"/>
  <c r="V38" i="67"/>
  <c r="X38" i="67"/>
  <c r="Y38" i="67"/>
  <c r="Z38" i="67"/>
  <c r="AB38" i="67"/>
  <c r="AC38" i="67"/>
  <c r="AD38" i="67"/>
  <c r="AF38" i="67"/>
  <c r="AH38" i="67"/>
  <c r="G39" i="67"/>
  <c r="H39" i="67"/>
  <c r="R39" i="67"/>
  <c r="V39" i="67"/>
  <c r="X39" i="67"/>
  <c r="Y39" i="67"/>
  <c r="Z39" i="67"/>
  <c r="AB39" i="67"/>
  <c r="AC39" i="67"/>
  <c r="AD39" i="67"/>
  <c r="AF39" i="67"/>
  <c r="AH39" i="67"/>
  <c r="G40" i="67"/>
  <c r="H40" i="67"/>
  <c r="R40" i="67"/>
  <c r="V40" i="67"/>
  <c r="X40" i="67"/>
  <c r="Y40" i="67"/>
  <c r="Z40" i="67"/>
  <c r="AB40" i="67"/>
  <c r="AC40" i="67"/>
  <c r="AD40" i="67"/>
  <c r="AF40" i="67"/>
  <c r="AH40" i="67"/>
  <c r="G41" i="67"/>
  <c r="H41" i="67"/>
  <c r="R41" i="67"/>
  <c r="V41" i="67"/>
  <c r="X41" i="67"/>
  <c r="Y41" i="67"/>
  <c r="Z41" i="67"/>
  <c r="AB41" i="67"/>
  <c r="AC41" i="67"/>
  <c r="AD41" i="67"/>
  <c r="AF41" i="67"/>
  <c r="AH41" i="67"/>
  <c r="F42" i="67"/>
  <c r="G42" i="67"/>
  <c r="J42" i="67"/>
  <c r="L42" i="67"/>
  <c r="N42" i="67"/>
  <c r="P42" i="67"/>
  <c r="R42" i="67"/>
  <c r="T42" i="67"/>
  <c r="Y42" i="67"/>
  <c r="AC42" i="67"/>
  <c r="F6" i="67"/>
  <c r="G6" i="67"/>
  <c r="H6" i="67"/>
  <c r="J6" i="67"/>
  <c r="L6" i="67"/>
  <c r="N6" i="67"/>
  <c r="P6" i="67"/>
  <c r="R6" i="67"/>
  <c r="T6" i="67"/>
  <c r="V6" i="67"/>
  <c r="X6" i="67"/>
  <c r="Y6" i="67"/>
  <c r="Z6" i="67"/>
  <c r="AB6" i="67"/>
  <c r="AC6" i="67"/>
  <c r="AD6" i="67"/>
  <c r="AF6" i="67"/>
  <c r="AH6" i="67"/>
  <c r="G20" i="64"/>
  <c r="H20" i="64"/>
  <c r="I20" i="64"/>
  <c r="K20" i="64"/>
  <c r="L20" i="64"/>
  <c r="M20" i="64"/>
  <c r="N20" i="64"/>
  <c r="O20" i="64"/>
  <c r="AJ20" i="64"/>
  <c r="AK20" i="64"/>
  <c r="AL20" i="64"/>
  <c r="AM20" i="64"/>
  <c r="AN20" i="64"/>
  <c r="AO20" i="64"/>
  <c r="AP20" i="64"/>
  <c r="AQ20" i="64"/>
  <c r="AL30" i="64"/>
  <c r="AM30" i="64"/>
  <c r="AJ30" i="64"/>
  <c r="AK30" i="64"/>
  <c r="Z30" i="64"/>
  <c r="AL29" i="64"/>
  <c r="AM29" i="64"/>
  <c r="AJ29" i="64"/>
  <c r="AK29" i="64"/>
  <c r="Z29" i="64"/>
  <c r="AL28" i="64"/>
  <c r="AM28" i="64"/>
  <c r="AJ28" i="64"/>
  <c r="AK28" i="64"/>
  <c r="Z28" i="64"/>
  <c r="AL27" i="64"/>
  <c r="AM27" i="64"/>
  <c r="AJ27" i="64"/>
  <c r="AK27" i="64"/>
  <c r="Z27" i="64"/>
  <c r="Z26" i="64"/>
  <c r="Z25" i="64"/>
  <c r="AL24" i="64"/>
  <c r="AM24" i="64"/>
  <c r="AJ24" i="64"/>
  <c r="AK24" i="64"/>
  <c r="Z24" i="64"/>
  <c r="AL23" i="64"/>
  <c r="AM23" i="64"/>
  <c r="AJ23" i="64"/>
  <c r="AK23" i="64"/>
  <c r="AL22" i="64"/>
  <c r="AM22" i="64"/>
  <c r="AJ22" i="64"/>
  <c r="AK22" i="64"/>
  <c r="AL21" i="64"/>
  <c r="AM21" i="64"/>
  <c r="AJ21" i="64"/>
  <c r="AK21" i="64"/>
  <c r="Z21" i="64"/>
  <c r="AL19" i="64"/>
  <c r="AM19" i="64"/>
  <c r="AJ19" i="64"/>
  <c r="AK19" i="64"/>
  <c r="AL18" i="64"/>
  <c r="AM18" i="64"/>
  <c r="AJ18" i="64"/>
  <c r="AK18" i="64"/>
  <c r="Z18" i="64"/>
  <c r="AL17" i="64"/>
  <c r="AM17" i="64"/>
  <c r="AJ17" i="64"/>
  <c r="AK17" i="64"/>
  <c r="Z17" i="64"/>
  <c r="AL16" i="64"/>
  <c r="AM16" i="64"/>
  <c r="AJ16" i="64"/>
  <c r="AK16" i="64"/>
  <c r="Z16" i="64"/>
  <c r="AL15" i="64"/>
  <c r="AM15" i="64"/>
  <c r="AJ15" i="64"/>
  <c r="AK15" i="64"/>
  <c r="Z15" i="64"/>
  <c r="AL14" i="64"/>
  <c r="AM14" i="64"/>
  <c r="AJ14" i="64"/>
  <c r="AK14" i="64"/>
  <c r="Z14" i="64"/>
  <c r="AL13" i="64"/>
  <c r="AM13" i="64"/>
  <c r="AJ13" i="64"/>
  <c r="AK13" i="64"/>
  <c r="Z13" i="64"/>
  <c r="AL12" i="64"/>
  <c r="AM12" i="64"/>
  <c r="AJ12" i="64"/>
  <c r="AK12" i="64"/>
  <c r="Z12" i="64"/>
  <c r="AL11" i="64"/>
  <c r="AM11" i="64"/>
  <c r="AJ11" i="64"/>
  <c r="AK11" i="64"/>
  <c r="Z11" i="64"/>
  <c r="AL10" i="64"/>
  <c r="AM10" i="64"/>
  <c r="AJ10" i="64"/>
  <c r="AK10" i="64"/>
  <c r="Z10" i="64"/>
  <c r="AL32" i="64"/>
  <c r="AM32" i="64"/>
  <c r="AJ32" i="64"/>
  <c r="AK32" i="64"/>
  <c r="Z32" i="64"/>
  <c r="AL9" i="64"/>
  <c r="AM9" i="64"/>
  <c r="AJ9" i="64"/>
  <c r="AK9" i="64"/>
  <c r="Z9" i="64"/>
  <c r="AL8" i="64"/>
  <c r="AM8" i="64"/>
  <c r="AJ8" i="64"/>
  <c r="AK8" i="64"/>
  <c r="Z8" i="64"/>
  <c r="AL7" i="64"/>
  <c r="AM7" i="64"/>
  <c r="AJ7" i="64"/>
  <c r="AK7" i="64"/>
  <c r="Z7" i="64"/>
  <c r="AL6" i="64"/>
  <c r="AM6" i="64"/>
  <c r="AJ6" i="64"/>
  <c r="AK6" i="64"/>
  <c r="Z6" i="64"/>
  <c r="AL5" i="64"/>
  <c r="AM5" i="64"/>
  <c r="AJ5" i="64"/>
  <c r="AK5" i="64"/>
  <c r="Z5" i="64"/>
  <c r="AL4" i="64"/>
  <c r="AM4" i="64"/>
  <c r="AJ4" i="64"/>
  <c r="AK4" i="64"/>
  <c r="G5" i="64"/>
  <c r="H5" i="64"/>
  <c r="M5" i="64"/>
  <c r="N5" i="64"/>
  <c r="O5" i="64"/>
  <c r="X5" i="64"/>
  <c r="Y5" i="64"/>
  <c r="AA5" i="64"/>
  <c r="AB5" i="64"/>
  <c r="AC5" i="64"/>
  <c r="AN5" i="64"/>
  <c r="AO5" i="64"/>
  <c r="AP5" i="64"/>
  <c r="AQ5" i="64"/>
  <c r="G6" i="64"/>
  <c r="I6" i="64"/>
  <c r="M6" i="64"/>
  <c r="N6" i="64"/>
  <c r="O6" i="64"/>
  <c r="X6" i="64"/>
  <c r="Y6" i="64"/>
  <c r="AA6" i="64"/>
  <c r="AB6" i="64"/>
  <c r="AC6" i="64"/>
  <c r="AN6" i="64"/>
  <c r="AO6" i="64"/>
  <c r="AP6" i="64"/>
  <c r="AQ6" i="64"/>
  <c r="G7" i="64"/>
  <c r="H7" i="64"/>
  <c r="I7" i="64"/>
  <c r="K7" i="64"/>
  <c r="L7" i="64"/>
  <c r="M7" i="64"/>
  <c r="O7" i="64"/>
  <c r="X7" i="64"/>
  <c r="Y7" i="64"/>
  <c r="AA7" i="64"/>
  <c r="AB7" i="64"/>
  <c r="AC7" i="64"/>
  <c r="AN7" i="64"/>
  <c r="AO7" i="64"/>
  <c r="AP7" i="64"/>
  <c r="AQ7" i="64"/>
  <c r="G8" i="64"/>
  <c r="H8" i="64"/>
  <c r="I8" i="64"/>
  <c r="K8" i="64"/>
  <c r="L8" i="64"/>
  <c r="N8" i="64"/>
  <c r="X8" i="64"/>
  <c r="Y8" i="64"/>
  <c r="AA8" i="64"/>
  <c r="AB8" i="64"/>
  <c r="AC8" i="64"/>
  <c r="AN8" i="64"/>
  <c r="AO8" i="64"/>
  <c r="AP8" i="64"/>
  <c r="AQ8" i="64"/>
  <c r="G9" i="64"/>
  <c r="H9" i="64"/>
  <c r="I9" i="64"/>
  <c r="K9" i="64"/>
  <c r="L9" i="64"/>
  <c r="X9" i="64"/>
  <c r="Y9" i="64"/>
  <c r="AA9" i="64"/>
  <c r="AB9" i="64"/>
  <c r="AC9" i="64"/>
  <c r="AN9" i="64"/>
  <c r="AO9" i="64"/>
  <c r="AP9" i="64"/>
  <c r="AQ9" i="64"/>
  <c r="G32" i="64"/>
  <c r="H32" i="64"/>
  <c r="I32" i="64"/>
  <c r="K32" i="64"/>
  <c r="L32" i="64"/>
  <c r="O32" i="64"/>
  <c r="X32" i="64"/>
  <c r="Y32" i="64"/>
  <c r="AA32" i="64"/>
  <c r="AB32" i="64"/>
  <c r="AC32" i="64"/>
  <c r="AN32" i="64"/>
  <c r="AO32" i="64"/>
  <c r="AP32" i="64"/>
  <c r="AQ32" i="64"/>
  <c r="G10" i="64"/>
  <c r="H10" i="64"/>
  <c r="I10" i="64"/>
  <c r="K10" i="64"/>
  <c r="L10" i="64"/>
  <c r="M10" i="64"/>
  <c r="N10" i="64"/>
  <c r="O10" i="64"/>
  <c r="X10" i="64"/>
  <c r="Y10" i="64"/>
  <c r="AA10" i="64"/>
  <c r="AB10" i="64"/>
  <c r="AC10" i="64"/>
  <c r="AN10" i="64"/>
  <c r="AO10" i="64"/>
  <c r="AP10" i="64"/>
  <c r="AQ10" i="64"/>
  <c r="G11" i="64"/>
  <c r="H11" i="64"/>
  <c r="I11" i="64"/>
  <c r="K11" i="64"/>
  <c r="L11" i="64"/>
  <c r="M11" i="64"/>
  <c r="N11" i="64"/>
  <c r="O11" i="64"/>
  <c r="X11" i="64"/>
  <c r="Y11" i="64"/>
  <c r="AA11" i="64"/>
  <c r="AB11" i="64"/>
  <c r="AC11" i="64"/>
  <c r="AN11" i="64"/>
  <c r="AO11" i="64"/>
  <c r="AP11" i="64"/>
  <c r="AQ11" i="64"/>
  <c r="G12" i="64"/>
  <c r="H12" i="64"/>
  <c r="I12" i="64"/>
  <c r="L12" i="64"/>
  <c r="M12" i="64"/>
  <c r="N12" i="64"/>
  <c r="O12" i="64"/>
  <c r="X12" i="64"/>
  <c r="Y12" i="64"/>
  <c r="AA12" i="64"/>
  <c r="AB12" i="64"/>
  <c r="AC12" i="64"/>
  <c r="AN12" i="64"/>
  <c r="AO12" i="64"/>
  <c r="AP12" i="64"/>
  <c r="AQ12" i="64"/>
  <c r="G13" i="64"/>
  <c r="H13" i="64"/>
  <c r="I13" i="64"/>
  <c r="K13" i="64"/>
  <c r="M13" i="64"/>
  <c r="N13" i="64"/>
  <c r="O13" i="64"/>
  <c r="X13" i="64"/>
  <c r="Y13" i="64"/>
  <c r="AA13" i="64"/>
  <c r="AB13" i="64"/>
  <c r="AC13" i="64"/>
  <c r="AN13" i="64"/>
  <c r="AO13" i="64"/>
  <c r="AP13" i="64"/>
  <c r="AQ13" i="64"/>
  <c r="G14" i="64"/>
  <c r="H14" i="64"/>
  <c r="I14" i="64"/>
  <c r="K14" i="64"/>
  <c r="L14" i="64"/>
  <c r="O14" i="64"/>
  <c r="X14" i="64"/>
  <c r="Y14" i="64"/>
  <c r="AA14" i="64"/>
  <c r="AB14" i="64"/>
  <c r="AC14" i="64"/>
  <c r="AN14" i="64"/>
  <c r="AO14" i="64"/>
  <c r="AP14" i="64"/>
  <c r="AQ14" i="64"/>
  <c r="G15" i="64"/>
  <c r="H15" i="64"/>
  <c r="I15" i="64"/>
  <c r="K15" i="64"/>
  <c r="L15" i="64"/>
  <c r="M15" i="64"/>
  <c r="N15" i="64"/>
  <c r="X15" i="64"/>
  <c r="Y15" i="64"/>
  <c r="AA15" i="64"/>
  <c r="AB15" i="64"/>
  <c r="AC15" i="64"/>
  <c r="AN15" i="64"/>
  <c r="AO15" i="64"/>
  <c r="AP15" i="64"/>
  <c r="AQ15" i="64"/>
  <c r="G16" i="64"/>
  <c r="H16" i="64"/>
  <c r="I16" i="64"/>
  <c r="K16" i="64"/>
  <c r="L16" i="64"/>
  <c r="M16" i="64"/>
  <c r="N16" i="64"/>
  <c r="O16" i="64"/>
  <c r="X16" i="64"/>
  <c r="Y16" i="64"/>
  <c r="AA16" i="64"/>
  <c r="AB16" i="64"/>
  <c r="AC16" i="64"/>
  <c r="AN16" i="64"/>
  <c r="AO16" i="64"/>
  <c r="AP16" i="64"/>
  <c r="AQ16" i="64"/>
  <c r="G17" i="64"/>
  <c r="H17" i="64"/>
  <c r="I17" i="64"/>
  <c r="K17" i="64"/>
  <c r="L17" i="64"/>
  <c r="M17" i="64"/>
  <c r="N17" i="64"/>
  <c r="O17" i="64"/>
  <c r="X17" i="64"/>
  <c r="Y17" i="64"/>
  <c r="AA17" i="64"/>
  <c r="AB17" i="64"/>
  <c r="AC17" i="64"/>
  <c r="AN17" i="64"/>
  <c r="AO17" i="64"/>
  <c r="AP17" i="64"/>
  <c r="AQ17" i="64"/>
  <c r="G18" i="64"/>
  <c r="H18" i="64"/>
  <c r="I18" i="64"/>
  <c r="K18" i="64"/>
  <c r="L18" i="64"/>
  <c r="M18" i="64"/>
  <c r="N18" i="64"/>
  <c r="O18" i="64"/>
  <c r="X18" i="64"/>
  <c r="Y18" i="64"/>
  <c r="AA18" i="64"/>
  <c r="AB18" i="64"/>
  <c r="AC18" i="64"/>
  <c r="AN18" i="64"/>
  <c r="AO18" i="64"/>
  <c r="AP18" i="64"/>
  <c r="AQ18" i="64"/>
  <c r="G19" i="64"/>
  <c r="H19" i="64"/>
  <c r="I19" i="64"/>
  <c r="K19" i="64"/>
  <c r="L19" i="64"/>
  <c r="M19" i="64"/>
  <c r="N19" i="64"/>
  <c r="O19" i="64"/>
  <c r="AN19" i="64"/>
  <c r="AO19" i="64"/>
  <c r="AP19" i="64"/>
  <c r="AQ19" i="64"/>
  <c r="H21" i="64"/>
  <c r="I21" i="64"/>
  <c r="K21" i="64"/>
  <c r="L21" i="64"/>
  <c r="M21" i="64"/>
  <c r="N21" i="64"/>
  <c r="O21" i="64"/>
  <c r="X21" i="64"/>
  <c r="Y21" i="64"/>
  <c r="AA21" i="64"/>
  <c r="AB21" i="64"/>
  <c r="AC21" i="64"/>
  <c r="AN21" i="64"/>
  <c r="AO21" i="64"/>
  <c r="AP21" i="64"/>
  <c r="AQ21" i="64"/>
  <c r="G22" i="64"/>
  <c r="H22" i="64"/>
  <c r="I22" i="64"/>
  <c r="K22" i="64"/>
  <c r="L22" i="64"/>
  <c r="M22" i="64"/>
  <c r="N22" i="64"/>
  <c r="O22" i="64"/>
  <c r="AN22" i="64"/>
  <c r="AO22" i="64"/>
  <c r="AP22" i="64"/>
  <c r="AQ22" i="64"/>
  <c r="G23" i="64"/>
  <c r="H23" i="64"/>
  <c r="I23" i="64"/>
  <c r="K23" i="64"/>
  <c r="L23" i="64"/>
  <c r="M23" i="64"/>
  <c r="N23" i="64"/>
  <c r="O23" i="64"/>
  <c r="AN23" i="64"/>
  <c r="AO23" i="64"/>
  <c r="AP23" i="64"/>
  <c r="AQ23" i="64"/>
  <c r="G24" i="64"/>
  <c r="H24" i="64"/>
  <c r="I24" i="64"/>
  <c r="K24" i="64"/>
  <c r="L24" i="64"/>
  <c r="M24" i="64"/>
  <c r="N24" i="64"/>
  <c r="O24" i="64"/>
  <c r="X24" i="64"/>
  <c r="Y24" i="64"/>
  <c r="AA24" i="64"/>
  <c r="AB24" i="64"/>
  <c r="AC24" i="64"/>
  <c r="AN24" i="64"/>
  <c r="AO24" i="64"/>
  <c r="AP24" i="64"/>
  <c r="AQ24" i="64"/>
  <c r="G25" i="64"/>
  <c r="H25" i="64"/>
  <c r="I25" i="64"/>
  <c r="K25" i="64"/>
  <c r="L25" i="64"/>
  <c r="M25" i="64"/>
  <c r="N25" i="64"/>
  <c r="O25" i="64"/>
  <c r="X25" i="64"/>
  <c r="Y25" i="64"/>
  <c r="AA25" i="64"/>
  <c r="AB25" i="64"/>
  <c r="AC25" i="64"/>
  <c r="AO25" i="64"/>
  <c r="AP25" i="64"/>
  <c r="AQ25" i="64"/>
  <c r="G26" i="64"/>
  <c r="H26" i="64"/>
  <c r="I26" i="64"/>
  <c r="K26" i="64"/>
  <c r="L26" i="64"/>
  <c r="M26" i="64"/>
  <c r="N26" i="64"/>
  <c r="O26" i="64"/>
  <c r="X26" i="64"/>
  <c r="Y26" i="64"/>
  <c r="AA26" i="64"/>
  <c r="AB26" i="64"/>
  <c r="AC26" i="64"/>
  <c r="G27" i="64"/>
  <c r="H27" i="64"/>
  <c r="I27" i="64"/>
  <c r="K27" i="64"/>
  <c r="L27" i="64"/>
  <c r="M27" i="64"/>
  <c r="N27" i="64"/>
  <c r="O27" i="64"/>
  <c r="X27" i="64"/>
  <c r="Y27" i="64"/>
  <c r="AA27" i="64"/>
  <c r="AB27" i="64"/>
  <c r="AC27" i="64"/>
  <c r="AN27" i="64"/>
  <c r="G28" i="64"/>
  <c r="H28" i="64"/>
  <c r="I28" i="64"/>
  <c r="K28" i="64"/>
  <c r="L28" i="64"/>
  <c r="M28" i="64"/>
  <c r="N28" i="64"/>
  <c r="O28" i="64"/>
  <c r="X28" i="64"/>
  <c r="Y28" i="64"/>
  <c r="AA28" i="64"/>
  <c r="AB28" i="64"/>
  <c r="AC28" i="64"/>
  <c r="AN28" i="64"/>
  <c r="AO28" i="64"/>
  <c r="AP28" i="64"/>
  <c r="AQ28" i="64"/>
  <c r="G29" i="64"/>
  <c r="H29" i="64"/>
  <c r="I29" i="64"/>
  <c r="K29" i="64"/>
  <c r="L29" i="64"/>
  <c r="M29" i="64"/>
  <c r="N29" i="64"/>
  <c r="O29" i="64"/>
  <c r="X29" i="64"/>
  <c r="Y29" i="64"/>
  <c r="AA29" i="64"/>
  <c r="AB29" i="64"/>
  <c r="AC29" i="64"/>
  <c r="AN29" i="64"/>
  <c r="AO29" i="64"/>
  <c r="AP29" i="64"/>
  <c r="AQ29" i="64"/>
  <c r="G30" i="64"/>
  <c r="H30" i="64"/>
  <c r="I30" i="64"/>
  <c r="K30" i="64"/>
  <c r="L30" i="64"/>
  <c r="M30" i="64"/>
  <c r="N30" i="64"/>
  <c r="O30" i="64"/>
  <c r="X30" i="64"/>
  <c r="Y30" i="64"/>
  <c r="AA30" i="64"/>
  <c r="AB30" i="64"/>
  <c r="AC30" i="64"/>
  <c r="AN30" i="64"/>
  <c r="AO30" i="64"/>
  <c r="AP30" i="64"/>
  <c r="AQ30" i="64"/>
  <c r="AN4" i="64"/>
  <c r="AO4" i="64"/>
  <c r="AP4" i="64"/>
  <c r="AQ4" i="64"/>
  <c r="CN31" i="60"/>
  <c r="I31" i="62"/>
  <c r="I23" i="62"/>
  <c r="I22" i="62"/>
  <c r="H31" i="62"/>
  <c r="H24" i="62"/>
  <c r="G31" i="62"/>
  <c r="G28" i="62"/>
  <c r="G23" i="62"/>
  <c r="G22" i="62"/>
  <c r="D22" i="62"/>
  <c r="I29" i="62"/>
  <c r="I28" i="62"/>
  <c r="I27" i="62"/>
  <c r="I24" i="62"/>
  <c r="H29" i="62"/>
  <c r="H28" i="62"/>
  <c r="H27" i="62"/>
  <c r="H23" i="62"/>
  <c r="H22" i="62"/>
  <c r="G29" i="62"/>
  <c r="G27" i="62"/>
  <c r="G26" i="62"/>
  <c r="G24" i="62"/>
  <c r="C2" i="60"/>
  <c r="E6" i="26" s="1" a="1"/>
  <c r="E6" i="26" s="1"/>
  <c r="A1" i="28"/>
  <c r="CX72" i="60"/>
  <c r="CX73" i="60"/>
  <c r="CX74" i="60"/>
  <c r="CV77" i="60"/>
  <c r="CV75" i="60"/>
  <c r="CX76" i="60"/>
  <c r="CX82" i="60"/>
  <c r="CX83" i="60"/>
  <c r="CX84" i="60"/>
  <c r="CV87" i="60"/>
  <c r="CV85" i="60"/>
  <c r="CX86" i="60"/>
  <c r="CX102" i="60"/>
  <c r="CX103" i="60"/>
  <c r="CX104" i="60"/>
  <c r="CV107" i="60"/>
  <c r="CV105" i="60"/>
  <c r="CX106" i="60"/>
  <c r="CX112" i="60"/>
  <c r="CX113" i="60"/>
  <c r="CX114" i="60"/>
  <c r="CV117" i="60"/>
  <c r="CV115" i="60"/>
  <c r="CX116" i="60"/>
  <c r="CX122" i="60"/>
  <c r="CX123" i="60"/>
  <c r="CX124" i="60"/>
  <c r="CV127" i="60"/>
  <c r="CV125" i="60"/>
  <c r="CX126" i="60"/>
  <c r="DZ27" i="26"/>
  <c r="I25" i="62"/>
  <c r="H32" i="62"/>
  <c r="H25" i="62"/>
  <c r="G30" i="62"/>
  <c r="G25" i="62"/>
  <c r="O22" i="62"/>
  <c r="F22" i="62"/>
  <c r="I32" i="62"/>
  <c r="G32" i="62"/>
  <c r="P27" i="62"/>
  <c r="L27" i="62"/>
  <c r="P22" i="62"/>
  <c r="L25" i="62"/>
  <c r="P25" i="62"/>
  <c r="O27" i="62"/>
  <c r="L29" i="62"/>
  <c r="L24" i="62"/>
  <c r="O25" i="62"/>
  <c r="P29" i="62"/>
  <c r="O29" i="62"/>
  <c r="P24" i="62"/>
  <c r="O24" i="62"/>
  <c r="L22" i="62"/>
  <c r="E22" i="62"/>
  <c r="G34" i="62"/>
  <c r="G33" i="62"/>
  <c r="M23" i="62"/>
  <c r="M22" i="62"/>
  <c r="E56" i="26"/>
  <c r="E58" i="26"/>
  <c r="E59" i="26"/>
  <c r="E62" i="26"/>
  <c r="E63" i="26"/>
  <c r="E57" i="26"/>
  <c r="EJ3" i="26"/>
  <c r="E61" i="26"/>
  <c r="E60" i="26"/>
  <c r="AV16" i="60"/>
  <c r="C33" i="58"/>
  <c r="C31" i="58"/>
  <c r="C26" i="58"/>
  <c r="C25" i="58"/>
  <c r="C23" i="58"/>
  <c r="C22" i="58"/>
  <c r="C21" i="58"/>
  <c r="C20" i="58"/>
  <c r="E8" i="58"/>
  <c r="B10" i="58"/>
  <c r="B2" i="58"/>
  <c r="E33" i="58"/>
  <c r="E31" i="58"/>
  <c r="E26" i="58"/>
  <c r="E23" i="58"/>
  <c r="E21" i="58"/>
  <c r="E22" i="58"/>
  <c r="E25" i="58"/>
  <c r="E20" i="58"/>
  <c r="G24" i="58"/>
  <c r="G39" i="58"/>
  <c r="G21" i="58"/>
  <c r="G22" i="58"/>
  <c r="G23" i="58"/>
  <c r="G27" i="58"/>
  <c r="G26" i="58"/>
  <c r="G30" i="58"/>
  <c r="G38" i="58"/>
  <c r="H35" i="58"/>
  <c r="I35" i="58"/>
  <c r="I12" i="58"/>
  <c r="I13" i="58"/>
  <c r="I14" i="58"/>
  <c r="I15" i="58"/>
  <c r="I16" i="58"/>
  <c r="I17" i="58"/>
  <c r="I18" i="58"/>
  <c r="I19" i="58"/>
  <c r="I11" i="58"/>
  <c r="H12" i="58"/>
  <c r="H13" i="58"/>
  <c r="H14" i="58"/>
  <c r="H15" i="58"/>
  <c r="H16" i="58"/>
  <c r="H17" i="58"/>
  <c r="H18" i="58"/>
  <c r="H19" i="58"/>
  <c r="H11" i="58"/>
  <c r="F15" i="60"/>
  <c r="F14" i="60"/>
  <c r="F12" i="60"/>
  <c r="F11" i="60"/>
  <c r="F10" i="60"/>
  <c r="F9" i="60"/>
  <c r="F8" i="60"/>
  <c r="B6" i="58"/>
  <c r="E10" i="58"/>
  <c r="E6" i="58"/>
  <c r="C10" i="58"/>
  <c r="C8" i="58"/>
  <c r="A46" i="57"/>
  <c r="B46" i="57"/>
  <c r="A45" i="57"/>
  <c r="B45" i="57"/>
  <c r="A27" i="50"/>
  <c r="B27" i="50"/>
  <c r="B29" i="50"/>
  <c r="A25" i="49"/>
  <c r="B25" i="49"/>
  <c r="B27" i="49"/>
  <c r="A29" i="48"/>
  <c r="B29" i="48"/>
  <c r="B31" i="48"/>
  <c r="A25" i="47"/>
  <c r="B25" i="47"/>
  <c r="B27" i="47"/>
  <c r="A16" i="56"/>
  <c r="B16" i="56"/>
  <c r="A37" i="55"/>
  <c r="B37" i="55"/>
  <c r="A38" i="55"/>
  <c r="B38" i="55"/>
  <c r="A36" i="55"/>
  <c r="B36" i="55"/>
  <c r="D37" i="55"/>
  <c r="D36" i="55"/>
  <c r="A42" i="54"/>
  <c r="B42" i="54"/>
  <c r="A41" i="54"/>
  <c r="B41" i="54"/>
  <c r="A40" i="54"/>
  <c r="B40" i="54"/>
  <c r="D41" i="54"/>
  <c r="D40" i="54"/>
  <c r="A62" i="53"/>
  <c r="B62" i="53"/>
  <c r="D62" i="53"/>
  <c r="A61" i="53"/>
  <c r="B61" i="53"/>
  <c r="B64" i="53"/>
  <c r="D61" i="53"/>
  <c r="C24" i="45"/>
  <c r="E24" i="45"/>
  <c r="C26" i="45"/>
  <c r="B26" i="45"/>
  <c r="B25" i="45"/>
  <c r="B24" i="45"/>
  <c r="C25" i="44"/>
  <c r="C23" i="44"/>
  <c r="B25" i="44"/>
  <c r="B24" i="44"/>
  <c r="B23" i="44"/>
  <c r="C126" i="30"/>
  <c r="DK13" i="26"/>
  <c r="DK14" i="26"/>
  <c r="DK15" i="26"/>
  <c r="DK17" i="26"/>
  <c r="DK19" i="26"/>
  <c r="DK20" i="26"/>
  <c r="DK24" i="26"/>
  <c r="DK26" i="26"/>
  <c r="DK27" i="26"/>
  <c r="DK40" i="26"/>
  <c r="DK45" i="26"/>
  <c r="DK41" i="26"/>
  <c r="DK42" i="26"/>
  <c r="DK47" i="26"/>
  <c r="DK48" i="26"/>
  <c r="DK49" i="26"/>
  <c r="DK50" i="26"/>
  <c r="DK51" i="26"/>
  <c r="DK53" i="26"/>
  <c r="DK11" i="26"/>
  <c r="G12" i="26"/>
  <c r="G13" i="26"/>
  <c r="G14" i="26"/>
  <c r="G15" i="26"/>
  <c r="G16" i="26"/>
  <c r="G17" i="26"/>
  <c r="G18" i="26"/>
  <c r="G19" i="26"/>
  <c r="G20" i="26"/>
  <c r="G21" i="26"/>
  <c r="G22" i="26"/>
  <c r="G23" i="26"/>
  <c r="G24" i="26"/>
  <c r="G26" i="26"/>
  <c r="G27" i="26"/>
  <c r="G29" i="26"/>
  <c r="G45" i="26"/>
  <c r="G41" i="26"/>
  <c r="G42" i="26"/>
  <c r="G46" i="26"/>
  <c r="G47" i="26"/>
  <c r="G48" i="26"/>
  <c r="G49" i="26"/>
  <c r="G50" i="26"/>
  <c r="G51" i="26"/>
  <c r="G52" i="26"/>
  <c r="G53" i="26"/>
  <c r="G54" i="26"/>
  <c r="G11" i="26"/>
  <c r="E24" i="44"/>
  <c r="B48" i="57"/>
  <c r="B44" i="54"/>
  <c r="C6" i="58"/>
  <c r="B40" i="55"/>
  <c r="C47" i="41"/>
  <c r="C48" i="41"/>
  <c r="C49" i="41"/>
  <c r="C50" i="41"/>
  <c r="C51" i="41"/>
  <c r="L53" i="42"/>
  <c r="L55" i="42"/>
  <c r="L53" i="43"/>
  <c r="L55" i="43"/>
  <c r="C21" i="40"/>
  <c r="C22" i="40"/>
  <c r="C23" i="40"/>
  <c r="C20" i="40"/>
  <c r="E23" i="40"/>
  <c r="E25" i="40"/>
  <c r="E53" i="41"/>
  <c r="E50" i="41"/>
  <c r="B46" i="41"/>
  <c r="C46" i="41"/>
  <c r="E32" i="39"/>
  <c r="E31" i="39"/>
  <c r="C31" i="39"/>
  <c r="C32" i="39"/>
  <c r="C35" i="39"/>
  <c r="EA20" i="26"/>
  <c r="C30" i="39"/>
  <c r="C27" i="38"/>
  <c r="C28" i="38"/>
  <c r="C29" i="38"/>
  <c r="C30" i="38"/>
  <c r="C26" i="38"/>
  <c r="E29" i="38"/>
  <c r="E27" i="38"/>
  <c r="E35" i="37"/>
  <c r="E34" i="37"/>
  <c r="C35" i="37"/>
  <c r="C36" i="37"/>
  <c r="C37" i="37"/>
  <c r="C38" i="37"/>
  <c r="C34" i="37"/>
  <c r="E38" i="36"/>
  <c r="E37" i="36"/>
  <c r="E46" i="35"/>
  <c r="E45" i="35"/>
  <c r="E55" i="34"/>
  <c r="E57" i="34"/>
  <c r="C55" i="34"/>
  <c r="C57" i="34"/>
  <c r="EA15" i="26"/>
  <c r="E27" i="33"/>
  <c r="E26" i="33"/>
  <c r="C27" i="33"/>
  <c r="C26" i="33"/>
  <c r="C29" i="33"/>
  <c r="C132" i="32"/>
  <c r="C133" i="32"/>
  <c r="C134" i="32"/>
  <c r="C131" i="32"/>
  <c r="E133" i="32"/>
  <c r="E132" i="32"/>
  <c r="E141" i="31"/>
  <c r="C138" i="31"/>
  <c r="C127" i="30"/>
  <c r="EA13" i="26"/>
  <c r="C39" i="29"/>
  <c r="C38" i="29"/>
  <c r="C40" i="37"/>
  <c r="EA18" i="26"/>
  <c r="C136" i="32"/>
  <c r="E29" i="33"/>
  <c r="E47" i="35"/>
  <c r="E51" i="35"/>
  <c r="E134" i="32"/>
  <c r="E136" i="32"/>
  <c r="E39" i="36"/>
  <c r="E43" i="36"/>
  <c r="E35" i="39"/>
  <c r="E40" i="37"/>
  <c r="C53" i="41"/>
  <c r="C25" i="40"/>
  <c r="EA24" i="26"/>
  <c r="C32" i="38"/>
  <c r="EA19" i="26"/>
  <c r="C41" i="29"/>
  <c r="EA11" i="26"/>
  <c r="F19" i="60"/>
  <c r="AL8" i="60"/>
  <c r="H16" i="60" s="1"/>
  <c r="X16" i="60" s="1"/>
  <c r="F20" i="60"/>
  <c r="AL20" i="60"/>
  <c r="AL5" i="60"/>
  <c r="AL3" i="60" s="1"/>
  <c r="F18" i="60"/>
  <c r="AL19" i="60"/>
  <c r="AL26" i="60"/>
  <c r="AL27" i="60"/>
  <c r="AL21" i="60"/>
  <c r="AL22" i="60"/>
  <c r="AQ7" i="60"/>
  <c r="AQ6" i="60"/>
  <c r="F21" i="60"/>
  <c r="S19" i="60"/>
  <c r="L19" i="60" s="1" a="1"/>
  <c r="L19" i="60" s="1"/>
  <c r="M19" i="60" s="1"/>
  <c r="V20" i="60" s="1"/>
  <c r="AH26" i="60"/>
  <c r="DZ52" i="26"/>
  <c r="DZ46" i="26"/>
  <c r="DZ19" i="26"/>
  <c r="DZ12" i="26"/>
  <c r="AD11" i="28"/>
  <c r="AD10" i="28"/>
  <c r="E54" i="42"/>
  <c r="E20" i="40"/>
  <c r="E33" i="39"/>
  <c r="E30" i="39"/>
  <c r="E30" i="38"/>
  <c r="E28" i="38"/>
  <c r="E26" i="38"/>
  <c r="E32" i="38"/>
  <c r="E38" i="37"/>
  <c r="E37" i="37"/>
  <c r="E36" i="37"/>
  <c r="B137" i="31"/>
  <c r="C137" i="31"/>
  <c r="C141" i="31"/>
  <c r="EA14" i="26"/>
  <c r="E56" i="43"/>
  <c r="E55" i="43"/>
  <c r="E53" i="43"/>
  <c r="D54" i="43"/>
  <c r="D55" i="43"/>
  <c r="D57" i="43"/>
  <c r="D58" i="43"/>
  <c r="D59" i="43"/>
  <c r="D60" i="43"/>
  <c r="D56" i="43"/>
  <c r="K53" i="43"/>
  <c r="D61" i="43"/>
  <c r="D62" i="43"/>
  <c r="D63" i="43"/>
  <c r="D64" i="43"/>
  <c r="D53" i="43"/>
  <c r="B54" i="43"/>
  <c r="C54" i="43"/>
  <c r="B55" i="43"/>
  <c r="C55" i="43"/>
  <c r="B57" i="43"/>
  <c r="C57" i="43"/>
  <c r="B58" i="43"/>
  <c r="C58" i="43"/>
  <c r="B59" i="43"/>
  <c r="C59" i="43"/>
  <c r="B60" i="43"/>
  <c r="C60" i="43"/>
  <c r="B56" i="43"/>
  <c r="C56" i="43"/>
  <c r="I53" i="43"/>
  <c r="J53" i="43"/>
  <c r="J55" i="43"/>
  <c r="EA27" i="26"/>
  <c r="B61" i="43"/>
  <c r="C61" i="43"/>
  <c r="B62" i="43"/>
  <c r="C62" i="43"/>
  <c r="B63" i="43"/>
  <c r="C63" i="43"/>
  <c r="B64" i="43"/>
  <c r="C64" i="43"/>
  <c r="B53" i="43"/>
  <c r="C53" i="43"/>
  <c r="E56" i="42"/>
  <c r="E55" i="42"/>
  <c r="E53" i="42"/>
  <c r="D54" i="42"/>
  <c r="D55" i="42"/>
  <c r="D57" i="42"/>
  <c r="D58" i="42"/>
  <c r="D59" i="42"/>
  <c r="D60" i="42"/>
  <c r="D56" i="42"/>
  <c r="K53" i="42"/>
  <c r="D61" i="42"/>
  <c r="D62" i="42"/>
  <c r="D63" i="42"/>
  <c r="D64" i="42"/>
  <c r="D53" i="42"/>
  <c r="B62" i="42"/>
  <c r="C62" i="42"/>
  <c r="B63" i="42"/>
  <c r="C63" i="42"/>
  <c r="B64" i="42"/>
  <c r="C64" i="42"/>
  <c r="B54" i="42"/>
  <c r="C54" i="42"/>
  <c r="B55" i="42"/>
  <c r="C55" i="42"/>
  <c r="B57" i="42"/>
  <c r="C57" i="42"/>
  <c r="B58" i="42"/>
  <c r="C58" i="42"/>
  <c r="B59" i="42"/>
  <c r="C59" i="42"/>
  <c r="B60" i="42"/>
  <c r="C60" i="42"/>
  <c r="B56" i="42"/>
  <c r="C56" i="42"/>
  <c r="I53" i="42"/>
  <c r="J53" i="42"/>
  <c r="J55" i="42"/>
  <c r="EA26" i="26"/>
  <c r="B61" i="42"/>
  <c r="C61" i="42"/>
  <c r="B53" i="42"/>
  <c r="C53" i="42"/>
  <c r="E41" i="36"/>
  <c r="E40" i="36"/>
  <c r="C39" i="36"/>
  <c r="C37" i="36"/>
  <c r="B40" i="36"/>
  <c r="C40" i="36"/>
  <c r="B41" i="36"/>
  <c r="C41" i="36"/>
  <c r="B39" i="36"/>
  <c r="B38" i="36"/>
  <c r="C38" i="36"/>
  <c r="B37" i="36"/>
  <c r="E49" i="35"/>
  <c r="E48" i="35"/>
  <c r="C46" i="35"/>
  <c r="C47" i="35"/>
  <c r="C48" i="35"/>
  <c r="C49" i="35"/>
  <c r="C45" i="35"/>
  <c r="C43" i="36"/>
  <c r="EA17" i="26"/>
  <c r="C51" i="35"/>
  <c r="EA16" i="26"/>
  <c r="AL12" i="60"/>
  <c r="F23" i="60"/>
  <c r="AL11" i="60"/>
  <c r="F22" i="60"/>
  <c r="AL25" i="60"/>
  <c r="AL7" i="60"/>
  <c r="H15" i="60" s="1"/>
  <c r="AL14" i="60"/>
  <c r="AL24" i="60"/>
  <c r="AL13" i="60"/>
  <c r="AL15" i="60"/>
  <c r="AL18" i="60"/>
  <c r="AL10" i="60"/>
  <c r="AL17" i="60"/>
  <c r="P10" i="60"/>
  <c r="W8" i="28"/>
  <c r="W4" i="28"/>
  <c r="I26" i="62"/>
  <c r="I30" i="62"/>
  <c r="H26" i="62"/>
  <c r="H30" i="62"/>
  <c r="BE9" i="28"/>
  <c r="G28" i="58"/>
  <c r="G29" i="58"/>
  <c r="I33" i="62"/>
  <c r="I34" i="62"/>
  <c r="H34" i="62"/>
  <c r="H33" i="62"/>
  <c r="P26" i="62"/>
  <c r="L26" i="62"/>
  <c r="O26" i="62"/>
  <c r="F23" i="62"/>
  <c r="F24" i="62"/>
  <c r="F25" i="62"/>
  <c r="F26" i="62"/>
  <c r="F27" i="62"/>
  <c r="F28" i="62"/>
  <c r="F29" i="62"/>
  <c r="L31" i="62"/>
  <c r="L28" i="62"/>
  <c r="P28" i="62"/>
  <c r="O28" i="62"/>
  <c r="P31" i="62"/>
  <c r="O31" i="62"/>
  <c r="AG14" i="60"/>
  <c r="G34" i="58"/>
  <c r="F30" i="62"/>
  <c r="F31" i="62"/>
  <c r="F32" i="62"/>
  <c r="E32" i="62"/>
  <c r="L30" i="62"/>
  <c r="P30" i="62"/>
  <c r="O30" i="62"/>
  <c r="O23" i="62"/>
  <c r="P23" i="62"/>
  <c r="E23" i="62"/>
  <c r="L23" i="62"/>
  <c r="D23" i="62"/>
  <c r="D24" i="62"/>
  <c r="D25" i="62"/>
  <c r="D26" i="62"/>
  <c r="D27" i="62"/>
  <c r="D28" i="62"/>
  <c r="D29" i="62"/>
  <c r="D30" i="62"/>
  <c r="D31" i="62"/>
  <c r="D32" i="62"/>
  <c r="AG13" i="60"/>
  <c r="AK8" i="28"/>
  <c r="AG11" i="60"/>
  <c r="AK11" i="28"/>
  <c r="AG12" i="60"/>
  <c r="AK12" i="28"/>
  <c r="AG10" i="60"/>
  <c r="AK7" i="28"/>
  <c r="AG15" i="60"/>
  <c r="AK10" i="28"/>
  <c r="F34" i="62"/>
  <c r="F33" i="62"/>
  <c r="L32" i="62"/>
  <c r="M24" i="62"/>
  <c r="E24" i="62"/>
  <c r="M32" i="62"/>
  <c r="P32" i="62"/>
  <c r="E34" i="62"/>
  <c r="E33" i="62"/>
  <c r="D34" i="62"/>
  <c r="D33" i="62"/>
  <c r="V18" i="60"/>
  <c r="Z18" i="60"/>
  <c r="X18" i="60"/>
  <c r="H19" i="60"/>
  <c r="L34" i="62"/>
  <c r="P34" i="62"/>
  <c r="M34" i="62"/>
  <c r="P33" i="62"/>
  <c r="M33" i="62"/>
  <c r="E25" i="62"/>
  <c r="M25" i="62"/>
  <c r="L33" i="62"/>
  <c r="H34" i="58"/>
  <c r="Y19" i="60"/>
  <c r="E26" i="62"/>
  <c r="M26" i="62"/>
  <c r="H33" i="58"/>
  <c r="AK9" i="28"/>
  <c r="AJ26" i="60"/>
  <c r="M27" i="62"/>
  <c r="E27" i="62"/>
  <c r="N19" i="60"/>
  <c r="E28" i="62"/>
  <c r="M28" i="62"/>
  <c r="M80" i="9"/>
  <c r="L80" i="9"/>
  <c r="N112" i="9"/>
  <c r="O112" i="9"/>
  <c r="N120" i="9"/>
  <c r="O120" i="9"/>
  <c r="O104" i="9"/>
  <c r="P104" i="9"/>
  <c r="O96" i="9"/>
  <c r="P96" i="9"/>
  <c r="O88" i="9"/>
  <c r="N88" i="9"/>
  <c r="N56" i="9"/>
  <c r="N48" i="9"/>
  <c r="L32" i="9"/>
  <c r="P24" i="9"/>
  <c r="P16" i="9"/>
  <c r="M120" i="9"/>
  <c r="L120" i="9"/>
  <c r="M112" i="9"/>
  <c r="L112" i="9"/>
  <c r="L72" i="9"/>
  <c r="M69" i="9"/>
  <c r="L64" i="9"/>
  <c r="M61" i="9"/>
  <c r="N104" i="9"/>
  <c r="M104" i="9"/>
  <c r="L104" i="9"/>
  <c r="M96" i="9"/>
  <c r="L96" i="9"/>
  <c r="N96" i="9"/>
  <c r="M88" i="9"/>
  <c r="L88" i="9"/>
  <c r="M85" i="9"/>
  <c r="L56" i="9"/>
  <c r="M53" i="9"/>
  <c r="M56" i="9"/>
  <c r="M48" i="9"/>
  <c r="L48" i="9"/>
  <c r="M45" i="9"/>
  <c r="L40" i="9"/>
  <c r="M37" i="9"/>
  <c r="M29" i="9"/>
  <c r="M32" i="9"/>
  <c r="N8" i="9"/>
  <c r="J3" i="9"/>
  <c r="M8" i="9"/>
  <c r="I3" i="9"/>
  <c r="L8" i="9"/>
  <c r="Q24" i="9"/>
  <c r="N24" i="9"/>
  <c r="M24" i="9"/>
  <c r="L24" i="9"/>
  <c r="O24" i="9"/>
  <c r="O13" i="9"/>
  <c r="O21" i="9"/>
  <c r="F14" i="5"/>
  <c r="N21" i="9"/>
  <c r="M21" i="9"/>
  <c r="Q16" i="9"/>
  <c r="O16" i="9"/>
  <c r="N16" i="9"/>
  <c r="M16" i="9"/>
  <c r="L16" i="9"/>
  <c r="N13" i="9"/>
  <c r="M13" i="9"/>
  <c r="F7" i="9"/>
  <c r="H4" i="9"/>
  <c r="F9" i="9"/>
  <c r="F12" i="9"/>
  <c r="B16" i="9"/>
  <c r="H5" i="9"/>
  <c r="F16" i="9"/>
  <c r="H11" i="5"/>
  <c r="M8" i="5"/>
  <c r="B64" i="9"/>
  <c r="B38" i="9"/>
  <c r="M30" i="5"/>
  <c r="K33" i="5"/>
  <c r="M33" i="5"/>
  <c r="F11" i="9"/>
  <c r="H9" i="9"/>
  <c r="F18" i="9"/>
  <c r="H10" i="9"/>
  <c r="F70" i="9"/>
  <c r="H11" i="9"/>
  <c r="H12" i="9"/>
  <c r="J9" i="9"/>
  <c r="I9" i="9"/>
  <c r="F10" i="9"/>
  <c r="H16" i="9"/>
  <c r="E29" i="62"/>
  <c r="M29" i="62"/>
  <c r="H17" i="9"/>
  <c r="F75" i="9"/>
  <c r="F78" i="9"/>
  <c r="F19" i="9"/>
  <c r="H18" i="9"/>
  <c r="H19" i="9"/>
  <c r="F17" i="9"/>
  <c r="F21" i="9"/>
  <c r="I16" i="9"/>
  <c r="J16" i="9"/>
  <c r="H7" i="9"/>
  <c r="H76" i="9"/>
  <c r="I75" i="9"/>
  <c r="H71" i="9"/>
  <c r="J70" i="9"/>
  <c r="I70" i="9"/>
  <c r="H70" i="9"/>
  <c r="J75" i="9"/>
  <c r="H75" i="9"/>
  <c r="F95" i="9"/>
  <c r="M30" i="62"/>
  <c r="E30" i="62"/>
  <c r="V8" i="28"/>
  <c r="F100" i="9"/>
  <c r="H21" i="9"/>
  <c r="F14" i="9"/>
  <c r="H14" i="9"/>
  <c r="F58" i="9"/>
  <c r="F53" i="9"/>
  <c r="F64" i="9"/>
  <c r="H5" i="5"/>
  <c r="H8" i="5"/>
  <c r="F8" i="5"/>
  <c r="F11" i="5"/>
  <c r="H14" i="5"/>
  <c r="H17" i="5"/>
  <c r="H23" i="5"/>
  <c r="F26" i="5"/>
  <c r="H26" i="5"/>
  <c r="F29" i="5"/>
  <c r="H29" i="5"/>
  <c r="F32" i="5"/>
  <c r="H32" i="5"/>
  <c r="H35" i="5"/>
  <c r="R7" i="5"/>
  <c r="R10" i="5"/>
  <c r="P7" i="5"/>
  <c r="R13" i="5"/>
  <c r="R4" i="5"/>
  <c r="R18" i="5"/>
  <c r="T18" i="5"/>
  <c r="R21" i="5"/>
  <c r="T21" i="5"/>
  <c r="R24" i="5"/>
  <c r="T24" i="5"/>
  <c r="R27" i="5"/>
  <c r="T27" i="5"/>
  <c r="R30" i="5"/>
  <c r="T30" i="5"/>
  <c r="R34" i="5"/>
  <c r="R37" i="5"/>
  <c r="R40" i="5"/>
  <c r="R43" i="5"/>
  <c r="M5" i="5"/>
  <c r="K16" i="5"/>
  <c r="K8" i="5"/>
  <c r="D13" i="5"/>
  <c r="D10" i="5"/>
  <c r="D7" i="5"/>
  <c r="D4" i="5"/>
  <c r="J64" i="9"/>
  <c r="H66" i="9"/>
  <c r="H64" i="9"/>
  <c r="I64" i="9"/>
  <c r="H65" i="9"/>
  <c r="F90" i="9"/>
  <c r="F92" i="9"/>
  <c r="H90" i="9"/>
  <c r="H92" i="9"/>
  <c r="J53" i="9"/>
  <c r="I53" i="9"/>
  <c r="H53" i="9"/>
  <c r="F54" i="9"/>
  <c r="H54" i="9"/>
  <c r="H59" i="9"/>
  <c r="H58" i="9"/>
  <c r="J58" i="9"/>
  <c r="H60" i="9"/>
  <c r="I58" i="9"/>
  <c r="E31" i="62"/>
  <c r="M31" i="62"/>
  <c r="H78" i="9"/>
  <c r="F68" i="9"/>
  <c r="F73" i="9"/>
  <c r="F62" i="9"/>
  <c r="F85" i="9"/>
  <c r="F99" i="9"/>
  <c r="F102" i="9"/>
  <c r="H99" i="9"/>
  <c r="H102" i="9"/>
  <c r="F86" i="9"/>
  <c r="F56" i="9"/>
  <c r="M13" i="5"/>
  <c r="H73" i="9"/>
  <c r="F94" i="9"/>
  <c r="F97" i="9"/>
  <c r="H94" i="9"/>
  <c r="H97" i="9"/>
  <c r="F88" i="9"/>
  <c r="H85" i="9"/>
  <c r="H88" i="9"/>
  <c r="H68" i="9"/>
  <c r="F80" i="9"/>
  <c r="H62" i="9"/>
  <c r="H56" i="9"/>
  <c r="F23" i="9"/>
  <c r="M22" i="5"/>
  <c r="M38" i="5"/>
  <c r="K41" i="5"/>
  <c r="K25" i="5"/>
  <c r="M25" i="5"/>
  <c r="F24" i="9"/>
  <c r="J38" i="9"/>
  <c r="J23" i="9"/>
  <c r="J33" i="9"/>
  <c r="H23" i="9"/>
  <c r="F26" i="9"/>
  <c r="F28" i="9"/>
  <c r="H26" i="9"/>
  <c r="F29" i="9"/>
  <c r="H28" i="9"/>
  <c r="H31" i="9"/>
  <c r="F31" i="9"/>
  <c r="H80" i="9"/>
  <c r="F38" i="9"/>
  <c r="F33" i="9"/>
  <c r="H34" i="9"/>
  <c r="H33" i="9"/>
  <c r="F34" i="9"/>
  <c r="H39" i="9"/>
  <c r="H38" i="9"/>
  <c r="F39" i="9"/>
  <c r="F41" i="9"/>
  <c r="F36" i="9"/>
  <c r="F81" i="9"/>
  <c r="F83" i="9"/>
  <c r="H81" i="9"/>
  <c r="H83" i="9"/>
  <c r="H36" i="9"/>
  <c r="H41" i="9"/>
  <c r="F48" i="9"/>
  <c r="H48" i="9"/>
  <c r="F43" i="9"/>
  <c r="H43" i="9"/>
  <c r="F104" i="9"/>
  <c r="F49" i="9"/>
  <c r="F51" i="9"/>
  <c r="H51" i="9"/>
  <c r="F44" i="9"/>
  <c r="F46" i="9"/>
  <c r="H46" i="9"/>
  <c r="F106" i="9"/>
  <c r="H104" i="9"/>
  <c r="H106" i="9"/>
  <c r="I104" i="9"/>
  <c r="J104" i="9"/>
  <c r="AB8" i="28"/>
  <c r="K9" i="26"/>
  <c r="W19" i="60"/>
  <c r="W20" i="60"/>
  <c r="X20" i="60"/>
  <c r="I33" i="58"/>
  <c r="AR10" i="28"/>
  <c r="AA19" i="60"/>
  <c r="AA20" i="60"/>
  <c r="AG20" i="60"/>
  <c r="AG19" i="60"/>
  <c r="AX13" i="28"/>
  <c r="AR9" i="28"/>
  <c r="AR7" i="28"/>
  <c r="AG22" i="60"/>
  <c r="AG17" i="60"/>
  <c r="AG21" i="60"/>
  <c r="AX12" i="28"/>
  <c r="AX11" i="28"/>
  <c r="AX10" i="28"/>
  <c r="AG18" i="60"/>
  <c r="AX8" i="28"/>
  <c r="AX7" i="28"/>
  <c r="AG25" i="60"/>
  <c r="AG26" i="60"/>
  <c r="AG27" i="60"/>
  <c r="BD9" i="28"/>
  <c r="BD8" i="28"/>
  <c r="BD10" i="28"/>
  <c r="BD7" i="28"/>
  <c r="AG24" i="60"/>
  <c r="E54" i="43"/>
  <c r="AG8" i="60"/>
  <c r="AG7" i="60"/>
  <c r="AO4" i="60"/>
  <c r="AO7" i="60"/>
  <c r="AO6" i="60"/>
  <c r="AG5" i="60"/>
  <c r="AI10" i="26"/>
  <c r="AI8" i="26"/>
  <c r="AB10" i="28"/>
  <c r="AB11" i="28"/>
  <c r="AG3" i="60"/>
  <c r="I10" i="28"/>
  <c r="I4" i="28" s="1"/>
  <c r="B18" i="56"/>
  <c r="Q10" i="28"/>
  <c r="Q4" i="28" s="1"/>
  <c r="H29" i="58"/>
  <c r="H26" i="58"/>
  <c r="M10" i="28"/>
  <c r="M4" i="28" s="1"/>
  <c r="V10" i="28"/>
  <c r="I26" i="58"/>
  <c r="I29" i="58"/>
  <c r="AJ3" i="60"/>
  <c r="N10" i="60" s="1"/>
  <c r="AJ5" i="60"/>
  <c r="AJ8" i="60"/>
  <c r="N16" i="60" s="1"/>
  <c r="AJ7" i="60"/>
  <c r="N15" i="60" s="1"/>
  <c r="AJ11" i="60"/>
  <c r="AJ15" i="60"/>
  <c r="AJ14" i="60"/>
  <c r="AJ12" i="60"/>
  <c r="AJ13" i="60"/>
  <c r="AJ24" i="60"/>
  <c r="AJ25" i="60"/>
  <c r="AJ19" i="60"/>
  <c r="AJ20" i="60"/>
  <c r="AJ21" i="60"/>
  <c r="AJ17" i="60"/>
  <c r="AJ22" i="60"/>
  <c r="AJ18" i="60"/>
  <c r="AJ27" i="60"/>
  <c r="AJ10" i="60"/>
  <c r="I34" i="58"/>
  <c r="Y20" i="60"/>
  <c r="N32" i="60"/>
  <c r="N31" i="60"/>
  <c r="N36" i="60"/>
  <c r="AP7" i="60"/>
  <c r="N33" i="60"/>
  <c r="AP4" i="60"/>
  <c r="AP3" i="60"/>
  <c r="AP6" i="60"/>
  <c r="D10" i="28"/>
  <c r="D4" i="28" s="1"/>
  <c r="AO3" i="60"/>
  <c r="AH42" i="67"/>
  <c r="AF42" i="67"/>
  <c r="AD42" i="67"/>
  <c r="AB42" i="67"/>
  <c r="Z42" i="67"/>
  <c r="X42" i="67"/>
  <c r="V42" i="67"/>
  <c r="H42" i="67"/>
  <c r="S18" i="60"/>
  <c r="L18" i="60" a="1"/>
  <c r="L18" i="60"/>
  <c r="DR37" i="26" l="1"/>
  <c r="DR36" i="26"/>
  <c r="DW37" i="26"/>
  <c r="DW44" i="26"/>
  <c r="DU29" i="26"/>
  <c r="DR40" i="26"/>
  <c r="DR35" i="26"/>
  <c r="DR34" i="26"/>
  <c r="DR33" i="26"/>
  <c r="DW53" i="26"/>
  <c r="DU40" i="26"/>
  <c r="DR32" i="26"/>
  <c r="DW50" i="26"/>
  <c r="DU33" i="26"/>
  <c r="DR29" i="26"/>
  <c r="DT32" i="26"/>
  <c r="DT29" i="26"/>
  <c r="DQ40" i="26"/>
  <c r="CL48" i="60"/>
  <c r="DQ35" i="26"/>
  <c r="DQ29" i="26"/>
  <c r="DS54" i="26"/>
  <c r="DS49" i="26"/>
  <c r="DS46" i="26"/>
  <c r="AK18" i="60"/>
  <c r="J33" i="58"/>
  <c r="CL38" i="60"/>
  <c r="DT37" i="26"/>
  <c r="DT48" i="26"/>
  <c r="DR30" i="26"/>
  <c r="CL41" i="60"/>
  <c r="DT30" i="26"/>
  <c r="DT40" i="26"/>
  <c r="DQ54" i="26"/>
  <c r="DT36" i="26"/>
  <c r="DQ46" i="26"/>
  <c r="DT35" i="26"/>
  <c r="DT34" i="26"/>
  <c r="DT33" i="26"/>
  <c r="DU54" i="26"/>
  <c r="DU46" i="26"/>
  <c r="DO7" i="26"/>
  <c r="G8" i="58"/>
  <c r="DX53" i="26"/>
  <c r="DT15" i="26"/>
  <c r="DX44" i="26"/>
  <c r="DU47" i="26"/>
  <c r="AK25" i="60"/>
  <c r="DU53" i="26"/>
  <c r="DU44" i="26"/>
  <c r="DU52" i="26"/>
  <c r="DU51" i="26"/>
  <c r="DU50" i="26"/>
  <c r="DU49" i="26"/>
  <c r="DU48" i="26"/>
  <c r="C34" i="60"/>
  <c r="DV49" i="26"/>
  <c r="DR42" i="26"/>
  <c r="CL39" i="60"/>
  <c r="J34" i="58"/>
  <c r="J35" i="58"/>
  <c r="BA20" i="64"/>
  <c r="BA16" i="64"/>
  <c r="BA8" i="64"/>
  <c r="BA4" i="64"/>
  <c r="J17" i="58"/>
  <c r="DW40" i="26"/>
  <c r="DW36" i="26"/>
  <c r="DW35" i="26"/>
  <c r="DW30" i="26"/>
  <c r="CL43" i="60"/>
  <c r="DW34" i="26"/>
  <c r="DS22" i="26"/>
  <c r="DW33" i="26"/>
  <c r="DS21" i="26"/>
  <c r="N43" i="67"/>
  <c r="DW32" i="26"/>
  <c r="DW29" i="26"/>
  <c r="DQ47" i="26"/>
  <c r="DQ15" i="26"/>
  <c r="DT49" i="26"/>
  <c r="J19" i="58"/>
  <c r="DQ53" i="26"/>
  <c r="DQ44" i="26"/>
  <c r="DT47" i="26"/>
  <c r="G43" i="67"/>
  <c r="DQ52" i="26"/>
  <c r="DT54" i="26"/>
  <c r="DT46" i="26"/>
  <c r="CL46" i="60"/>
  <c r="DQ51" i="26"/>
  <c r="DT53" i="26"/>
  <c r="DT44" i="26"/>
  <c r="DS23" i="26"/>
  <c r="DQ50" i="26"/>
  <c r="DT52" i="26"/>
  <c r="DQ49" i="26"/>
  <c r="DT51" i="26"/>
  <c r="DQ48" i="26"/>
  <c r="DQ22" i="26"/>
  <c r="DW15" i="26"/>
  <c r="DT50" i="26"/>
  <c r="P48" i="26"/>
  <c r="AY10" i="28" s="1"/>
  <c r="CL45" i="60"/>
  <c r="AV34" i="26"/>
  <c r="Z23" i="64" s="1"/>
  <c r="CL36" i="60"/>
  <c r="C35" i="60"/>
  <c r="CL44" i="60"/>
  <c r="Y43" i="67"/>
  <c r="H43" i="67"/>
  <c r="J43" i="67"/>
  <c r="DX54" i="26"/>
  <c r="DX46" i="26"/>
  <c r="DX19" i="26"/>
  <c r="DQ16" i="26"/>
  <c r="DW22" i="26"/>
  <c r="DV21" i="26"/>
  <c r="C33" i="60"/>
  <c r="DX52" i="26"/>
  <c r="DX34" i="26"/>
  <c r="DT21" i="26"/>
  <c r="DT42" i="26"/>
  <c r="C32" i="60"/>
  <c r="AF43" i="67"/>
  <c r="R43" i="67"/>
  <c r="Z43" i="67"/>
  <c r="P43" i="67"/>
  <c r="DX51" i="26"/>
  <c r="DQ23" i="26"/>
  <c r="DX50" i="26"/>
  <c r="AU21" i="64"/>
  <c r="BE4" i="28"/>
  <c r="AB4" i="28"/>
  <c r="C38" i="60"/>
  <c r="DX49" i="26"/>
  <c r="DQ20" i="26"/>
  <c r="DV35" i="26"/>
  <c r="AK11" i="60"/>
  <c r="C37" i="60"/>
  <c r="C39" i="60"/>
  <c r="DX48" i="26"/>
  <c r="DQ18" i="26"/>
  <c r="DV32" i="26"/>
  <c r="C31" i="60"/>
  <c r="CL49" i="60"/>
  <c r="C36" i="60"/>
  <c r="DX47" i="26"/>
  <c r="DX20" i="26"/>
  <c r="DQ17" i="26"/>
  <c r="DV15" i="26"/>
  <c r="DV23" i="26"/>
  <c r="AU23" i="64"/>
  <c r="DO44" i="26"/>
  <c r="AO7" i="28"/>
  <c r="CL42" i="60"/>
  <c r="O45" i="26"/>
  <c r="G35" i="58" s="1"/>
  <c r="AW42" i="26"/>
  <c r="AX42" i="26" s="1"/>
  <c r="AO10" i="28"/>
  <c r="G37" i="58"/>
  <c r="P50" i="26"/>
  <c r="AY12" i="28" s="1"/>
  <c r="CL47" i="60"/>
  <c r="O41" i="26"/>
  <c r="CL40" i="60"/>
  <c r="Q54" i="26"/>
  <c r="BE10" i="28" s="1"/>
  <c r="CL51" i="60"/>
  <c r="M32" i="26"/>
  <c r="BY10" i="26"/>
  <c r="AJ22" i="28" s="1"/>
  <c r="BT10" i="26"/>
  <c r="BW10" i="26"/>
  <c r="BU10" i="26"/>
  <c r="BV10" i="26"/>
  <c r="S17" i="60"/>
  <c r="L17" i="60" s="1" a="1"/>
  <c r="L17" i="60" s="1"/>
  <c r="M17" i="60" s="1"/>
  <c r="BS10" i="26"/>
  <c r="BZ10" i="26"/>
  <c r="BX10" i="26"/>
  <c r="CA10" i="26"/>
  <c r="AK27" i="60"/>
  <c r="J13" i="58"/>
  <c r="X43" i="67"/>
  <c r="DX33" i="26"/>
  <c r="DX16" i="26"/>
  <c r="DQ37" i="26"/>
  <c r="DW52" i="26"/>
  <c r="DV48" i="26"/>
  <c r="DV34" i="26"/>
  <c r="DU32" i="26"/>
  <c r="DS48" i="26"/>
  <c r="DS20" i="26"/>
  <c r="DR15" i="26"/>
  <c r="BA17" i="64"/>
  <c r="BA9" i="64"/>
  <c r="BA5" i="64"/>
  <c r="DX32" i="26"/>
  <c r="DQ36" i="26"/>
  <c r="DW51" i="26"/>
  <c r="DV47" i="26"/>
  <c r="DV33" i="26"/>
  <c r="DU30" i="26"/>
  <c r="DT20" i="26"/>
  <c r="DS47" i="26"/>
  <c r="DS19" i="26"/>
  <c r="DS45" i="26"/>
  <c r="DU41" i="26"/>
  <c r="AR4" i="28"/>
  <c r="CL37" i="60"/>
  <c r="DX40" i="26"/>
  <c r="DX29" i="26"/>
  <c r="DX15" i="26"/>
  <c r="DQ34" i="26"/>
  <c r="DW49" i="26"/>
  <c r="DW21" i="26"/>
  <c r="DV53" i="26"/>
  <c r="DV44" i="26"/>
  <c r="DV29" i="26"/>
  <c r="DU37" i="26"/>
  <c r="DU19" i="26"/>
  <c r="DT17" i="26"/>
  <c r="DS53" i="26"/>
  <c r="DS44" i="26"/>
  <c r="DS17" i="26"/>
  <c r="BA31" i="64"/>
  <c r="DW41" i="26"/>
  <c r="DV54" i="26"/>
  <c r="DS18" i="26"/>
  <c r="DR23" i="26"/>
  <c r="AK17" i="60"/>
  <c r="DX37" i="26"/>
  <c r="DX30" i="26"/>
  <c r="DX18" i="26"/>
  <c r="DQ33" i="26"/>
  <c r="DQ13" i="26"/>
  <c r="DW48" i="26"/>
  <c r="DW19" i="26"/>
  <c r="DV52" i="26"/>
  <c r="DV40" i="26"/>
  <c r="DV20" i="26"/>
  <c r="DU36" i="26"/>
  <c r="DT16" i="26"/>
  <c r="DS52" i="26"/>
  <c r="DS16" i="26"/>
  <c r="DR22" i="26"/>
  <c r="AK13" i="60"/>
  <c r="J29" i="58"/>
  <c r="CL32" i="60"/>
  <c r="DX36" i="26"/>
  <c r="DX23" i="26"/>
  <c r="DQ32" i="26"/>
  <c r="DW47" i="26"/>
  <c r="DW17" i="26"/>
  <c r="DV51" i="26"/>
  <c r="DV37" i="26"/>
  <c r="DV18" i="26"/>
  <c r="DU35" i="26"/>
  <c r="DS51" i="26"/>
  <c r="DT23" i="26"/>
  <c r="DX42" i="26"/>
  <c r="DQ42" i="26"/>
  <c r="DO40" i="26"/>
  <c r="N40" i="26" s="1"/>
  <c r="DV46" i="26"/>
  <c r="DT19" i="26"/>
  <c r="J26" i="58"/>
  <c r="CL50" i="60"/>
  <c r="DX35" i="26"/>
  <c r="DX14" i="26"/>
  <c r="DX17" i="26"/>
  <c r="DX21" i="26"/>
  <c r="DQ30" i="26"/>
  <c r="DQ19" i="26"/>
  <c r="DW54" i="26"/>
  <c r="DW46" i="26"/>
  <c r="DW16" i="26"/>
  <c r="DV50" i="26"/>
  <c r="DV36" i="26"/>
  <c r="DU34" i="26"/>
  <c r="DT13" i="26"/>
  <c r="DR17" i="26"/>
  <c r="DO19" i="26"/>
  <c r="J19" i="26" s="1"/>
  <c r="J9" i="26" s="1"/>
  <c r="AC8" i="28"/>
  <c r="G20" i="58"/>
  <c r="AC43" i="67"/>
  <c r="AY8" i="28"/>
  <c r="BA28" i="64"/>
  <c r="BG28" i="64"/>
  <c r="DO11" i="26"/>
  <c r="CC34" i="26"/>
  <c r="CU34" i="26" s="1"/>
  <c r="CC37" i="26"/>
  <c r="CU37" i="26" s="1"/>
  <c r="AU37" i="26" s="1"/>
  <c r="AC22" i="64" s="1"/>
  <c r="CC32" i="26"/>
  <c r="CU32" i="26" s="1"/>
  <c r="CC35" i="26"/>
  <c r="CU35" i="26" s="1"/>
  <c r="AU35" i="26" s="1"/>
  <c r="AA22" i="64" s="1"/>
  <c r="CC36" i="26"/>
  <c r="CU36" i="26" s="1"/>
  <c r="AU36" i="26" s="1"/>
  <c r="AB22" i="64" s="1"/>
  <c r="CL30" i="60"/>
  <c r="AS36" i="26"/>
  <c r="AB20" i="64" s="1"/>
  <c r="AB23" i="64"/>
  <c r="J16" i="58"/>
  <c r="CC33" i="26"/>
  <c r="CU33" i="26" s="1"/>
  <c r="AV33" i="26"/>
  <c r="CL35" i="60"/>
  <c r="J15" i="58"/>
  <c r="AB43" i="67"/>
  <c r="DW20" i="26"/>
  <c r="DO27" i="26"/>
  <c r="L26" i="26"/>
  <c r="DR52" i="26"/>
  <c r="DR53" i="26"/>
  <c r="DR54" i="26"/>
  <c r="DR44" i="26"/>
  <c r="DR47" i="26"/>
  <c r="DR48" i="26"/>
  <c r="DR49" i="26"/>
  <c r="DR45" i="26"/>
  <c r="DR46" i="26"/>
  <c r="DR51" i="26"/>
  <c r="J14" i="58"/>
  <c r="AU29" i="64"/>
  <c r="BG12" i="64"/>
  <c r="AS37" i="26"/>
  <c r="AC20" i="64" s="1"/>
  <c r="J11" i="58"/>
  <c r="J12" i="58"/>
  <c r="DW18" i="26"/>
  <c r="DW13" i="26"/>
  <c r="DU22" i="26"/>
  <c r="DU23" i="26"/>
  <c r="DU21" i="26"/>
  <c r="DS42" i="26"/>
  <c r="DS29" i="26"/>
  <c r="DS35" i="26"/>
  <c r="DS32" i="26"/>
  <c r="DS36" i="26"/>
  <c r="DS30" i="26"/>
  <c r="DS33" i="26"/>
  <c r="DS37" i="26"/>
  <c r="DS41" i="26"/>
  <c r="DS34" i="26"/>
  <c r="DS40" i="26"/>
  <c r="J18" i="58"/>
  <c r="DV19" i="26"/>
  <c r="DV16" i="26"/>
  <c r="DV13" i="26"/>
  <c r="DV17" i="26"/>
  <c r="DR14" i="26"/>
  <c r="DR16" i="26"/>
  <c r="DR19" i="26"/>
  <c r="DR18" i="26"/>
  <c r="DR13" i="26"/>
  <c r="AS35" i="26"/>
  <c r="AA20" i="64" s="1"/>
  <c r="DU18" i="26"/>
  <c r="DU14" i="26"/>
  <c r="DS14" i="26"/>
  <c r="AU13" i="64"/>
  <c r="AU5" i="64"/>
  <c r="DU17" i="26"/>
  <c r="DU13" i="26"/>
  <c r="AU15" i="64"/>
  <c r="AU7" i="64"/>
  <c r="BA32" i="64"/>
  <c r="DT18" i="26"/>
  <c r="AU25" i="64"/>
  <c r="DU20" i="26"/>
  <c r="AU19" i="64"/>
  <c r="DV30" i="26"/>
  <c r="DV42" i="26"/>
  <c r="DL27" i="26" a="1"/>
  <c r="DL27" i="26" s="1"/>
  <c r="S16" i="60" s="1"/>
  <c r="L16" i="60" s="1" a="1"/>
  <c r="L16" i="60" s="1"/>
  <c r="Q16" i="60" s="1"/>
  <c r="DL28" i="26" a="1"/>
  <c r="DL28" i="26" s="1"/>
  <c r="DL11" i="26" a="1"/>
  <c r="DL11" i="26" s="1"/>
  <c r="N8" i="60" s="1"/>
  <c r="DL31" i="26" a="1"/>
  <c r="DL31" i="26" s="1"/>
  <c r="DL43" i="26" a="1"/>
  <c r="DL43" i="26" s="1"/>
  <c r="DL24" i="26" a="1"/>
  <c r="DL24" i="26" s="1"/>
  <c r="DL12" i="26" a="1"/>
  <c r="DL12" i="26" s="1"/>
  <c r="BA18" i="64"/>
  <c r="AQ4" i="60"/>
  <c r="AI26" i="60"/>
  <c r="AD43" i="67"/>
  <c r="AU9" i="64"/>
  <c r="BG30" i="64"/>
  <c r="BA14" i="64"/>
  <c r="BA10" i="64"/>
  <c r="BA7" i="64"/>
  <c r="AU26" i="64"/>
  <c r="BG6" i="64"/>
  <c r="AG4" i="28"/>
  <c r="AK12" i="60"/>
  <c r="AK7" i="60"/>
  <c r="AH43" i="67"/>
  <c r="V43" i="67"/>
  <c r="BG20" i="64"/>
  <c r="AU18" i="64"/>
  <c r="BG14" i="64"/>
  <c r="AU10" i="64"/>
  <c r="BG23" i="64"/>
  <c r="BA12" i="64"/>
  <c r="AK26" i="60"/>
  <c r="AU30" i="64"/>
  <c r="F43" i="67"/>
  <c r="L43" i="67"/>
  <c r="T43" i="67"/>
  <c r="AQ3" i="60"/>
  <c r="N11" i="60"/>
  <c r="AK5" i="60"/>
  <c r="AK10" i="60"/>
  <c r="AU27" i="64"/>
  <c r="BA30" i="64"/>
  <c r="BG7" i="64"/>
  <c r="AU20" i="64"/>
  <c r="AK22" i="60"/>
  <c r="AK24" i="60"/>
  <c r="BD4" i="28"/>
  <c r="AU22" i="64"/>
  <c r="AU6" i="64"/>
  <c r="BG32" i="64"/>
  <c r="BA29" i="64"/>
  <c r="BA6" i="64"/>
  <c r="DL39" i="26" a="1"/>
  <c r="DL39" i="26" s="1"/>
  <c r="DL25" i="26" a="1"/>
  <c r="DL25" i="26" s="1"/>
  <c r="AU24" i="64"/>
  <c r="AU8" i="64"/>
  <c r="BA22" i="64"/>
  <c r="DV2" i="26"/>
  <c r="DV4" i="26" s="1"/>
  <c r="F13" i="60" s="1" a="1"/>
  <c r="F13" i="60" s="1"/>
  <c r="DL26" i="26" a="1"/>
  <c r="DL26" i="26" s="1"/>
  <c r="BG15" i="64"/>
  <c r="AK8" i="60"/>
  <c r="DL38" i="26" a="1"/>
  <c r="DL38" i="26" s="1"/>
  <c r="AU12" i="64"/>
  <c r="BA21" i="64"/>
  <c r="BA15" i="64"/>
  <c r="AK14" i="60"/>
  <c r="AK19" i="60"/>
  <c r="AK15" i="60"/>
  <c r="AX4" i="28"/>
  <c r="K34" i="60"/>
  <c r="BG22" i="64"/>
  <c r="AU14" i="64"/>
  <c r="AK20" i="60"/>
  <c r="K36" i="60"/>
  <c r="AK3" i="60"/>
  <c r="H26" i="60"/>
  <c r="X27" i="60" s="1"/>
  <c r="N26" i="60"/>
  <c r="K32" i="60"/>
  <c r="K33" i="60"/>
  <c r="N25" i="60"/>
  <c r="H25" i="60"/>
  <c r="X26" i="60" s="1"/>
  <c r="O19" i="60"/>
  <c r="Z20" i="60" s="1"/>
  <c r="Q19" i="60"/>
  <c r="AK21" i="60"/>
  <c r="AK4" i="28"/>
  <c r="AZ29" i="64"/>
  <c r="BG29" i="64"/>
  <c r="BA26" i="64"/>
  <c r="BG26" i="64"/>
  <c r="BA23" i="64"/>
  <c r="BA19" i="64"/>
  <c r="BG19" i="64"/>
  <c r="BA13" i="64"/>
  <c r="BG10" i="64"/>
  <c r="AZ18" i="64"/>
  <c r="BG18" i="64"/>
  <c r="AZ5" i="64"/>
  <c r="BG5" i="64"/>
  <c r="BG17" i="64"/>
  <c r="AZ17" i="64"/>
  <c r="AZ4" i="64"/>
  <c r="BG4" i="64"/>
  <c r="AU31" i="64"/>
  <c r="BG16" i="64"/>
  <c r="AZ16" i="64"/>
  <c r="BG9" i="64"/>
  <c r="AZ9" i="64"/>
  <c r="AZ21" i="64"/>
  <c r="BG21" i="64"/>
  <c r="BG8" i="64"/>
  <c r="AZ8" i="64"/>
  <c r="BA27" i="64"/>
  <c r="BG27" i="64"/>
  <c r="BA11" i="64"/>
  <c r="BG11" i="64"/>
  <c r="AZ31" i="64"/>
  <c r="BG31" i="64"/>
  <c r="AZ13" i="64"/>
  <c r="BG13" i="64"/>
  <c r="B37" i="60" l="1"/>
  <c r="DL54" i="26" a="1"/>
  <c r="DL54" i="26" s="1"/>
  <c r="L35" i="60"/>
  <c r="C41" i="60"/>
  <c r="DL50" i="26" a="1"/>
  <c r="DL50" i="26" s="1"/>
  <c r="AH21" i="60" s="1"/>
  <c r="AI21" i="60" s="1"/>
  <c r="DL20" i="26" a="1"/>
  <c r="DL20" i="26" s="1"/>
  <c r="L36" i="60" s="1"/>
  <c r="DL40" i="26" a="1"/>
  <c r="DL40" i="26" s="1"/>
  <c r="P9" i="26"/>
  <c r="AU34" i="26"/>
  <c r="Z22" i="64" s="1"/>
  <c r="DL33" i="26" a="1"/>
  <c r="DL33" i="26" s="1"/>
  <c r="AH13" i="60" s="1"/>
  <c r="AI13" i="60" s="1"/>
  <c r="DL15" i="26" a="1"/>
  <c r="DL15" i="26" s="1"/>
  <c r="L31" i="60" s="1"/>
  <c r="DL16" i="26" a="1"/>
  <c r="DL16" i="26" s="1"/>
  <c r="AS34" i="26"/>
  <c r="Z20" i="64" s="1"/>
  <c r="DL52" i="26" a="1"/>
  <c r="DL52" i="26" s="1"/>
  <c r="AH24" i="60" s="1"/>
  <c r="DL51" i="26" a="1"/>
  <c r="DL51" i="26" s="1"/>
  <c r="AH22" i="60" s="1"/>
  <c r="AI22" i="60" s="1"/>
  <c r="DL48" i="26" a="1"/>
  <c r="DL48" i="26" s="1"/>
  <c r="AH19" i="60" s="1"/>
  <c r="AI19" i="60" s="1"/>
  <c r="Q9" i="26"/>
  <c r="DL49" i="26" a="1"/>
  <c r="DL49" i="26" s="1"/>
  <c r="AH20" i="60" s="1"/>
  <c r="AI20" i="60" s="1"/>
  <c r="DL32" i="26" a="1"/>
  <c r="DL32" i="26" s="1"/>
  <c r="AH10" i="60" s="1"/>
  <c r="AI10" i="60" s="1"/>
  <c r="DL46" i="26" a="1"/>
  <c r="DL46" i="26" s="1"/>
  <c r="AH17" i="60" s="1"/>
  <c r="DL53" i="26" a="1"/>
  <c r="DL53" i="26" s="1"/>
  <c r="AH25" i="60" s="1"/>
  <c r="AI25" i="60" s="1"/>
  <c r="DL23" i="26" a="1"/>
  <c r="DL23" i="26" s="1"/>
  <c r="BH42" i="26"/>
  <c r="BI42" i="26" s="1"/>
  <c r="AF35" i="64" s="1"/>
  <c r="DL34" i="26" a="1"/>
  <c r="DL34" i="26" s="1"/>
  <c r="AH14" i="60" s="1"/>
  <c r="AI14" i="60" s="1"/>
  <c r="DL35" i="26" a="1"/>
  <c r="DL35" i="26" s="1"/>
  <c r="AH15" i="60" s="1"/>
  <c r="AI15" i="60" s="1"/>
  <c r="DL45" i="26" a="1"/>
  <c r="DL45" i="26" s="1"/>
  <c r="N21" i="60" s="1"/>
  <c r="DL36" i="26" a="1"/>
  <c r="DL36" i="26" s="1"/>
  <c r="AH11" i="60" s="1"/>
  <c r="AI11" i="60" s="1"/>
  <c r="DL37" i="26" a="1"/>
  <c r="DL37" i="26" s="1"/>
  <c r="AH12" i="60" s="1"/>
  <c r="AI12" i="60" s="1"/>
  <c r="DL21" i="26" a="1"/>
  <c r="DL21" i="26" s="1"/>
  <c r="AH3" i="60" s="1"/>
  <c r="AI3" i="60" s="1"/>
  <c r="C40" i="60"/>
  <c r="AV32" i="26"/>
  <c r="AV40" i="26" s="1"/>
  <c r="CL34" i="60"/>
  <c r="AJ16" i="28"/>
  <c r="CB5" i="26"/>
  <c r="B31" i="60"/>
  <c r="B38" i="60"/>
  <c r="AJ23" i="28"/>
  <c r="M9" i="26"/>
  <c r="G33" i="58"/>
  <c r="AJ18" i="28"/>
  <c r="B33" i="60"/>
  <c r="B34" i="60"/>
  <c r="AJ19" i="28"/>
  <c r="AJ20" i="28"/>
  <c r="B35" i="60"/>
  <c r="AW41" i="26"/>
  <c r="AO9" i="28"/>
  <c r="G36" i="58"/>
  <c r="O9" i="26"/>
  <c r="AF24" i="64"/>
  <c r="CC10" i="26"/>
  <c r="B39" i="60"/>
  <c r="AJ24" i="28"/>
  <c r="B32" i="60"/>
  <c r="AJ17" i="28"/>
  <c r="DL18" i="26" a="1"/>
  <c r="DL18" i="26" s="1"/>
  <c r="DL44" i="26" a="1"/>
  <c r="DL44" i="26" s="1"/>
  <c r="B36" i="60"/>
  <c r="AJ21" i="28"/>
  <c r="AV44" i="26"/>
  <c r="N44" i="26"/>
  <c r="N9" i="26" s="1"/>
  <c r="B18" i="68"/>
  <c r="A18" i="68" s="1"/>
  <c r="AF25" i="64"/>
  <c r="CB32" i="26"/>
  <c r="CS32" i="26" s="1"/>
  <c r="CB36" i="26"/>
  <c r="CS36" i="26" s="1"/>
  <c r="AR36" i="26" s="1"/>
  <c r="CB33" i="26"/>
  <c r="CS33" i="26" s="1"/>
  <c r="AR33" i="26" s="1"/>
  <c r="CB37" i="26"/>
  <c r="CS37" i="26" s="1"/>
  <c r="AR37" i="26" s="1"/>
  <c r="CB34" i="26"/>
  <c r="CS34" i="26" s="1"/>
  <c r="AR34" i="26" s="1"/>
  <c r="CB35" i="26"/>
  <c r="CS35" i="26" s="1"/>
  <c r="AR35" i="26" s="1"/>
  <c r="CB10" i="26"/>
  <c r="I11" i="26"/>
  <c r="AU33" i="26"/>
  <c r="Y22" i="64" s="1"/>
  <c r="AS33" i="26"/>
  <c r="Y20" i="64" s="1"/>
  <c r="Y23" i="64"/>
  <c r="DL22" i="26" a="1"/>
  <c r="DL22" i="26" s="1"/>
  <c r="S11" i="60" s="1"/>
  <c r="L11" i="60" s="1" a="1"/>
  <c r="L11" i="60" s="1"/>
  <c r="Q11" i="60" s="1"/>
  <c r="DL41" i="26" a="1"/>
  <c r="DL41" i="26" s="1"/>
  <c r="AY4" i="28"/>
  <c r="S8" i="60"/>
  <c r="L8" i="60" s="1" a="1"/>
  <c r="L8" i="60" s="1"/>
  <c r="Q8" i="60" s="1"/>
  <c r="DL17" i="26" a="1"/>
  <c r="DL17" i="26" s="1"/>
  <c r="G31" i="58"/>
  <c r="Y11" i="28"/>
  <c r="DL42" i="26" a="1"/>
  <c r="DL42" i="26" s="1"/>
  <c r="S23" i="60" s="1"/>
  <c r="L23" i="60" s="1" a="1"/>
  <c r="L23" i="60" s="1"/>
  <c r="DL47" i="26" a="1"/>
  <c r="DL47" i="26" s="1"/>
  <c r="AH18" i="60" s="1"/>
  <c r="AI18" i="60" s="1"/>
  <c r="DL19" i="26" a="1"/>
  <c r="DL19" i="26" s="1"/>
  <c r="AH8" i="60"/>
  <c r="AI8" i="60" s="1"/>
  <c r="DL29" i="26" a="1"/>
  <c r="DL29" i="26" s="1"/>
  <c r="N14" i="60" s="1"/>
  <c r="L27" i="26"/>
  <c r="L9" i="26" s="1"/>
  <c r="K35" i="60"/>
  <c r="K12" i="60" s="1"/>
  <c r="DL14" i="26" a="1"/>
  <c r="DL14" i="26" s="1"/>
  <c r="L33" i="60" s="1"/>
  <c r="DL13" i="26" a="1"/>
  <c r="DL13" i="26" s="1"/>
  <c r="L32" i="60" s="1"/>
  <c r="DL30" i="26" a="1"/>
  <c r="DL30" i="26" s="1"/>
  <c r="N12" i="60"/>
  <c r="S12" i="60"/>
  <c r="L12" i="60" s="1" a="1"/>
  <c r="L12" i="60" s="1"/>
  <c r="B16" i="68"/>
  <c r="A16" i="68" s="1"/>
  <c r="B14" i="68"/>
  <c r="A14" i="68" s="1"/>
  <c r="S15" i="60"/>
  <c r="L15" i="60" s="1" a="1"/>
  <c r="L15" i="60" s="1"/>
  <c r="Q15" i="60" s="1"/>
  <c r="AH7" i="60"/>
  <c r="AI7" i="60" s="1"/>
  <c r="AH27" i="60"/>
  <c r="AI27" i="60" s="1"/>
  <c r="O26" i="60"/>
  <c r="Z27" i="60" s="1"/>
  <c r="O25" i="60"/>
  <c r="Z26" i="60" s="1"/>
  <c r="N18" i="60" l="1"/>
  <c r="Q18" i="60" s="1"/>
  <c r="N35" i="60"/>
  <c r="N17" i="60"/>
  <c r="O17" i="60" s="1"/>
  <c r="AR32" i="26"/>
  <c r="X19" i="64" s="1"/>
  <c r="Y24" i="60"/>
  <c r="H23" i="60"/>
  <c r="X24" i="60" s="1"/>
  <c r="BJ42" i="26"/>
  <c r="BL42" i="26" s="1"/>
  <c r="AF38" i="64"/>
  <c r="B40" i="60"/>
  <c r="B41" i="60"/>
  <c r="AV8" i="26"/>
  <c r="AK15" i="28"/>
  <c r="AH5" i="60"/>
  <c r="AI5" i="60" s="1"/>
  <c r="S21" i="60"/>
  <c r="L21" i="60" s="1" a="1"/>
  <c r="L21" i="60" s="1"/>
  <c r="Q21" i="60" s="1"/>
  <c r="S10" i="60"/>
  <c r="L10" i="60" s="1" a="1"/>
  <c r="L10" i="60" s="1"/>
  <c r="Q10" i="60" s="1"/>
  <c r="N23" i="60"/>
  <c r="AX41" i="26"/>
  <c r="AE25" i="64" s="1"/>
  <c r="BA25" i="64" s="1"/>
  <c r="AE24" i="64"/>
  <c r="BA24" i="64" s="1"/>
  <c r="S14" i="60"/>
  <c r="L14" i="60" s="1" a="1"/>
  <c r="L14" i="60" s="1"/>
  <c r="Q14" i="60" s="1"/>
  <c r="AG23" i="64"/>
  <c r="AW44" i="26"/>
  <c r="X23" i="64"/>
  <c r="AS32" i="26"/>
  <c r="AS10" i="26" s="1"/>
  <c r="H17" i="60" s="1"/>
  <c r="AU32" i="26"/>
  <c r="BH35" i="26"/>
  <c r="AA19" i="64"/>
  <c r="BH37" i="26"/>
  <c r="AC19" i="64"/>
  <c r="BH34" i="26"/>
  <c r="Z19" i="64"/>
  <c r="N22" i="60"/>
  <c r="S22" i="60"/>
  <c r="L22" i="60" s="1" a="1"/>
  <c r="L22" i="60" s="1"/>
  <c r="Y10" i="28"/>
  <c r="G32" i="58"/>
  <c r="BH36" i="26"/>
  <c r="AB19" i="64"/>
  <c r="BH33" i="26"/>
  <c r="Y19" i="64"/>
  <c r="AC10" i="28"/>
  <c r="G25" i="58"/>
  <c r="I9" i="26"/>
  <c r="AF34" i="64"/>
  <c r="AA42" i="26"/>
  <c r="H37" i="58"/>
  <c r="BK42" i="26"/>
  <c r="W24" i="60" s="1"/>
  <c r="AF39" i="64"/>
  <c r="AF37" i="64"/>
  <c r="AF36" i="64"/>
  <c r="AF33" i="64"/>
  <c r="AD23" i="64"/>
  <c r="AW40" i="26"/>
  <c r="BH40" i="26" s="1"/>
  <c r="Q12" i="60"/>
  <c r="AI17" i="60"/>
  <c r="S25" i="60"/>
  <c r="L25" i="60" s="1" a="1"/>
  <c r="L25" i="60" s="1"/>
  <c r="S26" i="60"/>
  <c r="L26" i="60" s="1" a="1"/>
  <c r="L26" i="60" s="1"/>
  <c r="AI24" i="60"/>
  <c r="K11" i="60"/>
  <c r="K31" i="60" s="1"/>
  <c r="AQ26" i="26" l="1"/>
  <c r="BD26" i="26" s="1"/>
  <c r="I37" i="58"/>
  <c r="J37" i="58" s="1"/>
  <c r="AQ27" i="26"/>
  <c r="AE27" i="26" s="1"/>
  <c r="U6" i="64" s="1"/>
  <c r="AW6" i="64" s="1"/>
  <c r="Q17" i="60"/>
  <c r="BH32" i="26"/>
  <c r="BJ32" i="26" s="1"/>
  <c r="O23" i="60"/>
  <c r="Z24" i="60" s="1"/>
  <c r="M23" i="60"/>
  <c r="V24" i="60" s="1"/>
  <c r="AF40" i="64"/>
  <c r="Q23" i="60"/>
  <c r="BH41" i="26"/>
  <c r="BJ41" i="26" s="1"/>
  <c r="BL41" i="26" s="1"/>
  <c r="BH44" i="26"/>
  <c r="AG24" i="64"/>
  <c r="AW45" i="26"/>
  <c r="AW10" i="26" s="1"/>
  <c r="BB7" i="64"/>
  <c r="BB8" i="64"/>
  <c r="BB15" i="64"/>
  <c r="BB19" i="64"/>
  <c r="BB24" i="64"/>
  <c r="BB4" i="64"/>
  <c r="BB26" i="64"/>
  <c r="BB9" i="64"/>
  <c r="BB18" i="64"/>
  <c r="BB32" i="64"/>
  <c r="BB31" i="64"/>
  <c r="BB10" i="64"/>
  <c r="BB14" i="64"/>
  <c r="BB20" i="64"/>
  <c r="BB6" i="64"/>
  <c r="BB16" i="64"/>
  <c r="BB27" i="64"/>
  <c r="BB12" i="64"/>
  <c r="BB29" i="64"/>
  <c r="BB13" i="64"/>
  <c r="BB23" i="64"/>
  <c r="BB25" i="64"/>
  <c r="BB11" i="64"/>
  <c r="BB17" i="64"/>
  <c r="BB5" i="64"/>
  <c r="BB28" i="64"/>
  <c r="BB30" i="64"/>
  <c r="AU29" i="26"/>
  <c r="X22" i="64"/>
  <c r="AS8" i="26"/>
  <c r="BH38" i="26"/>
  <c r="X20" i="64"/>
  <c r="BI40" i="26"/>
  <c r="H18" i="60"/>
  <c r="BJ40" i="26"/>
  <c r="BI34" i="26"/>
  <c r="BJ34" i="26"/>
  <c r="BI35" i="26"/>
  <c r="BJ35" i="26"/>
  <c r="BI37" i="26"/>
  <c r="BJ37" i="26"/>
  <c r="BI33" i="26"/>
  <c r="Y18" i="60"/>
  <c r="BJ33" i="26"/>
  <c r="AD24" i="64"/>
  <c r="BI36" i="26"/>
  <c r="BJ36" i="26"/>
  <c r="Q22" i="60"/>
  <c r="U4" i="67"/>
  <c r="BD17" i="64"/>
  <c r="BD23" i="64"/>
  <c r="BD24" i="64"/>
  <c r="BD20" i="64"/>
  <c r="BD7" i="64"/>
  <c r="BD31" i="64"/>
  <c r="BD6" i="64"/>
  <c r="BD9" i="64"/>
  <c r="BD11" i="64"/>
  <c r="BD14" i="64"/>
  <c r="BD13" i="64"/>
  <c r="BD19" i="64"/>
  <c r="BD12" i="64"/>
  <c r="BD8" i="64"/>
  <c r="BD18" i="64"/>
  <c r="BD15" i="64"/>
  <c r="BD32" i="64"/>
  <c r="BD25" i="64"/>
  <c r="BD27" i="64"/>
  <c r="BD28" i="64"/>
  <c r="BD10" i="64"/>
  <c r="BD4" i="64"/>
  <c r="BD30" i="64"/>
  <c r="BD29" i="64"/>
  <c r="BD5" i="64"/>
  <c r="BD26" i="64"/>
  <c r="BD16" i="64"/>
  <c r="S42" i="26"/>
  <c r="AB42" i="26" s="1"/>
  <c r="AA24" i="60"/>
  <c r="Q25" i="60"/>
  <c r="M25" i="60"/>
  <c r="V26" i="60" s="1"/>
  <c r="M26" i="60"/>
  <c r="V27" i="60" s="1"/>
  <c r="Q26" i="60"/>
  <c r="H11" i="60"/>
  <c r="M11" i="60" s="1"/>
  <c r="V11" i="60" s="1"/>
  <c r="K10" i="60"/>
  <c r="AD26" i="26" l="1"/>
  <c r="AH26" i="26"/>
  <c r="T9" i="64" s="1"/>
  <c r="AX9" i="64" s="1"/>
  <c r="T18" i="64"/>
  <c r="AX18" i="64" s="1"/>
  <c r="BB26" i="26"/>
  <c r="T29" i="64" s="1"/>
  <c r="AX29" i="64" s="1"/>
  <c r="AQ30" i="26"/>
  <c r="AQ8" i="26" s="1"/>
  <c r="AM26" i="26"/>
  <c r="AE26" i="26"/>
  <c r="T6" i="64" s="1"/>
  <c r="AX6" i="64" s="1"/>
  <c r="AK26" i="26"/>
  <c r="AM27" i="26"/>
  <c r="U14" i="64" s="1"/>
  <c r="AW14" i="64" s="1"/>
  <c r="U18" i="64"/>
  <c r="AW18" i="64" s="1"/>
  <c r="AN26" i="26"/>
  <c r="T15" i="64" s="1"/>
  <c r="AX15" i="64" s="1"/>
  <c r="AD27" i="26"/>
  <c r="BC26" i="26"/>
  <c r="T30" i="64" s="1"/>
  <c r="AX30" i="64" s="1"/>
  <c r="BD27" i="26"/>
  <c r="U31" i="64" s="1"/>
  <c r="AW31" i="64" s="1"/>
  <c r="AH27" i="26"/>
  <c r="U9" i="64" s="1"/>
  <c r="AW9" i="64" s="1"/>
  <c r="BC27" i="26"/>
  <c r="U30" i="64" s="1"/>
  <c r="AW30" i="64" s="1"/>
  <c r="AL27" i="26"/>
  <c r="AL17" i="26" s="1"/>
  <c r="AN27" i="26"/>
  <c r="U15" i="64" s="1"/>
  <c r="AW15" i="64" s="1"/>
  <c r="BB27" i="26"/>
  <c r="U29" i="64" s="1"/>
  <c r="AW29" i="64" s="1"/>
  <c r="I36" i="58"/>
  <c r="BI32" i="26"/>
  <c r="X33" i="64" s="1"/>
  <c r="AE40" i="64"/>
  <c r="BA40" i="64" s="1"/>
  <c r="U42" i="67" s="1"/>
  <c r="H22" i="60"/>
  <c r="X23" i="60" s="1"/>
  <c r="BI41" i="26"/>
  <c r="AE38" i="64" s="1"/>
  <c r="BA38" i="64" s="1"/>
  <c r="U40" i="67" s="1"/>
  <c r="AW8" i="26"/>
  <c r="Y23" i="60"/>
  <c r="AX45" i="26"/>
  <c r="AH24" i="64"/>
  <c r="V22" i="64"/>
  <c r="AT29" i="26"/>
  <c r="AU8" i="26"/>
  <c r="AU10" i="26"/>
  <c r="BI44" i="26"/>
  <c r="BJ44" i="26"/>
  <c r="U27" i="67"/>
  <c r="BL40" i="26"/>
  <c r="AD40" i="64"/>
  <c r="S41" i="26"/>
  <c r="AB41" i="26" s="1"/>
  <c r="AA23" i="60"/>
  <c r="Y40" i="64"/>
  <c r="BL33" i="26"/>
  <c r="S33" i="26" s="1"/>
  <c r="AB33" i="26" s="1"/>
  <c r="T31" i="64"/>
  <c r="AX31" i="64" s="1"/>
  <c r="Y36" i="64"/>
  <c r="Y37" i="64"/>
  <c r="Y33" i="64"/>
  <c r="Y38" i="64"/>
  <c r="AA33" i="26"/>
  <c r="BK33" i="26"/>
  <c r="Y39" i="64"/>
  <c r="Y34" i="64"/>
  <c r="Y35" i="64"/>
  <c r="X19" i="60"/>
  <c r="M18" i="60"/>
  <c r="V19" i="60" s="1"/>
  <c r="O18" i="60"/>
  <c r="Z19" i="60" s="1"/>
  <c r="BL35" i="26"/>
  <c r="S35" i="26" s="1"/>
  <c r="AB35" i="26" s="1"/>
  <c r="AA40" i="64"/>
  <c r="AD34" i="64"/>
  <c r="AD37" i="64"/>
  <c r="AD33" i="64"/>
  <c r="AA40" i="26"/>
  <c r="AD38" i="64"/>
  <c r="BK40" i="26"/>
  <c r="AD39" i="64"/>
  <c r="AD36" i="64"/>
  <c r="AD35" i="64"/>
  <c r="AK16" i="26"/>
  <c r="T12" i="64"/>
  <c r="AX12" i="64" s="1"/>
  <c r="BK35" i="26"/>
  <c r="AA39" i="64"/>
  <c r="AA35" i="26"/>
  <c r="AA38" i="64"/>
  <c r="AA37" i="64"/>
  <c r="AA34" i="64"/>
  <c r="AA36" i="64"/>
  <c r="AA33" i="64"/>
  <c r="AA35" i="64"/>
  <c r="T5" i="64"/>
  <c r="AX5" i="64" s="1"/>
  <c r="BL37" i="26"/>
  <c r="S37" i="26" s="1"/>
  <c r="AB37" i="26" s="1"/>
  <c r="AC40" i="64"/>
  <c r="BL34" i="26"/>
  <c r="S34" i="26" s="1"/>
  <c r="AB34" i="26" s="1"/>
  <c r="Z40" i="64"/>
  <c r="AB40" i="64"/>
  <c r="BL36" i="26"/>
  <c r="S36" i="26" s="1"/>
  <c r="AB36" i="26" s="1"/>
  <c r="AC37" i="64"/>
  <c r="AC33" i="64"/>
  <c r="AC38" i="64"/>
  <c r="BK37" i="26"/>
  <c r="AC34" i="64"/>
  <c r="AC36" i="64"/>
  <c r="AA37" i="26"/>
  <c r="AC39" i="64"/>
  <c r="AC35" i="64"/>
  <c r="BJ38" i="26"/>
  <c r="BL38" i="26" s="1"/>
  <c r="BL32" i="26"/>
  <c r="X40" i="64"/>
  <c r="Z37" i="64"/>
  <c r="Z33" i="64"/>
  <c r="AA34" i="26"/>
  <c r="BK34" i="26"/>
  <c r="Z39" i="64"/>
  <c r="Z38" i="64"/>
  <c r="Z34" i="64"/>
  <c r="Z36" i="64"/>
  <c r="Z35" i="64"/>
  <c r="U22" i="67"/>
  <c r="U34" i="67"/>
  <c r="U17" i="67"/>
  <c r="U33" i="67"/>
  <c r="U15" i="67"/>
  <c r="U20" i="67"/>
  <c r="U28" i="67"/>
  <c r="U19" i="67"/>
  <c r="U25" i="67"/>
  <c r="U31" i="67"/>
  <c r="U24" i="67"/>
  <c r="U30" i="67"/>
  <c r="U13" i="67"/>
  <c r="U8" i="67"/>
  <c r="U29" i="67"/>
  <c r="U18" i="67"/>
  <c r="U7" i="67"/>
  <c r="U14" i="67"/>
  <c r="U11" i="67"/>
  <c r="U26" i="67"/>
  <c r="U9" i="67"/>
  <c r="U16" i="67"/>
  <c r="U23" i="67"/>
  <c r="U21" i="67"/>
  <c r="U32" i="67"/>
  <c r="U12" i="67"/>
  <c r="U10" i="67"/>
  <c r="U6" i="67"/>
  <c r="AB34" i="64"/>
  <c r="AA36" i="26"/>
  <c r="BK36" i="26"/>
  <c r="AB39" i="64"/>
  <c r="AB37" i="64"/>
  <c r="AB38" i="64"/>
  <c r="AB36" i="64"/>
  <c r="AB33" i="64"/>
  <c r="AB35" i="64"/>
  <c r="U13" i="64"/>
  <c r="AW13" i="64" s="1"/>
  <c r="X36" i="64"/>
  <c r="O11" i="60"/>
  <c r="Z11" i="60" s="1"/>
  <c r="X11" i="60"/>
  <c r="H10" i="60"/>
  <c r="X10" i="60" s="1"/>
  <c r="K8" i="60"/>
  <c r="W18" i="64" l="1"/>
  <c r="AY18" i="64" s="1"/>
  <c r="AR30" i="26"/>
  <c r="AR8" i="26" s="1"/>
  <c r="BC8" i="26"/>
  <c r="AQ10" i="26"/>
  <c r="X38" i="64"/>
  <c r="X37" i="64"/>
  <c r="BK32" i="26"/>
  <c r="W18" i="60" s="1"/>
  <c r="X39" i="64"/>
  <c r="AM19" i="26"/>
  <c r="BE19" i="26" s="1"/>
  <c r="N32" i="64" s="1"/>
  <c r="AM18" i="26"/>
  <c r="BE18" i="26" s="1"/>
  <c r="T14" i="64"/>
  <c r="AX14" i="64" s="1"/>
  <c r="O4" i="67" s="1"/>
  <c r="O16" i="67" s="1"/>
  <c r="O156" i="63" s="1"/>
  <c r="BD10" i="26"/>
  <c r="BD8" i="26"/>
  <c r="BH27" i="26"/>
  <c r="B115" i="68" s="1"/>
  <c r="A115" i="68" s="1"/>
  <c r="U5" i="64"/>
  <c r="AW5" i="64" s="1"/>
  <c r="M4" i="67" s="1"/>
  <c r="M7" i="67" s="1"/>
  <c r="O108" i="63" s="1"/>
  <c r="AN20" i="26"/>
  <c r="AG20" i="26" s="1"/>
  <c r="BH26" i="26"/>
  <c r="BB8" i="26"/>
  <c r="BB10" i="26"/>
  <c r="BC10" i="26"/>
  <c r="AE34" i="64"/>
  <c r="BA34" i="64" s="1"/>
  <c r="U36" i="67" s="1"/>
  <c r="O22" i="60"/>
  <c r="Z23" i="60" s="1"/>
  <c r="AE39" i="64"/>
  <c r="BA39" i="64" s="1"/>
  <c r="U41" i="67" s="1"/>
  <c r="X35" i="64"/>
  <c r="AA32" i="26"/>
  <c r="X34" i="64"/>
  <c r="BI38" i="26"/>
  <c r="BK38" i="26" s="1"/>
  <c r="BK41" i="26"/>
  <c r="W23" i="60" s="1"/>
  <c r="AE36" i="64"/>
  <c r="BA36" i="64" s="1"/>
  <c r="U38" i="67" s="1"/>
  <c r="M22" i="60"/>
  <c r="V23" i="60" s="1"/>
  <c r="AE35" i="64"/>
  <c r="BA35" i="64" s="1"/>
  <c r="U37" i="67" s="1"/>
  <c r="AE37" i="64"/>
  <c r="BA37" i="64" s="1"/>
  <c r="U39" i="67" s="1"/>
  <c r="AA41" i="26"/>
  <c r="AE33" i="64"/>
  <c r="BA33" i="64" s="1"/>
  <c r="U35" i="67" s="1"/>
  <c r="H36" i="58"/>
  <c r="J36" i="58" s="1"/>
  <c r="AZ24" i="64"/>
  <c r="BG24" i="64"/>
  <c r="AH25" i="64"/>
  <c r="AX46" i="26"/>
  <c r="AX50" i="26"/>
  <c r="AX47" i="26"/>
  <c r="AX48" i="26"/>
  <c r="AX49" i="26"/>
  <c r="AX51" i="26"/>
  <c r="BL44" i="26"/>
  <c r="S44" i="26" s="1"/>
  <c r="AB44" i="26" s="1"/>
  <c r="AG40" i="64"/>
  <c r="BH45" i="26"/>
  <c r="AG38" i="64"/>
  <c r="AG36" i="64"/>
  <c r="AG33" i="64"/>
  <c r="AG37" i="64"/>
  <c r="AG34" i="64"/>
  <c r="AG39" i="64"/>
  <c r="BK44" i="26"/>
  <c r="AG35" i="64"/>
  <c r="BH29" i="26"/>
  <c r="V21" i="64"/>
  <c r="AT12" i="26"/>
  <c r="BB22" i="64"/>
  <c r="BD22" i="64"/>
  <c r="W19" i="64"/>
  <c r="AY19" i="64" s="1"/>
  <c r="AR10" i="26"/>
  <c r="M14" i="64"/>
  <c r="CN15" i="60"/>
  <c r="S40" i="26"/>
  <c r="AB40" i="26" s="1"/>
  <c r="AH19" i="26"/>
  <c r="N9" i="64" s="1"/>
  <c r="AF19" i="26"/>
  <c r="N14" i="64"/>
  <c r="AD17" i="26"/>
  <c r="AE17" i="26"/>
  <c r="L6" i="64" s="1"/>
  <c r="L13" i="64"/>
  <c r="AL10" i="26"/>
  <c r="AL8" i="26"/>
  <c r="AE16" i="26"/>
  <c r="AD16" i="26"/>
  <c r="AK8" i="26"/>
  <c r="K12" i="64"/>
  <c r="AK10" i="26"/>
  <c r="BI26" i="26"/>
  <c r="Y16" i="60"/>
  <c r="CN14" i="60"/>
  <c r="AA18" i="60"/>
  <c r="S32" i="26"/>
  <c r="AB32" i="26" s="1"/>
  <c r="BH30" i="26"/>
  <c r="M10" i="60"/>
  <c r="V10" i="60" s="1"/>
  <c r="O10" i="60"/>
  <c r="Z10" i="60" s="1"/>
  <c r="BJ27" i="26" l="1"/>
  <c r="BI27" i="26"/>
  <c r="O15" i="64"/>
  <c r="AH20" i="26"/>
  <c r="O9" i="64" s="1"/>
  <c r="BH28" i="26"/>
  <c r="BH4" i="26"/>
  <c r="AM10" i="26"/>
  <c r="AN8" i="26"/>
  <c r="B93" i="68"/>
  <c r="A93" i="68" s="1"/>
  <c r="AM8" i="26"/>
  <c r="AN10" i="26"/>
  <c r="BJ26" i="26"/>
  <c r="T40" i="64" s="1"/>
  <c r="AX40" i="64" s="1"/>
  <c r="O42" i="67" s="1"/>
  <c r="AG18" i="26"/>
  <c r="AH18" i="26"/>
  <c r="M9" i="64" s="1"/>
  <c r="U43" i="67"/>
  <c r="O7" i="67"/>
  <c r="O155" i="63" s="1"/>
  <c r="M31" i="67"/>
  <c r="O117" i="63" s="1"/>
  <c r="M15" i="67"/>
  <c r="O104" i="63" s="1"/>
  <c r="AT10" i="26"/>
  <c r="G21" i="64"/>
  <c r="BH12" i="26"/>
  <c r="AT8" i="26"/>
  <c r="AY48" i="26"/>
  <c r="AK25" i="64"/>
  <c r="BB21" i="64"/>
  <c r="BD21" i="64"/>
  <c r="AY47" i="26"/>
  <c r="AJ26" i="64" s="1"/>
  <c r="AJ25" i="64"/>
  <c r="O31" i="67"/>
  <c r="O164" i="63" s="1"/>
  <c r="Y22" i="60"/>
  <c r="BJ45" i="26"/>
  <c r="BI45" i="26"/>
  <c r="H21" i="60"/>
  <c r="AX8" i="26"/>
  <c r="AI25" i="64"/>
  <c r="BF25" i="64" s="1"/>
  <c r="AY46" i="26"/>
  <c r="AZ25" i="64"/>
  <c r="S4" i="67" s="1"/>
  <c r="BG25" i="64"/>
  <c r="AG4" i="67" s="1"/>
  <c r="AL25" i="64"/>
  <c r="AY49" i="26"/>
  <c r="AL26" i="64" s="1"/>
  <c r="BI29" i="26"/>
  <c r="H14" i="60"/>
  <c r="Y14" i="60"/>
  <c r="BJ29" i="26"/>
  <c r="AX10" i="26"/>
  <c r="AY50" i="26"/>
  <c r="AM26" i="64" s="1"/>
  <c r="AM25" i="64"/>
  <c r="AY51" i="26"/>
  <c r="AN25" i="64"/>
  <c r="O15" i="67"/>
  <c r="O6" i="67"/>
  <c r="O27" i="67"/>
  <c r="O26" i="67"/>
  <c r="O18" i="67"/>
  <c r="O12" i="67"/>
  <c r="O24" i="67"/>
  <c r="O28" i="67"/>
  <c r="O25" i="67"/>
  <c r="O19" i="67"/>
  <c r="O23" i="67"/>
  <c r="O13" i="67"/>
  <c r="O22" i="67"/>
  <c r="O30" i="67"/>
  <c r="O29" i="67"/>
  <c r="O34" i="67"/>
  <c r="O10" i="67"/>
  <c r="O21" i="67"/>
  <c r="O9" i="67"/>
  <c r="O20" i="67"/>
  <c r="O8" i="67"/>
  <c r="O157" i="63" s="1"/>
  <c r="O14" i="67"/>
  <c r="O151" i="63" s="1"/>
  <c r="O33" i="67"/>
  <c r="O176" i="63" s="1"/>
  <c r="BL26" i="26"/>
  <c r="I31" i="58"/>
  <c r="B79" i="68"/>
  <c r="A79" i="68" s="1"/>
  <c r="T38" i="64"/>
  <c r="AX38" i="64" s="1"/>
  <c r="O40" i="67" s="1"/>
  <c r="O161" i="63" s="1"/>
  <c r="T34" i="64"/>
  <c r="AX34" i="64" s="1"/>
  <c r="O36" i="67" s="1"/>
  <c r="T37" i="64"/>
  <c r="AX37" i="64" s="1"/>
  <c r="O39" i="67" s="1"/>
  <c r="T35" i="64"/>
  <c r="AX35" i="64" s="1"/>
  <c r="O37" i="67" s="1"/>
  <c r="T33" i="64"/>
  <c r="AX33" i="64" s="1"/>
  <c r="O35" i="67" s="1"/>
  <c r="AA26" i="26"/>
  <c r="BK26" i="26"/>
  <c r="T36" i="64"/>
  <c r="AX36" i="64" s="1"/>
  <c r="O38" i="67" s="1"/>
  <c r="T39" i="64"/>
  <c r="AX39" i="64" s="1"/>
  <c r="O41" i="67" s="1"/>
  <c r="H31" i="58"/>
  <c r="O32" i="67"/>
  <c r="O165" i="63" s="1"/>
  <c r="AG8" i="26"/>
  <c r="AG10" i="26"/>
  <c r="M8" i="64"/>
  <c r="BH20" i="26"/>
  <c r="O8" i="64"/>
  <c r="BH16" i="26"/>
  <c r="AD14" i="26"/>
  <c r="K5" i="64"/>
  <c r="AH24" i="26"/>
  <c r="AH10" i="26" s="1"/>
  <c r="BI30" i="26"/>
  <c r="BJ30" i="26"/>
  <c r="BH31" i="26"/>
  <c r="BH39" i="26" s="1"/>
  <c r="BH43" i="26" s="1"/>
  <c r="B101" i="68"/>
  <c r="A101" i="68" s="1"/>
  <c r="U40" i="64"/>
  <c r="AW40" i="64" s="1"/>
  <c r="M42" i="67" s="1"/>
  <c r="BL27" i="26"/>
  <c r="S27" i="26" s="1"/>
  <c r="AB27" i="26" s="1"/>
  <c r="I32" i="58"/>
  <c r="U36" i="64"/>
  <c r="AW36" i="64" s="1"/>
  <c r="M38" i="67" s="1"/>
  <c r="U34" i="64"/>
  <c r="AW34" i="64" s="1"/>
  <c r="M36" i="67" s="1"/>
  <c r="U35" i="64"/>
  <c r="AW35" i="64" s="1"/>
  <c r="M37" i="67" s="1"/>
  <c r="U37" i="64"/>
  <c r="AW37" i="64" s="1"/>
  <c r="M39" i="67" s="1"/>
  <c r="U33" i="64"/>
  <c r="AW33" i="64" s="1"/>
  <c r="M35" i="67" s="1"/>
  <c r="BK27" i="26"/>
  <c r="H32" i="58"/>
  <c r="U39" i="64"/>
  <c r="AW39" i="64" s="1"/>
  <c r="M41" i="67" s="1"/>
  <c r="AA27" i="26"/>
  <c r="U38" i="64"/>
  <c r="AW38" i="64" s="1"/>
  <c r="M40" i="67" s="1"/>
  <c r="O114" i="63" s="1"/>
  <c r="O17" i="67"/>
  <c r="O149" i="63" s="1"/>
  <c r="AE13" i="26"/>
  <c r="K6" i="64"/>
  <c r="BH17" i="26"/>
  <c r="L5" i="64"/>
  <c r="BH19" i="26"/>
  <c r="AF8" i="26"/>
  <c r="N7" i="64"/>
  <c r="AF10" i="26"/>
  <c r="O11" i="67"/>
  <c r="O150" i="63" s="1"/>
  <c r="M32" i="64"/>
  <c r="M14" i="67"/>
  <c r="M27" i="67"/>
  <c r="M24" i="67"/>
  <c r="M18" i="67"/>
  <c r="M25" i="67"/>
  <c r="M22" i="67"/>
  <c r="M10" i="67"/>
  <c r="M34" i="67"/>
  <c r="M30" i="67"/>
  <c r="M13" i="67"/>
  <c r="M6" i="67"/>
  <c r="M12" i="67"/>
  <c r="M23" i="67"/>
  <c r="M9" i="67"/>
  <c r="M28" i="67"/>
  <c r="M26" i="67"/>
  <c r="M29" i="67"/>
  <c r="M21" i="67"/>
  <c r="M19" i="67"/>
  <c r="M32" i="67"/>
  <c r="O118" i="63" s="1"/>
  <c r="M17" i="67"/>
  <c r="M20" i="67"/>
  <c r="M8" i="67"/>
  <c r="O110" i="63" s="1"/>
  <c r="M16" i="67"/>
  <c r="O109" i="63" s="1"/>
  <c r="M11" i="67"/>
  <c r="O103" i="63" s="1"/>
  <c r="M33" i="67"/>
  <c r="O129" i="63" s="1"/>
  <c r="Q4" i="67"/>
  <c r="BH18" i="26" l="1"/>
  <c r="J32" i="58"/>
  <c r="D31" i="58"/>
  <c r="BH47" i="26"/>
  <c r="BJ47" i="26" s="1"/>
  <c r="AH8" i="26"/>
  <c r="S26" i="67"/>
  <c r="S7" i="67"/>
  <c r="S13" i="67"/>
  <c r="S29" i="67"/>
  <c r="S17" i="67"/>
  <c r="S11" i="67"/>
  <c r="S24" i="67"/>
  <c r="S16" i="67"/>
  <c r="S33" i="67"/>
  <c r="S20" i="67"/>
  <c r="S30" i="67"/>
  <c r="S9" i="67"/>
  <c r="S15" i="67"/>
  <c r="S25" i="67"/>
  <c r="S19" i="67"/>
  <c r="S31" i="67"/>
  <c r="S32" i="67"/>
  <c r="S21" i="67"/>
  <c r="S28" i="67"/>
  <c r="S8" i="67"/>
  <c r="S12" i="67"/>
  <c r="S22" i="67"/>
  <c r="S10" i="67"/>
  <c r="S18" i="67"/>
  <c r="S6" i="67"/>
  <c r="S14" i="67"/>
  <c r="S34" i="67"/>
  <c r="S23" i="67"/>
  <c r="X22" i="60"/>
  <c r="O21" i="60"/>
  <c r="Z22" i="60" s="1"/>
  <c r="M21" i="60"/>
  <c r="V22" i="60" s="1"/>
  <c r="AD18" i="60" s="1"/>
  <c r="BH50" i="26"/>
  <c r="AH39" i="64"/>
  <c r="AH35" i="64"/>
  <c r="BK45" i="26"/>
  <c r="W22" i="60" s="1"/>
  <c r="AH34" i="64"/>
  <c r="AH33" i="64"/>
  <c r="AA45" i="26"/>
  <c r="AH38" i="64"/>
  <c r="AH36" i="64"/>
  <c r="AH37" i="64"/>
  <c r="W4" i="67"/>
  <c r="W23" i="67" s="1"/>
  <c r="AA4" i="67"/>
  <c r="AA23" i="67" s="1"/>
  <c r="AG27" i="67"/>
  <c r="AH40" i="64"/>
  <c r="BL45" i="26"/>
  <c r="AN26" i="64"/>
  <c r="BH51" i="26"/>
  <c r="AY52" i="26"/>
  <c r="AI26" i="64"/>
  <c r="BF26" i="64" s="1"/>
  <c r="AE4" i="67" s="1"/>
  <c r="AY54" i="26"/>
  <c r="AY53" i="26"/>
  <c r="BL29" i="26"/>
  <c r="I39" i="58"/>
  <c r="V40" i="64"/>
  <c r="AK26" i="64"/>
  <c r="BH48" i="26"/>
  <c r="AG26" i="67"/>
  <c r="AG8" i="67"/>
  <c r="AG9" i="67"/>
  <c r="AG13" i="67"/>
  <c r="AG25" i="67"/>
  <c r="AG29" i="67"/>
  <c r="AG11" i="67"/>
  <c r="AG10" i="67"/>
  <c r="AG31" i="67"/>
  <c r="AG14" i="67"/>
  <c r="AG18" i="67"/>
  <c r="AG16" i="67"/>
  <c r="AG19" i="67"/>
  <c r="AG28" i="67"/>
  <c r="AG30" i="67"/>
  <c r="AG15" i="67"/>
  <c r="AG6" i="67"/>
  <c r="AG23" i="67"/>
  <c r="AG7" i="67"/>
  <c r="AG21" i="67"/>
  <c r="AG17" i="67"/>
  <c r="AG34" i="67"/>
  <c r="AG22" i="67"/>
  <c r="AG12" i="67"/>
  <c r="AG24" i="67"/>
  <c r="AG20" i="67"/>
  <c r="AG32" i="67"/>
  <c r="AG33" i="67"/>
  <c r="O14" i="60"/>
  <c r="Z14" i="60" s="1"/>
  <c r="M14" i="60"/>
  <c r="V14" i="60" s="1"/>
  <c r="AD16" i="60" s="1"/>
  <c r="X14" i="60"/>
  <c r="BH46" i="26"/>
  <c r="BI12" i="26"/>
  <c r="BJ12" i="26"/>
  <c r="V34" i="64"/>
  <c r="V36" i="64"/>
  <c r="V39" i="64"/>
  <c r="V35" i="64"/>
  <c r="BK29" i="26"/>
  <c r="W14" i="60" s="1"/>
  <c r="V37" i="64"/>
  <c r="V33" i="64"/>
  <c r="AA29" i="26"/>
  <c r="V38" i="64"/>
  <c r="H39" i="58"/>
  <c r="S27" i="67"/>
  <c r="BH49" i="26"/>
  <c r="Q28" i="67"/>
  <c r="Q23" i="67"/>
  <c r="Q33" i="67"/>
  <c r="Q9" i="67"/>
  <c r="Q26" i="67"/>
  <c r="Q8" i="67"/>
  <c r="Q22" i="67"/>
  <c r="Q7" i="67"/>
  <c r="Q12" i="67"/>
  <c r="Q32" i="67"/>
  <c r="Q16" i="67"/>
  <c r="Q27" i="67"/>
  <c r="Q19" i="67"/>
  <c r="Q10" i="67"/>
  <c r="Q15" i="67"/>
  <c r="Q14" i="67"/>
  <c r="Q34" i="67"/>
  <c r="Q13" i="67"/>
  <c r="Q17" i="67"/>
  <c r="Q30" i="67"/>
  <c r="Q6" i="67"/>
  <c r="Q18" i="67"/>
  <c r="Q24" i="67"/>
  <c r="Q11" i="67"/>
  <c r="Q31" i="67"/>
  <c r="Q29" i="67"/>
  <c r="Q25" i="67"/>
  <c r="Q20" i="67"/>
  <c r="BK30" i="26"/>
  <c r="W36" i="64"/>
  <c r="AY36" i="64" s="1"/>
  <c r="Q38" i="67" s="1"/>
  <c r="O209" i="63" s="1"/>
  <c r="W39" i="64"/>
  <c r="AY39" i="64" s="1"/>
  <c r="Q41" i="67" s="1"/>
  <c r="O212" i="63" s="1"/>
  <c r="W34" i="64"/>
  <c r="AY34" i="64" s="1"/>
  <c r="Q36" i="67" s="1"/>
  <c r="O210" i="63" s="1"/>
  <c r="W37" i="64"/>
  <c r="AY37" i="64" s="1"/>
  <c r="Q39" i="67" s="1"/>
  <c r="W33" i="64"/>
  <c r="AY33" i="64" s="1"/>
  <c r="Q35" i="67" s="1"/>
  <c r="W35" i="64"/>
  <c r="AY35" i="64" s="1"/>
  <c r="Q37" i="67" s="1"/>
  <c r="O211" i="63" s="1"/>
  <c r="W38" i="64"/>
  <c r="AY38" i="64" s="1"/>
  <c r="Q40" i="67" s="1"/>
  <c r="O208" i="63" s="1"/>
  <c r="BI18" i="26"/>
  <c r="BJ18" i="26"/>
  <c r="H35" i="60"/>
  <c r="BI20" i="26"/>
  <c r="BJ20" i="26"/>
  <c r="H36" i="60"/>
  <c r="W16" i="60"/>
  <c r="J31" i="58"/>
  <c r="BL30" i="26"/>
  <c r="S30" i="26" s="1"/>
  <c r="W40" i="64"/>
  <c r="AY40" i="64" s="1"/>
  <c r="Q42" i="67" s="1"/>
  <c r="B129" i="68"/>
  <c r="A129" i="68" s="1"/>
  <c r="Q21" i="67"/>
  <c r="AA16" i="60"/>
  <c r="S26" i="26"/>
  <c r="AB26" i="26" s="1"/>
  <c r="S9" i="64"/>
  <c r="AV9" i="64" s="1"/>
  <c r="AP24" i="26"/>
  <c r="BH24" i="26" s="1"/>
  <c r="BH14" i="26"/>
  <c r="I5" i="64"/>
  <c r="AD10" i="26"/>
  <c r="AD8" i="26"/>
  <c r="O43" i="67"/>
  <c r="BI17" i="26"/>
  <c r="BJ17" i="26"/>
  <c r="BI16" i="26"/>
  <c r="L34" i="60"/>
  <c r="N34" i="60"/>
  <c r="H34" i="60"/>
  <c r="BJ16" i="26"/>
  <c r="BI19" i="26"/>
  <c r="BJ19" i="26"/>
  <c r="M43" i="67"/>
  <c r="BH13" i="26"/>
  <c r="H6" i="64"/>
  <c r="AE8" i="26"/>
  <c r="AE10" i="26"/>
  <c r="BI47" i="26" l="1"/>
  <c r="AJ33" i="64" s="1"/>
  <c r="AY8" i="26"/>
  <c r="AY10" i="26"/>
  <c r="AZ36" i="64"/>
  <c r="S38" i="67" s="1"/>
  <c r="O237" i="63" s="1"/>
  <c r="BG36" i="64"/>
  <c r="AG38" i="67" s="1"/>
  <c r="BB38" i="64"/>
  <c r="W40" i="67" s="1"/>
  <c r="BD38" i="64"/>
  <c r="AA40" i="67" s="1"/>
  <c r="BD34" i="64"/>
  <c r="AA36" i="67" s="1"/>
  <c r="BB34" i="64"/>
  <c r="W36" i="67" s="1"/>
  <c r="AA14" i="60"/>
  <c r="CN12" i="60"/>
  <c r="S29" i="26"/>
  <c r="AB29" i="26" s="1"/>
  <c r="AZ40" i="64"/>
  <c r="S42" i="67" s="1"/>
  <c r="BG40" i="64"/>
  <c r="AG42" i="67" s="1"/>
  <c r="AZ38" i="64"/>
  <c r="S40" i="67" s="1"/>
  <c r="O236" i="63" s="1"/>
  <c r="BG38" i="64"/>
  <c r="AG40" i="67" s="1"/>
  <c r="J39" i="58"/>
  <c r="AA22" i="60"/>
  <c r="S45" i="26"/>
  <c r="AB45" i="26" s="1"/>
  <c r="BI50" i="26"/>
  <c r="BJ50" i="26"/>
  <c r="O34" i="60"/>
  <c r="BJ49" i="26"/>
  <c r="BI49" i="26"/>
  <c r="AP26" i="64"/>
  <c r="AZ53" i="26"/>
  <c r="BD33" i="64"/>
  <c r="AA35" i="67" s="1"/>
  <c r="BB33" i="64"/>
  <c r="W35" i="67" s="1"/>
  <c r="G40" i="64"/>
  <c r="I20" i="58"/>
  <c r="BL12" i="26"/>
  <c r="S12" i="26" s="1"/>
  <c r="AB12" i="26" s="1"/>
  <c r="AZ54" i="26"/>
  <c r="AQ27" i="64" s="1"/>
  <c r="AQ26" i="64"/>
  <c r="AZ33" i="64"/>
  <c r="S35" i="67" s="1"/>
  <c r="BG33" i="64"/>
  <c r="AG35" i="67" s="1"/>
  <c r="BB37" i="64"/>
  <c r="W39" i="67" s="1"/>
  <c r="BD37" i="64"/>
  <c r="AA39" i="67" s="1"/>
  <c r="G37" i="64"/>
  <c r="AA12" i="26"/>
  <c r="G39" i="64"/>
  <c r="H20" i="58"/>
  <c r="D20" i="58" s="1"/>
  <c r="G34" i="64"/>
  <c r="G38" i="64"/>
  <c r="G36" i="64"/>
  <c r="G35" i="64"/>
  <c r="G33" i="64"/>
  <c r="BK12" i="26"/>
  <c r="AE28" i="67"/>
  <c r="AA12" i="67"/>
  <c r="AA33" i="67"/>
  <c r="AA28" i="67"/>
  <c r="AA19" i="67"/>
  <c r="AA15" i="67"/>
  <c r="AA31" i="67"/>
  <c r="AA27" i="67"/>
  <c r="AA29" i="67"/>
  <c r="AA25" i="67"/>
  <c r="AA16" i="67"/>
  <c r="AA32" i="67"/>
  <c r="AA34" i="67"/>
  <c r="AA7" i="67"/>
  <c r="AA13" i="67"/>
  <c r="AA22" i="67"/>
  <c r="AA8" i="67"/>
  <c r="AA18" i="67"/>
  <c r="AA9" i="67"/>
  <c r="AA17" i="67"/>
  <c r="AA21" i="67"/>
  <c r="AA11" i="67"/>
  <c r="AA30" i="67"/>
  <c r="AA6" i="67"/>
  <c r="AA26" i="67"/>
  <c r="AA14" i="67"/>
  <c r="AA20" i="67"/>
  <c r="AA10" i="67"/>
  <c r="AA24" i="67"/>
  <c r="AZ34" i="64"/>
  <c r="S36" i="67" s="1"/>
  <c r="BG34" i="64"/>
  <c r="AG36" i="67" s="1"/>
  <c r="AJ34" i="64"/>
  <c r="BI46" i="26"/>
  <c r="BJ46" i="26"/>
  <c r="BI48" i="26"/>
  <c r="Y26" i="60"/>
  <c r="BJ48" i="26"/>
  <c r="AZ52" i="26"/>
  <c r="AO26" i="64"/>
  <c r="BB36" i="64"/>
  <c r="W38" i="67" s="1"/>
  <c r="BD36" i="64"/>
  <c r="AA38" i="67" s="1"/>
  <c r="BL47" i="26"/>
  <c r="S47" i="26" s="1"/>
  <c r="AB47" i="26" s="1"/>
  <c r="AJ40" i="64"/>
  <c r="BB35" i="64"/>
  <c r="W37" i="67" s="1"/>
  <c r="BD35" i="64"/>
  <c r="AA37" i="67" s="1"/>
  <c r="BI51" i="26"/>
  <c r="BJ51" i="26"/>
  <c r="W12" i="67"/>
  <c r="W22" i="67"/>
  <c r="W10" i="67"/>
  <c r="W25" i="67"/>
  <c r="W8" i="67"/>
  <c r="W19" i="67"/>
  <c r="W14" i="67"/>
  <c r="W30" i="67"/>
  <c r="W9" i="67"/>
  <c r="W7" i="67"/>
  <c r="W26" i="67"/>
  <c r="W11" i="67"/>
  <c r="W18" i="67"/>
  <c r="W17" i="67"/>
  <c r="W15" i="67"/>
  <c r="W28" i="67"/>
  <c r="W31" i="67"/>
  <c r="W16" i="67"/>
  <c r="W33" i="67"/>
  <c r="W29" i="67"/>
  <c r="W6" i="67"/>
  <c r="W34" i="67"/>
  <c r="W32" i="67"/>
  <c r="W24" i="67"/>
  <c r="W13" i="67"/>
  <c r="W21" i="67"/>
  <c r="W27" i="67"/>
  <c r="W20" i="67"/>
  <c r="AZ35" i="64"/>
  <c r="S37" i="67" s="1"/>
  <c r="O238" i="63" s="1"/>
  <c r="BG35" i="64"/>
  <c r="AG37" i="67" s="1"/>
  <c r="AE27" i="67"/>
  <c r="AE20" i="67"/>
  <c r="AE18" i="67"/>
  <c r="AE6" i="67"/>
  <c r="AE14" i="67"/>
  <c r="AE29" i="67"/>
  <c r="AE30" i="67"/>
  <c r="AE13" i="67"/>
  <c r="AE7" i="67"/>
  <c r="AE32" i="67"/>
  <c r="AE12" i="67"/>
  <c r="AE26" i="67"/>
  <c r="AE21" i="67"/>
  <c r="AE8" i="67"/>
  <c r="AE9" i="67"/>
  <c r="AE23" i="67"/>
  <c r="AE17" i="67"/>
  <c r="AE24" i="67"/>
  <c r="AE22" i="67"/>
  <c r="AE16" i="67"/>
  <c r="AE25" i="67"/>
  <c r="AE15" i="67"/>
  <c r="AE10" i="67"/>
  <c r="AE19" i="67"/>
  <c r="AE33" i="67"/>
  <c r="AE31" i="67"/>
  <c r="AE34" i="67"/>
  <c r="AE11" i="67"/>
  <c r="BB39" i="64"/>
  <c r="W41" i="67" s="1"/>
  <c r="BD39" i="64"/>
  <c r="AA41" i="67" s="1"/>
  <c r="BD40" i="64"/>
  <c r="AA42" i="67" s="1"/>
  <c r="BB40" i="64"/>
  <c r="W42" i="67" s="1"/>
  <c r="BG37" i="64"/>
  <c r="AG39" i="67" s="1"/>
  <c r="AZ37" i="64"/>
  <c r="S39" i="67" s="1"/>
  <c r="BG39" i="64"/>
  <c r="AG41" i="67" s="1"/>
  <c r="AZ39" i="64"/>
  <c r="S41" i="67" s="1"/>
  <c r="O239" i="63" s="1"/>
  <c r="BI24" i="26"/>
  <c r="BH25" i="26"/>
  <c r="Y12" i="60"/>
  <c r="BJ24" i="26"/>
  <c r="H12" i="60"/>
  <c r="BK19" i="26"/>
  <c r="AA19" i="26"/>
  <c r="N35" i="64"/>
  <c r="N33" i="64"/>
  <c r="N39" i="64"/>
  <c r="N36" i="64"/>
  <c r="N37" i="64"/>
  <c r="N38" i="64"/>
  <c r="N34" i="64"/>
  <c r="M34" i="60"/>
  <c r="M38" i="64"/>
  <c r="BK18" i="26"/>
  <c r="AA18" i="26"/>
  <c r="M33" i="64"/>
  <c r="M35" i="64"/>
  <c r="M36" i="64"/>
  <c r="M37" i="64"/>
  <c r="M34" i="64"/>
  <c r="M39" i="64"/>
  <c r="H23" i="58"/>
  <c r="K33" i="64"/>
  <c r="BK16" i="26"/>
  <c r="AA16" i="26"/>
  <c r="K39" i="64"/>
  <c r="K37" i="64"/>
  <c r="K36" i="64"/>
  <c r="K35" i="64"/>
  <c r="K34" i="64"/>
  <c r="K38" i="64"/>
  <c r="Q43" i="67"/>
  <c r="O214" i="63" s="1"/>
  <c r="M36" i="60"/>
  <c r="O36" i="60"/>
  <c r="B113" i="68"/>
  <c r="BL20" i="26"/>
  <c r="S20" i="26" s="1"/>
  <c r="AB20" i="26" s="1"/>
  <c r="O40" i="64"/>
  <c r="B91" i="68"/>
  <c r="BI13" i="26"/>
  <c r="H32" i="60"/>
  <c r="BJ13" i="26"/>
  <c r="B109" i="68"/>
  <c r="A109" i="68" s="1"/>
  <c r="BL17" i="26"/>
  <c r="S17" i="26" s="1"/>
  <c r="AB17" i="26" s="1"/>
  <c r="I24" i="58"/>
  <c r="L40" i="64"/>
  <c r="BI14" i="26"/>
  <c r="BJ14" i="26"/>
  <c r="H33" i="60"/>
  <c r="AA20" i="26"/>
  <c r="BK20" i="26"/>
  <c r="O36" i="64"/>
  <c r="O33" i="64"/>
  <c r="O38" i="64"/>
  <c r="O34" i="64"/>
  <c r="O35" i="64"/>
  <c r="O37" i="64"/>
  <c r="O39" i="64"/>
  <c r="M35" i="60"/>
  <c r="O35" i="60"/>
  <c r="BL19" i="26"/>
  <c r="S19" i="26" s="1"/>
  <c r="AB19" i="26" s="1"/>
  <c r="N40" i="64"/>
  <c r="I23" i="58"/>
  <c r="BL16" i="26"/>
  <c r="K40" i="64"/>
  <c r="B87" i="68"/>
  <c r="A87" i="68" s="1"/>
  <c r="BK17" i="26"/>
  <c r="AA17" i="26"/>
  <c r="H24" i="58"/>
  <c r="L33" i="64"/>
  <c r="L35" i="64"/>
  <c r="L39" i="64"/>
  <c r="L36" i="64"/>
  <c r="L34" i="64"/>
  <c r="L38" i="64"/>
  <c r="L37" i="64"/>
  <c r="S17" i="64"/>
  <c r="AV17" i="64" s="1"/>
  <c r="K4" i="67" s="1"/>
  <c r="AP23" i="26"/>
  <c r="BL18" i="26"/>
  <c r="S18" i="26" s="1"/>
  <c r="AB18" i="26" s="1"/>
  <c r="B105" i="68"/>
  <c r="A105" i="68" s="1"/>
  <c r="M40" i="64"/>
  <c r="B83" i="68"/>
  <c r="A83" i="68" s="1"/>
  <c r="AJ37" i="64" l="1"/>
  <c r="AJ35" i="64"/>
  <c r="AJ39" i="64"/>
  <c r="AA47" i="26"/>
  <c r="AJ38" i="64"/>
  <c r="BK47" i="26"/>
  <c r="AJ36" i="64"/>
  <c r="J23" i="58"/>
  <c r="BH54" i="26"/>
  <c r="BI54" i="26" s="1"/>
  <c r="S43" i="67"/>
  <c r="O241" i="63" s="1"/>
  <c r="AA43" i="67"/>
  <c r="BL46" i="26"/>
  <c r="S46" i="26" s="1"/>
  <c r="AB46" i="26" s="1"/>
  <c r="AI40" i="64"/>
  <c r="BF40" i="64" s="1"/>
  <c r="AE42" i="67" s="1"/>
  <c r="AP27" i="64"/>
  <c r="BH53" i="26"/>
  <c r="AL37" i="64"/>
  <c r="AL33" i="64"/>
  <c r="AL35" i="64"/>
  <c r="AL34" i="64"/>
  <c r="BK49" i="26"/>
  <c r="AL39" i="64"/>
  <c r="AL38" i="64"/>
  <c r="AL36" i="64"/>
  <c r="AA49" i="26"/>
  <c r="AK37" i="64"/>
  <c r="AK34" i="64"/>
  <c r="AK33" i="64"/>
  <c r="BK48" i="26"/>
  <c r="AK36" i="64"/>
  <c r="AK38" i="64"/>
  <c r="AA48" i="26"/>
  <c r="AK35" i="64"/>
  <c r="AK39" i="64"/>
  <c r="BK46" i="26"/>
  <c r="AA46" i="26"/>
  <c r="AI38" i="64"/>
  <c r="BF38" i="64" s="1"/>
  <c r="AE40" i="67" s="1"/>
  <c r="AI39" i="64"/>
  <c r="BF39" i="64" s="1"/>
  <c r="AE41" i="67" s="1"/>
  <c r="AI37" i="64"/>
  <c r="BF37" i="64" s="1"/>
  <c r="AE39" i="67" s="1"/>
  <c r="AI36" i="64"/>
  <c r="BF36" i="64" s="1"/>
  <c r="AE38" i="67" s="1"/>
  <c r="AI35" i="64"/>
  <c r="BF35" i="64" s="1"/>
  <c r="AE37" i="67" s="1"/>
  <c r="AI33" i="64"/>
  <c r="BF33" i="64" s="1"/>
  <c r="AE35" i="67" s="1"/>
  <c r="AI34" i="64"/>
  <c r="BF34" i="64" s="1"/>
  <c r="AE36" i="67" s="1"/>
  <c r="AN40" i="64"/>
  <c r="BL51" i="26"/>
  <c r="S51" i="26" s="1"/>
  <c r="AB51" i="26" s="1"/>
  <c r="AL40" i="64"/>
  <c r="BL49" i="26"/>
  <c r="S49" i="26" s="1"/>
  <c r="AB49" i="26" s="1"/>
  <c r="AN39" i="64"/>
  <c r="AN36" i="64"/>
  <c r="AN37" i="64"/>
  <c r="AA51" i="26"/>
  <c r="AN34" i="64"/>
  <c r="AN33" i="64"/>
  <c r="AN38" i="64"/>
  <c r="AN35" i="64"/>
  <c r="BK51" i="26"/>
  <c r="BH52" i="26"/>
  <c r="AZ8" i="26"/>
  <c r="AZ10" i="26"/>
  <c r="AO27" i="64"/>
  <c r="J20" i="58"/>
  <c r="BL48" i="26"/>
  <c r="AK40" i="64"/>
  <c r="BL50" i="26"/>
  <c r="S50" i="26" s="1"/>
  <c r="AB50" i="26" s="1"/>
  <c r="AM40" i="64"/>
  <c r="AG43" i="67"/>
  <c r="W43" i="67"/>
  <c r="AM38" i="64"/>
  <c r="AM39" i="64"/>
  <c r="AM36" i="64"/>
  <c r="AM35" i="64"/>
  <c r="AM33" i="64"/>
  <c r="AA50" i="26"/>
  <c r="BK50" i="26"/>
  <c r="AM34" i="64"/>
  <c r="AM37" i="64"/>
  <c r="K10" i="67"/>
  <c r="K31" i="67"/>
  <c r="K30" i="67"/>
  <c r="K33" i="67"/>
  <c r="K13" i="67"/>
  <c r="K15" i="67"/>
  <c r="K20" i="67"/>
  <c r="K23" i="67"/>
  <c r="K32" i="67"/>
  <c r="K16" i="67"/>
  <c r="K34" i="67"/>
  <c r="K6" i="67"/>
  <c r="K18" i="67"/>
  <c r="K24" i="67"/>
  <c r="K26" i="67"/>
  <c r="K22" i="67"/>
  <c r="K8" i="67"/>
  <c r="K21" i="67"/>
  <c r="K9" i="67"/>
  <c r="K28" i="67"/>
  <c r="K29" i="67"/>
  <c r="K12" i="67"/>
  <c r="K25" i="67"/>
  <c r="K7" i="67"/>
  <c r="K17" i="67"/>
  <c r="K14" i="67"/>
  <c r="K27" i="67"/>
  <c r="K11" i="67"/>
  <c r="A91" i="68"/>
  <c r="O33" i="60"/>
  <c r="M33" i="60"/>
  <c r="BE23" i="26"/>
  <c r="R32" i="64" s="1"/>
  <c r="R17" i="64"/>
  <c r="AU17" i="64" s="1"/>
  <c r="AO23" i="26"/>
  <c r="AP8" i="26"/>
  <c r="AP10" i="26"/>
  <c r="I40" i="64"/>
  <c r="B85" i="68"/>
  <c r="A85" i="68" s="1"/>
  <c r="BL14" i="26"/>
  <c r="S14" i="26" s="1"/>
  <c r="AB14" i="26" s="1"/>
  <c r="B107" i="68"/>
  <c r="A107" i="68" s="1"/>
  <c r="A113" i="68"/>
  <c r="O12" i="60"/>
  <c r="Z12" i="60" s="1"/>
  <c r="X12" i="60"/>
  <c r="M12" i="60"/>
  <c r="V12" i="60" s="1"/>
  <c r="AD13" i="60" s="1"/>
  <c r="K19" i="67"/>
  <c r="O86" i="63" s="1"/>
  <c r="AA14" i="26"/>
  <c r="I39" i="64"/>
  <c r="BK14" i="26"/>
  <c r="I38" i="64"/>
  <c r="I33" i="64"/>
  <c r="I36" i="64"/>
  <c r="I35" i="64"/>
  <c r="I37" i="64"/>
  <c r="I34" i="64"/>
  <c r="I38" i="58"/>
  <c r="B71" i="68"/>
  <c r="BL24" i="26"/>
  <c r="S40" i="64"/>
  <c r="AV40" i="64" s="1"/>
  <c r="K42" i="67" s="1"/>
  <c r="BL13" i="26"/>
  <c r="S13" i="26" s="1"/>
  <c r="AB13" i="26" s="1"/>
  <c r="B103" i="68"/>
  <c r="A103" i="68" s="1"/>
  <c r="B81" i="68"/>
  <c r="A81" i="68" s="1"/>
  <c r="I21" i="58"/>
  <c r="H40" i="64"/>
  <c r="J24" i="58"/>
  <c r="M32" i="60"/>
  <c r="O32" i="60"/>
  <c r="D23" i="58"/>
  <c r="S16" i="26"/>
  <c r="AB16" i="26" s="1"/>
  <c r="AA13" i="26"/>
  <c r="H35" i="64"/>
  <c r="BK13" i="26"/>
  <c r="H21" i="58"/>
  <c r="H33" i="64"/>
  <c r="H36" i="64"/>
  <c r="H39" i="64"/>
  <c r="H37" i="64"/>
  <c r="H34" i="64"/>
  <c r="H38" i="64"/>
  <c r="AA24" i="26"/>
  <c r="BK24" i="26"/>
  <c r="W12" i="60" s="1"/>
  <c r="H38" i="58"/>
  <c r="D33" i="58" s="1"/>
  <c r="S33" i="64"/>
  <c r="AV33" i="64" s="1"/>
  <c r="K35" i="67" s="1"/>
  <c r="S37" i="64"/>
  <c r="AV37" i="64" s="1"/>
  <c r="K39" i="67" s="1"/>
  <c r="O92" i="63" s="1"/>
  <c r="S39" i="64"/>
  <c r="AV39" i="64" s="1"/>
  <c r="K41" i="67" s="1"/>
  <c r="S36" i="64"/>
  <c r="AV36" i="64" s="1"/>
  <c r="K38" i="67" s="1"/>
  <c r="O89" i="63" s="1"/>
  <c r="S38" i="64"/>
  <c r="AV38" i="64" s="1"/>
  <c r="K40" i="67" s="1"/>
  <c r="O93" i="63" s="1"/>
  <c r="S35" i="64"/>
  <c r="AV35" i="64" s="1"/>
  <c r="K37" i="67" s="1"/>
  <c r="S34" i="64"/>
  <c r="AV34" i="64" s="1"/>
  <c r="K36" i="67" s="1"/>
  <c r="O90" i="63" s="1"/>
  <c r="BJ54" i="26" l="1"/>
  <c r="BL54" i="26" s="1"/>
  <c r="S54" i="26" s="1"/>
  <c r="AB54" i="26" s="1"/>
  <c r="AA54" i="26"/>
  <c r="J38" i="58"/>
  <c r="CN11" i="60"/>
  <c r="CN13" i="60" s="1"/>
  <c r="AQ37" i="64"/>
  <c r="AQ38" i="64"/>
  <c r="AQ36" i="64"/>
  <c r="AQ33" i="64"/>
  <c r="AQ35" i="64"/>
  <c r="AQ34" i="64"/>
  <c r="AQ39" i="64"/>
  <c r="BK54" i="26"/>
  <c r="S48" i="26"/>
  <c r="AB48" i="26" s="1"/>
  <c r="AA26" i="60"/>
  <c r="W26" i="60"/>
  <c r="CN19" i="60"/>
  <c r="BJ53" i="26"/>
  <c r="BI53" i="26"/>
  <c r="Y27" i="60"/>
  <c r="AE43" i="67"/>
  <c r="BI52" i="26"/>
  <c r="BJ52" i="26"/>
  <c r="D21" i="58"/>
  <c r="AA12" i="60"/>
  <c r="S24" i="26"/>
  <c r="AB24" i="26" s="1"/>
  <c r="A71" i="68"/>
  <c r="AO22" i="26"/>
  <c r="R16" i="64"/>
  <c r="BH23" i="26"/>
  <c r="J21" i="58"/>
  <c r="K43" i="67"/>
  <c r="O95" i="63" s="1"/>
  <c r="AQ40" i="64" l="1"/>
  <c r="AP39" i="64"/>
  <c r="AA53" i="26"/>
  <c r="AP35" i="64"/>
  <c r="AP38" i="64"/>
  <c r="AP36" i="64"/>
  <c r="AP37" i="64"/>
  <c r="AP33" i="64"/>
  <c r="BK53" i="26"/>
  <c r="W27" i="60" s="1"/>
  <c r="AP34" i="64"/>
  <c r="AP40" i="64"/>
  <c r="BL53" i="26"/>
  <c r="AO40" i="64"/>
  <c r="BL52" i="26"/>
  <c r="AO39" i="64"/>
  <c r="AO36" i="64"/>
  <c r="AO38" i="64"/>
  <c r="AA52" i="26"/>
  <c r="AO34" i="64"/>
  <c r="AO37" i="64"/>
  <c r="AO33" i="64"/>
  <c r="AO35" i="64"/>
  <c r="BK52" i="26"/>
  <c r="AJ22" i="26"/>
  <c r="Q16" i="64"/>
  <c r="AU16" i="64" s="1"/>
  <c r="BE22" i="26"/>
  <c r="AO8" i="26"/>
  <c r="AO10" i="26"/>
  <c r="BI23" i="26"/>
  <c r="DW56" i="60"/>
  <c r="BJ23" i="26"/>
  <c r="S52" i="26" l="1"/>
  <c r="AB52" i="26" s="1"/>
  <c r="CN17" i="60"/>
  <c r="S53" i="26"/>
  <c r="AB53" i="26" s="1"/>
  <c r="AA27" i="60"/>
  <c r="I30" i="58"/>
  <c r="R40" i="64"/>
  <c r="BL23" i="26"/>
  <c r="S23" i="26" s="1"/>
  <c r="AB23" i="26" s="1"/>
  <c r="R38" i="64"/>
  <c r="H30" i="58"/>
  <c r="AA23" i="26"/>
  <c r="BK23" i="26"/>
  <c r="R35" i="64"/>
  <c r="R34" i="64"/>
  <c r="R39" i="64"/>
  <c r="R33" i="64"/>
  <c r="R36" i="64"/>
  <c r="R37" i="64"/>
  <c r="Q32" i="64"/>
  <c r="AU32" i="64" s="1"/>
  <c r="BE15" i="26"/>
  <c r="AJ21" i="26"/>
  <c r="Q11" i="64"/>
  <c r="BH22" i="26"/>
  <c r="P11" i="64" l="1"/>
  <c r="AU11" i="64" s="1"/>
  <c r="AC21" i="26"/>
  <c r="BA21" i="26" s="1"/>
  <c r="AJ8" i="26"/>
  <c r="AJ10" i="26"/>
  <c r="BH15" i="26"/>
  <c r="BE8" i="26"/>
  <c r="BE10" i="26"/>
  <c r="J32" i="64"/>
  <c r="BI22" i="26"/>
  <c r="Y11" i="60"/>
  <c r="BJ22" i="26"/>
  <c r="J30" i="58"/>
  <c r="BI15" i="26" l="1"/>
  <c r="BJ15" i="26"/>
  <c r="H31" i="60"/>
  <c r="Q40" i="64"/>
  <c r="BL22" i="26"/>
  <c r="I28" i="58"/>
  <c r="Q34" i="64"/>
  <c r="Q39" i="64"/>
  <c r="H28" i="58"/>
  <c r="AA22" i="26"/>
  <c r="BK22" i="26"/>
  <c r="W11" i="60" s="1"/>
  <c r="Q36" i="64"/>
  <c r="Q35" i="64"/>
  <c r="Q33" i="64"/>
  <c r="Q38" i="64"/>
  <c r="Q37" i="64"/>
  <c r="BA8" i="26"/>
  <c r="P28" i="64"/>
  <c r="AU28" i="64" s="1"/>
  <c r="BA10" i="26"/>
  <c r="AC11" i="26"/>
  <c r="P4" i="64"/>
  <c r="AU4" i="64" s="1"/>
  <c r="BH21" i="26"/>
  <c r="J28" i="58" l="1"/>
  <c r="BI21" i="26"/>
  <c r="DX56" i="60"/>
  <c r="Y10" i="60"/>
  <c r="BJ21" i="26"/>
  <c r="I4" i="67"/>
  <c r="I6" i="67" s="1"/>
  <c r="O52" i="63" s="1"/>
  <c r="AA11" i="60"/>
  <c r="S22" i="26"/>
  <c r="AB22" i="26" s="1"/>
  <c r="CN16" i="60"/>
  <c r="M31" i="60"/>
  <c r="O31" i="60"/>
  <c r="J40" i="64"/>
  <c r="B52" i="68"/>
  <c r="A52" i="68" s="1"/>
  <c r="BL15" i="26"/>
  <c r="S15" i="26" s="1"/>
  <c r="AB15" i="26" s="1"/>
  <c r="I22" i="58"/>
  <c r="F4" i="64"/>
  <c r="AS4" i="64" s="1"/>
  <c r="BH11" i="26"/>
  <c r="AC10" i="26"/>
  <c r="AC8" i="26"/>
  <c r="J34" i="64"/>
  <c r="J37" i="64"/>
  <c r="AA15" i="26"/>
  <c r="J38" i="64"/>
  <c r="H22" i="58"/>
  <c r="BK15" i="26"/>
  <c r="J35" i="64"/>
  <c r="J36" i="64"/>
  <c r="J39" i="64"/>
  <c r="J33" i="64"/>
  <c r="I10" i="67" l="1"/>
  <c r="I31" i="67"/>
  <c r="I16" i="67"/>
  <c r="I22" i="67"/>
  <c r="I9" i="67"/>
  <c r="I32" i="67"/>
  <c r="I17" i="67"/>
  <c r="I20" i="67"/>
  <c r="I28" i="67"/>
  <c r="I7" i="67"/>
  <c r="I11" i="67"/>
  <c r="I29" i="67"/>
  <c r="I15" i="67"/>
  <c r="I8" i="67"/>
  <c r="I23" i="67"/>
  <c r="I26" i="67"/>
  <c r="I21" i="67"/>
  <c r="I27" i="67"/>
  <c r="I25" i="67"/>
  <c r="I14" i="67"/>
  <c r="I12" i="67"/>
  <c r="I33" i="67"/>
  <c r="I24" i="67"/>
  <c r="I19" i="67"/>
  <c r="I18" i="67"/>
  <c r="I34" i="67"/>
  <c r="I13" i="67"/>
  <c r="I27" i="58"/>
  <c r="P40" i="64"/>
  <c r="AU40" i="64" s="1"/>
  <c r="I42" i="67" s="1"/>
  <c r="BL21" i="26"/>
  <c r="B48" i="68"/>
  <c r="BI11" i="26"/>
  <c r="B35" i="68"/>
  <c r="Y8" i="60"/>
  <c r="CN9" i="60"/>
  <c r="BO6" i="26"/>
  <c r="BQ6" i="26"/>
  <c r="BP6" i="26"/>
  <c r="BJ11" i="26"/>
  <c r="H8" i="60"/>
  <c r="D22" i="58"/>
  <c r="E4" i="67"/>
  <c r="E6" i="67" s="1"/>
  <c r="I30" i="67"/>
  <c r="J22" i="58"/>
  <c r="P38" i="64"/>
  <c r="AU38" i="64" s="1"/>
  <c r="I40" i="67" s="1"/>
  <c r="O56" i="63" s="1"/>
  <c r="BK21" i="26"/>
  <c r="W10" i="60" s="1"/>
  <c r="H27" i="58"/>
  <c r="D26" i="58" s="1"/>
  <c r="AA21" i="26"/>
  <c r="P34" i="64"/>
  <c r="AU34" i="64" s="1"/>
  <c r="I36" i="67" s="1"/>
  <c r="O59" i="63" s="1"/>
  <c r="P39" i="64"/>
  <c r="AU39" i="64" s="1"/>
  <c r="I41" i="67" s="1"/>
  <c r="P36" i="64"/>
  <c r="AU36" i="64" s="1"/>
  <c r="I38" i="67" s="1"/>
  <c r="O57" i="63" s="1"/>
  <c r="P33" i="64"/>
  <c r="AU33" i="64" s="1"/>
  <c r="I35" i="67" s="1"/>
  <c r="P35" i="64"/>
  <c r="AU35" i="64" s="1"/>
  <c r="I37" i="67" s="1"/>
  <c r="P37" i="64"/>
  <c r="AU37" i="64" s="1"/>
  <c r="I39" i="67" s="1"/>
  <c r="O58" i="63" s="1"/>
  <c r="BJ25" i="26" l="1"/>
  <c r="BL25" i="26" s="1"/>
  <c r="BL11" i="26"/>
  <c r="F40" i="64"/>
  <c r="AS40" i="64" s="1"/>
  <c r="E42" i="67" s="1"/>
  <c r="I25" i="58"/>
  <c r="A48" i="68"/>
  <c r="I43" i="67"/>
  <c r="O62" i="63" s="1"/>
  <c r="S21" i="26"/>
  <c r="AB21" i="26" s="1"/>
  <c r="AA10" i="60"/>
  <c r="CN10" i="60"/>
  <c r="F39" i="64"/>
  <c r="AS39" i="64" s="1"/>
  <c r="E41" i="67" s="1"/>
  <c r="O24" i="63" s="1"/>
  <c r="BK11" i="26"/>
  <c r="H25" i="58"/>
  <c r="F34" i="64"/>
  <c r="AS34" i="64" s="1"/>
  <c r="E36" i="67" s="1"/>
  <c r="O22" i="63" s="1"/>
  <c r="AA11" i="26"/>
  <c r="BI25" i="26"/>
  <c r="F37" i="64"/>
  <c r="AS37" i="64" s="1"/>
  <c r="E39" i="67" s="1"/>
  <c r="F36" i="64"/>
  <c r="AS36" i="64" s="1"/>
  <c r="E38" i="67" s="1"/>
  <c r="F35" i="64"/>
  <c r="AS35" i="64" s="1"/>
  <c r="E37" i="67" s="1"/>
  <c r="O23" i="63" s="1"/>
  <c r="F33" i="64"/>
  <c r="AS33" i="64" s="1"/>
  <c r="E35" i="67" s="1"/>
  <c r="F38" i="64"/>
  <c r="AS38" i="64" s="1"/>
  <c r="E40" i="67" s="1"/>
  <c r="O21" i="63" s="1"/>
  <c r="J27" i="58"/>
  <c r="X8" i="60"/>
  <c r="M16" i="60"/>
  <c r="V16" i="60" s="1"/>
  <c r="AD14" i="60" s="1"/>
  <c r="O16" i="60"/>
  <c r="Z16" i="60" s="1"/>
  <c r="H5" i="60"/>
  <c r="M8" i="60"/>
  <c r="V8" i="60" s="1"/>
  <c r="O15" i="60"/>
  <c r="O8" i="60"/>
  <c r="Z8" i="60" s="1"/>
  <c r="M15" i="60"/>
  <c r="V15" i="60" s="1"/>
  <c r="G19" i="58"/>
  <c r="E8" i="67"/>
  <c r="E28" i="67"/>
  <c r="E34" i="67"/>
  <c r="E11" i="67"/>
  <c r="E12" i="67"/>
  <c r="E15" i="67"/>
  <c r="E21" i="67"/>
  <c r="E30" i="67"/>
  <c r="E27" i="67"/>
  <c r="E33" i="67"/>
  <c r="E14" i="67"/>
  <c r="E13" i="67"/>
  <c r="E16" i="67"/>
  <c r="E24" i="67"/>
  <c r="E29" i="67"/>
  <c r="E18" i="67"/>
  <c r="E7" i="67"/>
  <c r="E19" i="67"/>
  <c r="E31" i="67"/>
  <c r="E32" i="67"/>
  <c r="E17" i="67"/>
  <c r="E22" i="67"/>
  <c r="E20" i="67"/>
  <c r="E23" i="67"/>
  <c r="E26" i="67"/>
  <c r="E9" i="67"/>
  <c r="E25" i="67"/>
  <c r="E10" i="67"/>
  <c r="A35" i="68"/>
  <c r="B37" i="68"/>
  <c r="Z29" i="60" l="1"/>
  <c r="BJ28" i="26"/>
  <c r="BL28" i="26" s="1"/>
  <c r="E43" i="67"/>
  <c r="O26" i="63" s="1"/>
  <c r="D25" i="58"/>
  <c r="D10" i="58" s="1"/>
  <c r="H9" i="58"/>
  <c r="AD12" i="60"/>
  <c r="V29" i="60"/>
  <c r="BK25" i="26"/>
  <c r="BI28" i="26"/>
  <c r="W8" i="60"/>
  <c r="W29" i="60" s="1"/>
  <c r="J25" i="58"/>
  <c r="I9" i="58"/>
  <c r="CN8" i="60"/>
  <c r="S11" i="26"/>
  <c r="AB11" i="26" s="1"/>
  <c r="AB9" i="26" s="1"/>
  <c r="AB5" i="26" s="1"/>
  <c r="AA8" i="60"/>
  <c r="AA29" i="60" s="1"/>
  <c r="B50" i="68"/>
  <c r="A37" i="68"/>
  <c r="BJ31" i="26" l="1"/>
  <c r="BL31" i="26" s="1"/>
  <c r="CN18" i="60"/>
  <c r="CN20" i="60"/>
  <c r="CN21" i="60" s="1"/>
  <c r="BK28" i="26"/>
  <c r="BI31" i="26"/>
  <c r="J9" i="58"/>
  <c r="D8" i="58"/>
  <c r="D6" i="58" s="1"/>
  <c r="A50" i="68"/>
  <c r="B56" i="68"/>
  <c r="BJ39" i="26" l="1"/>
  <c r="BJ43" i="26" s="1"/>
  <c r="CN22" i="60"/>
  <c r="BK31" i="26"/>
  <c r="CN23" i="60" s="1"/>
  <c r="BI39" i="26"/>
  <c r="B73" i="68"/>
  <c r="B54" i="68"/>
  <c r="A54" i="68" s="1"/>
  <c r="A56" i="68"/>
  <c r="BL39" i="26" l="1"/>
  <c r="BL43" i="26"/>
  <c r="BJ8" i="26"/>
  <c r="AB6" i="26" s="1"/>
  <c r="A73" i="68"/>
  <c r="B75" i="68"/>
  <c r="BI43" i="26"/>
  <c r="BK43" i="26" s="1"/>
  <c r="CN24" i="60" s="1"/>
  <c r="BK39" i="26"/>
  <c r="BK8" i="26" l="1"/>
  <c r="CN25" i="60" s="1"/>
  <c r="BL8" i="26"/>
  <c r="BI8" i="26"/>
  <c r="G5" i="60" s="1"/>
  <c r="B89" i="68"/>
  <c r="A75" i="68"/>
  <c r="B111" i="68"/>
  <c r="B3" i="60"/>
  <c r="CN26" i="60"/>
  <c r="DT10" i="26" l="1"/>
  <c r="G14" i="58" s="1"/>
  <c r="DW10" i="26"/>
  <c r="C14" i="60" s="1" a="1"/>
  <c r="C14" i="60" s="1"/>
  <c r="DU10" i="26"/>
  <c r="C12" i="60" s="1" a="1"/>
  <c r="C12" i="60" s="1"/>
  <c r="DS10" i="26"/>
  <c r="G13" i="58" s="1"/>
  <c r="DX10" i="26"/>
  <c r="G16" i="58" s="1"/>
  <c r="DQ10" i="26"/>
  <c r="G17" i="58" s="1"/>
  <c r="DR10" i="26"/>
  <c r="G12" i="58" s="1"/>
  <c r="DV10" i="26"/>
  <c r="G11" i="58" s="1"/>
  <c r="B5" i="60"/>
  <c r="A111" i="68"/>
  <c r="B119" i="68"/>
  <c r="A89" i="68"/>
  <c r="B97" i="68"/>
  <c r="G15" i="58" l="1"/>
  <c r="G18" i="58"/>
  <c r="C10" i="60" a="1"/>
  <c r="C10" i="60" s="1"/>
  <c r="C15" i="60" a="1"/>
  <c r="C15" i="60" s="1"/>
  <c r="C13" i="60"/>
  <c r="C11" i="60" s="1" a="1"/>
  <c r="C11" i="60" s="1"/>
  <c r="C8" i="60" a="1"/>
  <c r="C8" i="60" s="1"/>
  <c r="C9" i="60" a="1"/>
  <c r="C9" i="60" s="1"/>
  <c r="B131" i="68"/>
  <c r="A119" i="68"/>
  <c r="B117" i="68"/>
  <c r="A117" i="68" s="1"/>
  <c r="B133" i="68"/>
  <c r="A133" i="68" s="1"/>
  <c r="A97" i="68"/>
  <c r="B95" i="68"/>
  <c r="A95" i="68" s="1"/>
  <c r="G9" i="58" l="1"/>
  <c r="C5" i="60"/>
  <c r="C3" i="60" s="1"/>
  <c r="A131" i="68"/>
  <c r="B137" i="68"/>
  <c r="B135" i="68" l="1"/>
  <c r="A135" i="68" s="1"/>
  <c r="A137"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tc={A65E2AE5-3155-478A-AFB8-6AB4C523EBF3}</author>
    <author>tc={CE4AE316-82E3-40C2-8D2F-E763B5211CD4}</author>
    <author>tc={AF05180E-FD1B-47FB-B29A-C4D634C47171}</author>
  </authors>
  <commentList>
    <comment ref="O2" authorId="0" shapeId="0" xr:uid="{A65E2AE5-3155-478A-AFB8-6AB4C523EB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Inserir aqui a quantidade utilizada no simulador. Caso não haja o input ou output no simulador, deixar como "Não se aplica"
</t>
      </text>
    </comment>
    <comment ref="E250" authorId="1" shapeId="0" xr:uid="{CE4AE316-82E3-40C2-8D2F-E763B5211CD4}">
      <text>
        <t>[Comentário encadeado]
Sua versão do Excel permite que você leia este comentário encadeado, no entanto, as edições serão removidas se o arquivo for aberto em uma versão mais recente do Excel. Saiba mais: https://go.microsoft.com/fwlink/?linkid=870924
Comentário:
    Esse ICV foi modificado, anteriormente era o market e possuia tanto inputs de logística quanto de teor de reciclagem. Duplicamos em dois ICVs e separamos um para reciclagem e um de market para analisar os resultados em separado.</t>
      </text>
    </comment>
    <comment ref="E262" authorId="2" shapeId="0" xr:uid="{AF05180E-FD1B-47FB-B29A-C4D634C47171}">
      <text>
        <t>[Comentário encadeado]
Sua versão do Excel permite que você leia este comentário encadeado, no entanto, as edições serão removidas se o arquivo for aberto em uma versão mais recente do Excel. Saiba mais: https://go.microsoft.com/fwlink/?linkid=870924
Comentário:
    Esse ICV foi modificado, anteriormente era o market e possuia tanto inputs de logística quanto de teor de reciclagem. Duplicamos em dois ICVs e separamos um para reciclagem e um de market para analisar os resultados em separado.</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<sst xmlns="http://schemas.openxmlformats.org/spreadsheetml/2006/main" count="56208" uniqueCount="5949">
  <si>
    <t>ABAL - Associação Brasileira de Alumínio</t>
  </si>
  <si>
    <t>International Aluminum org.</t>
  </si>
  <si>
    <t>There is a possible indirect process, the carbothermic reduction to aluminum using carbon and Al2O3 which forms intermediate aluminum carbide (Al4C3) that can further yield aluminum metal at a temperature of about 2000 _x0001_C. This process uses less energy and yields less CO2 than the Hall–He´roult process, the major industrial process for aluminum extraction. However, this process has not yet been perfected and is still under development by companies in the aluminum industry.</t>
  </si>
  <si>
    <t>CO2</t>
  </si>
  <si>
    <t>CO</t>
  </si>
  <si>
    <t>Alumina</t>
  </si>
  <si>
    <t>Bauxita</t>
  </si>
  <si>
    <t>Mundo</t>
  </si>
  <si>
    <t>Brasil</t>
  </si>
  <si>
    <t>Austrália</t>
  </si>
  <si>
    <t>MMT</t>
  </si>
  <si>
    <t>China</t>
  </si>
  <si>
    <t>Guiné</t>
  </si>
  <si>
    <t>Indonésia</t>
  </si>
  <si>
    <t>India</t>
  </si>
  <si>
    <t>Serra Leoa</t>
  </si>
  <si>
    <t>Russia</t>
  </si>
  <si>
    <t>Arábia Saudita</t>
  </si>
  <si>
    <t>Cazaquistão</t>
  </si>
  <si>
    <t>CO2 eq.</t>
  </si>
  <si>
    <t>Australia</t>
  </si>
  <si>
    <t>UC RUSAL</t>
  </si>
  <si>
    <t>Vedanta</t>
  </si>
  <si>
    <t>Hindalco</t>
  </si>
  <si>
    <t>Nalco</t>
  </si>
  <si>
    <t>Países Arabes</t>
  </si>
  <si>
    <t>Emirates Global</t>
  </si>
  <si>
    <t>Ma'aden</t>
  </si>
  <si>
    <t>1.15 (semestral)</t>
  </si>
  <si>
    <t>Hydro</t>
  </si>
  <si>
    <t>Alcoa</t>
  </si>
  <si>
    <t>Rio Tinto</t>
  </si>
  <si>
    <t>Alumínio Primário</t>
  </si>
  <si>
    <t>Canada</t>
  </si>
  <si>
    <t>Noruega</t>
  </si>
  <si>
    <t>Bahrein</t>
  </si>
  <si>
    <t>Estados Unidos</t>
  </si>
  <si>
    <t>Emirados Arabes</t>
  </si>
  <si>
    <t>Islândia</t>
  </si>
  <si>
    <t>Hidróxido de Alumínio</t>
  </si>
  <si>
    <t>Aluminato de Sódio</t>
  </si>
  <si>
    <t>Gibbsita</t>
  </si>
  <si>
    <t>Alumínio Primário líquido</t>
  </si>
  <si>
    <t>Alumínio Primário líquido (Söderberg)</t>
  </si>
  <si>
    <t>Ânodo de Carbono</t>
  </si>
  <si>
    <t>Fluoreto de Alumínio</t>
  </si>
  <si>
    <t>Criolita</t>
  </si>
  <si>
    <t>Lingote de Alumínio Primário (kg)</t>
  </si>
  <si>
    <t>Alumínio Primário líquido (kg)</t>
  </si>
  <si>
    <t>Alumínio Primário líquido (Söderberg) (kg)</t>
  </si>
  <si>
    <t>Transferência de Calor (MJ)</t>
  </si>
  <si>
    <t>Eletricidade (kWh)</t>
  </si>
  <si>
    <t>Alumina (kg)</t>
  </si>
  <si>
    <t>Ânodo de Carbono (kg)</t>
  </si>
  <si>
    <t>Fluoreto de Alumínio (kg)</t>
  </si>
  <si>
    <t>Criolita (kg)</t>
  </si>
  <si>
    <t>Hidróxido de Alumínio (kg)</t>
  </si>
  <si>
    <t>Soda Cáustica (kg)</t>
  </si>
  <si>
    <t>Ácido Fluorídrico (kg)</t>
  </si>
  <si>
    <t>Ácido hexafluorossilícico (kg)</t>
  </si>
  <si>
    <t>Ânodo de Carbono (pasta) (kg)</t>
  </si>
  <si>
    <t>Cóque (Petróleo) (kg)</t>
  </si>
  <si>
    <t>Piche (kg)</t>
  </si>
  <si>
    <t>Bauxita (kg)</t>
  </si>
  <si>
    <t>Particulados da Eletrólise (kg)</t>
  </si>
  <si>
    <t>Lingotamento</t>
  </si>
  <si>
    <t>Output</t>
  </si>
  <si>
    <t>Input</t>
  </si>
  <si>
    <t>CO2 (kg)</t>
  </si>
  <si>
    <t>CO (kg)</t>
  </si>
  <si>
    <t>Eletrólise (Söderberg)</t>
  </si>
  <si>
    <t>Calcinação</t>
  </si>
  <si>
    <t>Água (kg)</t>
  </si>
  <si>
    <t>Precipitação</t>
  </si>
  <si>
    <t>Aluminato de Sódio (kg)</t>
  </si>
  <si>
    <t>BAYER PROCESS</t>
  </si>
  <si>
    <t>Digestão</t>
  </si>
  <si>
    <t>Secundários</t>
  </si>
  <si>
    <t>Al(OH)3 (kg)</t>
  </si>
  <si>
    <t>Boemita e Diásporo</t>
  </si>
  <si>
    <t>AlO(OH) (kg)</t>
  </si>
  <si>
    <t>prebaked electrode</t>
  </si>
  <si>
    <t>Söderberg</t>
  </si>
  <si>
    <t>ELETRÓLISE (HALL-HÉROULT)</t>
  </si>
  <si>
    <t>Natural gas</t>
  </si>
  <si>
    <t>Coal</t>
  </si>
  <si>
    <t>Limestone</t>
  </si>
  <si>
    <t>Coke</t>
  </si>
  <si>
    <t>Conteúdo de Alumina %</t>
  </si>
  <si>
    <t>DSP + Red Mud (kg)</t>
  </si>
  <si>
    <t>Crushing, Mixing, Desilication and Clarification</t>
  </si>
  <si>
    <t>Al2O3 hidratado (kg)</t>
  </si>
  <si>
    <t>Crushing, Mixing and Desilication</t>
  </si>
  <si>
    <t>Lingoteamento</t>
  </si>
  <si>
    <t>kg</t>
  </si>
  <si>
    <t xml:space="preserve">Lingote de Alumínio Primário </t>
  </si>
  <si>
    <t>Processo</t>
  </si>
  <si>
    <t>Alumínio Primário líquido (prebaked) (kg)</t>
  </si>
  <si>
    <t xml:space="preserve">Alumínio Primário líquido (prebaked) </t>
  </si>
  <si>
    <t>Eletrólise (prebaked)</t>
  </si>
  <si>
    <t>Ânodo de Carbono (prebaked)</t>
  </si>
  <si>
    <t>Ânodo de Carbono (pasta)</t>
  </si>
  <si>
    <t>Água</t>
  </si>
  <si>
    <t>Soda Cáustica</t>
  </si>
  <si>
    <t>Digestão (Gibbsita)</t>
  </si>
  <si>
    <t>Al(OH)3</t>
  </si>
  <si>
    <t>Digestão (Boemita e Diásporo)</t>
  </si>
  <si>
    <t>AlO(OH)</t>
  </si>
  <si>
    <t>Al2O3 hidratado</t>
  </si>
  <si>
    <t>AlF3</t>
  </si>
  <si>
    <t>Ácido Fluorídrico</t>
  </si>
  <si>
    <t>Criolita (HF)</t>
  </si>
  <si>
    <t>HF</t>
  </si>
  <si>
    <t>Criolita (H2SiF6)</t>
  </si>
  <si>
    <t>H2SiF6</t>
  </si>
  <si>
    <t>Coke (Petroleum)</t>
  </si>
  <si>
    <t>Pitch</t>
  </si>
  <si>
    <t>DSP + Red Mud</t>
  </si>
  <si>
    <t>Bauxita (Gibbsita)</t>
  </si>
  <si>
    <t>Bauxita (Boemita e Diásporo)</t>
  </si>
  <si>
    <t>5.a</t>
  </si>
  <si>
    <t>5.b</t>
  </si>
  <si>
    <t>6.a</t>
  </si>
  <si>
    <t>6.b</t>
  </si>
  <si>
    <t>Ponderação</t>
  </si>
  <si>
    <t>ID</t>
  </si>
  <si>
    <t>Composição</t>
  </si>
  <si>
    <t>Total</t>
  </si>
  <si>
    <t>9.a</t>
  </si>
  <si>
    <t>9.b</t>
  </si>
  <si>
    <t>Ânodo (prebaked)</t>
  </si>
  <si>
    <t>Ânodo (pasta)</t>
  </si>
  <si>
    <t>Soda Cáustica para Criolita</t>
  </si>
  <si>
    <t>Soda Cáustica para Digestão</t>
  </si>
  <si>
    <t>Primária</t>
  </si>
  <si>
    <t>Ácido Fluorídrico para Criolita</t>
  </si>
  <si>
    <t>Ácido Fluorídrico para AlF3</t>
  </si>
  <si>
    <t>Ácido Fluossílico para Criolita</t>
  </si>
  <si>
    <t>Cóque para Ânodo prebaked</t>
  </si>
  <si>
    <t>Cóque para Ânodo pasta</t>
  </si>
  <si>
    <t>Cóque</t>
  </si>
  <si>
    <t>Piche para Ânodo prebaked</t>
  </si>
  <si>
    <t>Piche para Ânodo pasta</t>
  </si>
  <si>
    <t>Piche</t>
  </si>
  <si>
    <t>Extração Bauxita</t>
  </si>
  <si>
    <t>Extração</t>
  </si>
  <si>
    <t>Extração de Bauxita</t>
  </si>
  <si>
    <t>=</t>
  </si>
  <si>
    <t>Referência</t>
  </si>
  <si>
    <t>Particulados da Eletrólise</t>
  </si>
  <si>
    <t>Ecoinvent</t>
  </si>
  <si>
    <t>Eletrólise : prebaked electrode</t>
  </si>
  <si>
    <t>Eletrólise: Söderberg</t>
  </si>
  <si>
    <t>Alumínio Primário Líquido (kg)</t>
  </si>
  <si>
    <t>Andrew R. Hind, Suresh K. Bhargava, Stephen C. Grocott, The surface chemistry of Bayer process solids: a review, Colloids and Surfaces A: Physicochemical and Engineering Aspects, Volume 146, Issues 1–3, 1999, Pages 359-374</t>
  </si>
  <si>
    <t>Alton T. Tabereaux, Ray D. Peterson, Chapter 2.5 - Aluminum Production, Editor(s): Seshadri Seetharaman, Treatise on Process Metallurgy, Elsevier, 2014, Pages 839-917</t>
  </si>
  <si>
    <t>Extração da Bauxita</t>
  </si>
  <si>
    <t>Ácido Fluossílico (kg)</t>
  </si>
  <si>
    <t>Ânodo (kg)</t>
  </si>
  <si>
    <t>Coke (Petroleum) (kg)</t>
  </si>
  <si>
    <t>Pitch (kg)</t>
  </si>
  <si>
    <t>Crushing, Mixing, Desilication and Clarification (Gibbsite)</t>
  </si>
  <si>
    <t>Crushing, Mixing, Desilication and Clarification (Bohemite and Diaspore)</t>
  </si>
  <si>
    <t>Conteúdo de Alumina (45 a 65)%</t>
  </si>
  <si>
    <t>Conteúdo de Alumina (47 a 85)%</t>
  </si>
  <si>
    <t>Receita</t>
  </si>
  <si>
    <t>aluminium production, primary, ingot | aluminium, primary, ingot | APOS, U</t>
  </si>
  <si>
    <t>aluminium production, primary, liquid, prebake | aluminium, primary, liquid | APOS, U</t>
  </si>
  <si>
    <t>aluminium production, primary, liquid, Söderberg | aluminium, primary, liquid | APOS, U</t>
  </si>
  <si>
    <t>aluminium fluoride production | aluminium fluoride | APOS, U</t>
  </si>
  <si>
    <t>cryolite production | cryolite | APOS, U</t>
  </si>
  <si>
    <t>cryolite production, from fluosilicic acid | cryolite | APOS, U</t>
  </si>
  <si>
    <t>anode production, prebake, for aluminium electrolysis | anode, prebake, for aluminium electrolysis | APOS, U</t>
  </si>
  <si>
    <t>anode production, paste, for aluminium electrolysis | anode, paste, for aluminium electrolysis | APOS, U</t>
  </si>
  <si>
    <t>Coke (MJ)</t>
  </si>
  <si>
    <t>bauxite mine operation | bauxite | APOS, U</t>
  </si>
  <si>
    <t>Virgin and Recycled Wrought Aluminum</t>
  </si>
  <si>
    <t>1) Key Input Parameters</t>
  </si>
  <si>
    <t>1.1) Tons of Intermediate Al-related Material Needed per Ton of Intermediate Process, Final Aluminum and/or Wrought Aluminum Product</t>
  </si>
  <si>
    <t>Primary aluminum (Al) production</t>
  </si>
  <si>
    <t>Secondary aluminum (Al) production</t>
  </si>
  <si>
    <t>Aluminum processes for primary or secondary Al production</t>
  </si>
  <si>
    <t>Bauxite Mining</t>
  </si>
  <si>
    <t>Alumina Refining (North American)</t>
  </si>
  <si>
    <t>Alumina Refining (Imported)</t>
  </si>
  <si>
    <t>Anode production</t>
  </si>
  <si>
    <t>Electrolysis (Smelters)</t>
  </si>
  <si>
    <t>Cast house</t>
  </si>
  <si>
    <t>Pure Al recycling</t>
  </si>
  <si>
    <t>Secondary remelt ingot</t>
  </si>
  <si>
    <t>Dross &amp; Salt Lake Recycling</t>
  </si>
  <si>
    <t>Aluminum Extrusion (Non-Automotive)</t>
  </si>
  <si>
    <t>Aluminum Sheet (Non-Automotive)</t>
  </si>
  <si>
    <t>Aluminum Foil (Non-Automotive)</t>
  </si>
  <si>
    <t>Aluminum Extrusion (Automotive)</t>
  </si>
  <si>
    <t>Aluminum Sheet (Automotive)</t>
  </si>
  <si>
    <t>Stamping</t>
  </si>
  <si>
    <t>Bauxite ore from ground</t>
  </si>
  <si>
    <t>Bauxite (from Bauxite mining)</t>
  </si>
  <si>
    <t>Liquid aluminum</t>
  </si>
  <si>
    <t>Primary Al ingot</t>
  </si>
  <si>
    <t>Al ingot</t>
  </si>
  <si>
    <t>Secondary Al ingot</t>
  </si>
  <si>
    <t>Scrap</t>
  </si>
  <si>
    <t>Automotive Al sheet</t>
  </si>
  <si>
    <t>1.2) Electric Generation Mix for Alumina Reduction: Hall-Heroult Process for Wrought Aluminum (from the Mat_Inputs sheet)</t>
  </si>
  <si>
    <t>Import mix</t>
  </si>
  <si>
    <t>Bahrain</t>
  </si>
  <si>
    <t>UAE</t>
  </si>
  <si>
    <t>Brazil</t>
  </si>
  <si>
    <t>Argentina</t>
  </si>
  <si>
    <t>Venezuela</t>
  </si>
  <si>
    <t>Rest of world</t>
  </si>
  <si>
    <t>Petroleum</t>
  </si>
  <si>
    <t>NG</t>
  </si>
  <si>
    <t>Biomass</t>
  </si>
  <si>
    <t>Nuclear</t>
  </si>
  <si>
    <t>Others</t>
  </si>
  <si>
    <t>Total energy</t>
  </si>
  <si>
    <t>Fossil fuels</t>
  </si>
  <si>
    <t>Water consumption</t>
  </si>
  <si>
    <t>VOC: Total</t>
  </si>
  <si>
    <t>CO: Total</t>
  </si>
  <si>
    <t>NOx: Total</t>
  </si>
  <si>
    <t>PM10: Total</t>
  </si>
  <si>
    <t>PM2.5: Total</t>
  </si>
  <si>
    <t>SOx: Total</t>
  </si>
  <si>
    <t>BC: Total</t>
  </si>
  <si>
    <t>OC: Total</t>
  </si>
  <si>
    <t>CH4</t>
  </si>
  <si>
    <t>N2O</t>
  </si>
  <si>
    <t>VOC: Urban</t>
  </si>
  <si>
    <t>CO: Urban</t>
  </si>
  <si>
    <t>NOx: Urban</t>
  </si>
  <si>
    <t>PM10: Urban</t>
  </si>
  <si>
    <t>PM2.5: Urban</t>
  </si>
  <si>
    <t>SOx: Urban</t>
  </si>
  <si>
    <t>BC: Urban</t>
  </si>
  <si>
    <t>OC: Urban</t>
  </si>
  <si>
    <t>1.3) Tons of Other Intermediate Materials Needed per Ton of Final Aluminum and/or Wrought Aluminum Product and/or Intermediate Materials</t>
  </si>
  <si>
    <t>Used for primary or secondary Al</t>
  </si>
  <si>
    <t>Intermediate Materials</t>
  </si>
  <si>
    <t>Alumina trihydrate</t>
  </si>
  <si>
    <t>Hydrogen fluoride</t>
  </si>
  <si>
    <t>Cryolite</t>
  </si>
  <si>
    <t>Paint</t>
  </si>
  <si>
    <t>Magnesite</t>
  </si>
  <si>
    <t>Ordinary dead burned magnesia (ODBM)</t>
  </si>
  <si>
    <t>Fused magnesia (FM)</t>
  </si>
  <si>
    <t>Refractory</t>
  </si>
  <si>
    <t>Concentrated dross and salt cake</t>
  </si>
  <si>
    <t>Water</t>
  </si>
  <si>
    <t>Quicklime</t>
  </si>
  <si>
    <t>Sodium hydroxide (100%)</t>
  </si>
  <si>
    <t>Coal tar pitch</t>
  </si>
  <si>
    <t>Used anodes</t>
  </si>
  <si>
    <t>Aluminum fluoride</t>
  </si>
  <si>
    <t>Anode</t>
  </si>
  <si>
    <t>Carbon (Cathode)</t>
  </si>
  <si>
    <t>Steel (cold-rolled coil/band - packaging)</t>
  </si>
  <si>
    <t>Nitrogen</t>
  </si>
  <si>
    <t>Alloying elements</t>
  </si>
  <si>
    <t>Argon</t>
  </si>
  <si>
    <t>Dross</t>
  </si>
  <si>
    <t>Filter media</t>
  </si>
  <si>
    <t>Hydraulic oil</t>
  </si>
  <si>
    <t>Potassium chloride</t>
  </si>
  <si>
    <t>Sodium chloride</t>
  </si>
  <si>
    <t>Cardboard</t>
  </si>
  <si>
    <t>Chlorine</t>
  </si>
  <si>
    <t>Lubricant</t>
  </si>
  <si>
    <t>Packaging paper</t>
  </si>
  <si>
    <t>Packaging wooden pellets</t>
  </si>
  <si>
    <t>Plastic packaging</t>
  </si>
  <si>
    <t>Solvent</t>
  </si>
  <si>
    <t>Sulfuric acid</t>
  </si>
  <si>
    <t>Wood packaging</t>
  </si>
  <si>
    <t>Rolling oil additive</t>
  </si>
  <si>
    <t>Calcium fluoride</t>
  </si>
  <si>
    <t>Ethylene glycol</t>
  </si>
  <si>
    <t>Acrylic acid</t>
  </si>
  <si>
    <t>Sodium phosphate</t>
  </si>
  <si>
    <t>Chemical inorganics</t>
  </si>
  <si>
    <t>Wax</t>
  </si>
  <si>
    <t>Latex</t>
  </si>
  <si>
    <t>Ammonia</t>
  </si>
  <si>
    <t>Paraffin</t>
  </si>
  <si>
    <t>Benzimidazole</t>
  </si>
  <si>
    <t>Chromium oxide</t>
  </si>
  <si>
    <t>Titanium oxide</t>
  </si>
  <si>
    <t>Silicone</t>
  </si>
  <si>
    <t>Kaolin</t>
  </si>
  <si>
    <t>Sand (Silicon)</t>
  </si>
  <si>
    <t>Talc</t>
  </si>
  <si>
    <t>Carboxymethylcellulose (CMC)</t>
  </si>
  <si>
    <t>Cationic resin</t>
  </si>
  <si>
    <t>Graphite</t>
  </si>
  <si>
    <t>ODBM</t>
  </si>
  <si>
    <t>FM</t>
  </si>
  <si>
    <t>Phenolic resin</t>
  </si>
  <si>
    <t>1.4) Share (%) of Different Sources of Production for Alumina Used in North American Mix of Aluminum Production</t>
  </si>
  <si>
    <t>Share (%) in mix</t>
  </si>
  <si>
    <t>Domestic (North American)</t>
  </si>
  <si>
    <t>Imported</t>
  </si>
  <si>
    <t>1.5) Share (%) of Different Sources in Alumina Import</t>
  </si>
  <si>
    <t>Share (%) in alumina import</t>
  </si>
  <si>
    <t>France</t>
  </si>
  <si>
    <t>Germany</t>
  </si>
  <si>
    <t>Jamaica</t>
  </si>
  <si>
    <t>1.6) Share (%) of Different Sources of Production for Alumina Used in North American Mix of Aluminum Production</t>
  </si>
  <si>
    <t>1.7) Share of different nations in North American consumption mix for primary Al ingot</t>
  </si>
  <si>
    <t>Share (%) in NA consumption</t>
  </si>
  <si>
    <t>Share (%) in import mix</t>
  </si>
  <si>
    <t>North America/US</t>
  </si>
  <si>
    <t>1.8) Share of primary and recycled content in semi-fabricated Al products</t>
  </si>
  <si>
    <t>Primary Al</t>
  </si>
  <si>
    <t>Secondary Al</t>
  </si>
  <si>
    <t>2) Shares of Combustion Processes for Each stage</t>
  </si>
  <si>
    <t>Resi. oil industrial boiler</t>
  </si>
  <si>
    <t>NG industrial boiler</t>
  </si>
  <si>
    <t>NG Off-road Equipment</t>
  </si>
  <si>
    <t>Coal industrial boiler</t>
  </si>
  <si>
    <t>Gasoline Stationary Reciprocating Engine</t>
  </si>
  <si>
    <t>Gasoline Off-road Equipment</t>
  </si>
  <si>
    <t>Diesel Heavy Heavy-Duty Truck</t>
  </si>
  <si>
    <t>Diesel Off-road Equipment</t>
  </si>
  <si>
    <t>3) Calculations of Energy Consumption and Emissions for Each Stage</t>
  </si>
  <si>
    <t>NA production</t>
  </si>
  <si>
    <t>Import mix production</t>
  </si>
  <si>
    <t>Secondary Al production</t>
  </si>
  <si>
    <t>Production of Semi-Fabricated Al Products</t>
  </si>
  <si>
    <t>Production of Intermediate Materials</t>
  </si>
  <si>
    <t>Bauxite Refining: Bayer Process (Domestic)</t>
  </si>
  <si>
    <t>Bauxite Refining: Bayer Process (Imported)</t>
  </si>
  <si>
    <t>Anode Production</t>
  </si>
  <si>
    <t>Alumina Reduction: Hall-Heroult Process</t>
  </si>
  <si>
    <t>Primary Ingot Casting</t>
  </si>
  <si>
    <t>Alumina Reduction: Hall-Heroult Process (Import mix)</t>
  </si>
  <si>
    <t>Secondary Al Ingot Casting (100% Recycled Al)</t>
  </si>
  <si>
    <t>Secondary Al Ingot Casting (95% Recycled, 5% Primary Al)</t>
  </si>
  <si>
    <t>Extruded Aluminum Production (Non-Automotive, Including Remelt)</t>
  </si>
  <si>
    <t>Aluminum Sheet Production 
(Non-Automotive, including Remelt)</t>
  </si>
  <si>
    <t>Aluminum Foil Production 
(Non-Automotive, including Remelt)</t>
  </si>
  <si>
    <t>Automotive Extruded Aluminum Production 
(including Remelt)</t>
  </si>
  <si>
    <t>Automotive Aluminum Sheet Production
(including Remelt)</t>
  </si>
  <si>
    <t>Cryolite Production</t>
  </si>
  <si>
    <t>Paint Production</t>
  </si>
  <si>
    <t>Magnesite Mining</t>
  </si>
  <si>
    <t>ODBM Production</t>
  </si>
  <si>
    <t>FM Production</t>
  </si>
  <si>
    <t>Refractory Production</t>
  </si>
  <si>
    <t>Argon Production</t>
  </si>
  <si>
    <t>Combustion Emissions</t>
  </si>
  <si>
    <t>Non-Combustion Emissions</t>
  </si>
  <si>
    <t>Energy inputs: mmBtu per ton of material product, except as noted</t>
  </si>
  <si>
    <t>Urban emission share</t>
  </si>
  <si>
    <t xml:space="preserve">Shares of process fuels </t>
  </si>
  <si>
    <t xml:space="preserve">     Resid. oil</t>
  </si>
  <si>
    <t xml:space="preserve">     Diesel</t>
  </si>
  <si>
    <t xml:space="preserve">     Gasoline</t>
  </si>
  <si>
    <t xml:space="preserve">     Natural gas</t>
  </si>
  <si>
    <t xml:space="preserve">     Coal</t>
  </si>
  <si>
    <t xml:space="preserve">     Liquefied petroleum gas</t>
  </si>
  <si>
    <t xml:space="preserve">     Propane</t>
  </si>
  <si>
    <t xml:space="preserve">     Waste</t>
  </si>
  <si>
    <t xml:space="preserve">     Electricity</t>
  </si>
  <si>
    <t>Energy use: mmBtu per ton of material product, except as noted</t>
  </si>
  <si>
    <t xml:space="preserve">     Natural gas used</t>
  </si>
  <si>
    <t xml:space="preserve">     Total energy</t>
  </si>
  <si>
    <t xml:space="preserve">     Fossil fuels</t>
  </si>
  <si>
    <t xml:space="preserve">     Petroleum</t>
  </si>
  <si>
    <t>Total Emissions: grams per ton of material product</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</si>
  <si>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</si>
  <si>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</si>
  <si>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</si>
  <si>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</si>
  <si>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</si>
  <si>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</si>
  <si>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</si>
  <si>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</si>
  <si>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</si>
  <si>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</si>
  <si>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CF4</t>
  </si>
  <si>
    <t xml:space="preserve">     C2F6</t>
  </si>
  <si>
    <t xml:space="preserve">     CO2</t>
  </si>
  <si>
    <t>Urban Emissions: grams per ton of material product</t>
  </si>
  <si>
    <t>4) Summary of Energy Use &amp; Emissions</t>
  </si>
  <si>
    <t>4.1) For Intermediate Materials Used in Production of Aluminum Forms/Products</t>
  </si>
  <si>
    <t xml:space="preserve">Energy Use: mmBtu per ton </t>
  </si>
  <si>
    <t>Water consumption (gallons)</t>
  </si>
  <si>
    <t xml:space="preserve">Total Emissions: grams per ton </t>
  </si>
  <si>
    <t xml:space="preserve">     NOx </t>
  </si>
  <si>
    <t xml:space="preserve">     CO2 (VOC, CO, CO2)</t>
  </si>
  <si>
    <t xml:space="preserve">     GHGs</t>
  </si>
  <si>
    <t>Urban Emissions: grams per ton</t>
  </si>
  <si>
    <t>4.2) Summary of Energy Consumption &amp; Emissions for Aluminum</t>
  </si>
  <si>
    <t>Primary Al: NA production</t>
  </si>
  <si>
    <t>Primary Al: Import mix production</t>
  </si>
  <si>
    <t>Primary Al: Combined mix production</t>
  </si>
  <si>
    <t>Secondary Al products</t>
  </si>
  <si>
    <t>Semi-fabricated Al products</t>
  </si>
  <si>
    <t>Individual stages</t>
  </si>
  <si>
    <t>Cradle-to-gate (per stage)</t>
  </si>
  <si>
    <t>100% recycled Al</t>
  </si>
  <si>
    <t>Secondary Remelt Ingot</t>
  </si>
  <si>
    <t>NA production: Primary Al</t>
  </si>
  <si>
    <t>NA production: Secondary Al</t>
  </si>
  <si>
    <t>NA production: Scrap</t>
  </si>
  <si>
    <t>NA production: Primary Al + Secondary Al + Scrap</t>
  </si>
  <si>
    <t>NA consumption: Primary Al</t>
  </si>
  <si>
    <t>NA consumption: Secondary Al</t>
  </si>
  <si>
    <t>NA consumption: Scrap</t>
  </si>
  <si>
    <t>NA consumption: Primary + Secondary Al + Scrap</t>
  </si>
  <si>
    <t>Alumina Production (Domestic)</t>
  </si>
  <si>
    <t>Alumina Production (Imported)</t>
  </si>
  <si>
    <t>Alumina Production (Combined)</t>
  </si>
  <si>
    <t>Cast House</t>
  </si>
  <si>
    <t>Alumina Production</t>
  </si>
  <si>
    <t>With Primary Al from NA Production Mix</t>
  </si>
  <si>
    <t>With Imported Primary Al</t>
  </si>
  <si>
    <t>With Primary Al from NA Consumption Mix</t>
  </si>
  <si>
    <t>Stamped Sheet</t>
  </si>
  <si>
    <t>Virgin and Recycled Cast Aluminum</t>
  </si>
  <si>
    <t>1.1) Tons of Intermediate Al-related Material Needed per Ton of Final Aluminum and/or Wrought Aluminum Product</t>
  </si>
  <si>
    <t>Cast aluminum production</t>
  </si>
  <si>
    <t>For primary/ secondary Al</t>
  </si>
  <si>
    <t>1.2) Electric Generation Mix for Alumina Reduction: Hall-Heroult Process for Cast Aluminum (from the Mat_Inputs sheet)</t>
  </si>
  <si>
    <t>Hall-Heroult process: Other nations</t>
  </si>
  <si>
    <t>Alumina Reduction in Other Nations</t>
  </si>
  <si>
    <t>China mix</t>
  </si>
  <si>
    <t>Korea mix</t>
  </si>
  <si>
    <t>EU mix</t>
  </si>
  <si>
    <t>China: Alumina Reduction</t>
  </si>
  <si>
    <t>Korea: Alumina Reduction</t>
  </si>
  <si>
    <t>EU: Alumina Reduction</t>
  </si>
  <si>
    <t xml:space="preserve">combustion emissions </t>
  </si>
  <si>
    <t>Aluminum production</t>
  </si>
  <si>
    <t xml:space="preserve">Primary Aluminum: Production in Various Geographies </t>
  </si>
  <si>
    <t>NA production mix</t>
  </si>
  <si>
    <t>NA Import mix</t>
  </si>
  <si>
    <t>NA consumption mix</t>
  </si>
  <si>
    <t>US</t>
  </si>
  <si>
    <t>Korea</t>
  </si>
  <si>
    <t>EU</t>
  </si>
  <si>
    <t>From primary Al</t>
  </si>
  <si>
    <t>From secondary Al</t>
  </si>
  <si>
    <t>per ton</t>
  </si>
  <si>
    <t>NA smelter mix</t>
  </si>
  <si>
    <t>F</t>
  </si>
  <si>
    <t>CM</t>
  </si>
  <si>
    <t>ME</t>
  </si>
  <si>
    <t>GREET</t>
  </si>
  <si>
    <t>kgCO2e/ton PO -&gt;</t>
  </si>
  <si>
    <t>FE Artigos</t>
  </si>
  <si>
    <t>gCO2e/MJ -&gt;</t>
  </si>
  <si>
    <t>Production Chain</t>
  </si>
  <si>
    <t>GHG
kg CO2e</t>
  </si>
  <si>
    <t>ENERGY SOURCES % (gCO2e/MJ)</t>
  </si>
  <si>
    <t xml:space="preserve">Main Input Product </t>
  </si>
  <si>
    <t>Output Product (used for energy factor)</t>
  </si>
  <si>
    <t>PROCESS STEP</t>
  </si>
  <si>
    <t>Raw Material</t>
  </si>
  <si>
    <t>Energy
(GJ/ton of PO)</t>
  </si>
  <si>
    <t>Gasoline</t>
  </si>
  <si>
    <t>Diesel</t>
  </si>
  <si>
    <t>Electricity</t>
  </si>
  <si>
    <t>H2</t>
  </si>
  <si>
    <t>Charcoal</t>
  </si>
  <si>
    <t>Truck</t>
  </si>
  <si>
    <t>Rail</t>
  </si>
  <si>
    <t>Marine</t>
  </si>
  <si>
    <t>Impureza (%)</t>
  </si>
  <si>
    <t>PO
Product Output (ton)</t>
  </si>
  <si>
    <t>Energy
(GJ)</t>
  </si>
  <si>
    <t>GHG
(kg CO2e)</t>
  </si>
  <si>
    <t>km</t>
  </si>
  <si>
    <t>GHG
(kg CO2e/
ton of PO)</t>
  </si>
  <si>
    <t>ROM Ore</t>
  </si>
  <si>
    <t>--X--</t>
  </si>
  <si>
    <t>Machining</t>
  </si>
  <si>
    <t>No Coating</t>
  </si>
  <si>
    <t xml:space="preserve"> Mining</t>
  </si>
  <si>
    <t>Bauxite</t>
  </si>
  <si>
    <t>NaOH</t>
  </si>
  <si>
    <t>Bauxite Processing (Gibbsite)</t>
  </si>
  <si>
    <t>Bauxite Processing (Bohemite and Diaspore)</t>
  </si>
  <si>
    <t>Digestion (Gibbsite)</t>
  </si>
  <si>
    <t>Digestion (Bohemite and Diaspore)</t>
  </si>
  <si>
    <t>Precipitation</t>
  </si>
  <si>
    <t>Calcination</t>
  </si>
  <si>
    <t>Eletrolysis (prebaked)</t>
  </si>
  <si>
    <t>Eletrolysis (Söderberg)</t>
  </si>
  <si>
    <t>Primary Liquid Aluminum</t>
  </si>
  <si>
    <t>Pitch, Coke</t>
  </si>
  <si>
    <t>Hall-Héroult Process</t>
  </si>
  <si>
    <t>Bayer Process</t>
  </si>
  <si>
    <t>Al2O3 + 3H2O + NaOH</t>
  </si>
  <si>
    <t>2 NaAlO2 + 2 H2O</t>
  </si>
  <si>
    <t>2 NaAlO2 + 4 H2O</t>
  </si>
  <si>
    <t>NaAlO2 + 2 H2O</t>
  </si>
  <si>
    <t>2 Al(OH)3</t>
  </si>
  <si>
    <t>Sodium Aluminate (NaAlO2)</t>
  </si>
  <si>
    <t>Cryolite Production (HF)</t>
  </si>
  <si>
    <t>Cryolite Production (H2SiF6)</t>
  </si>
  <si>
    <t>Carbon Anode Prebaked</t>
  </si>
  <si>
    <t>Carbon Anode Paste</t>
  </si>
  <si>
    <t>Sodium hydroxide</t>
  </si>
  <si>
    <t>Alumina, Carbon Anode Prebaked, Aluminum Fluoride, Cryolite</t>
  </si>
  <si>
    <t>Alumina, Carbon Anode Paste, Aluminum Fluoride, Cryolite</t>
  </si>
  <si>
    <t>Aluminum Fluoride Production</t>
  </si>
  <si>
    <t>HF, Alumina</t>
  </si>
  <si>
    <t>Alumina Hydrate</t>
  </si>
  <si>
    <t>Alumina Trihydrate</t>
  </si>
  <si>
    <t>Alumina Market</t>
  </si>
  <si>
    <t>Coated Products</t>
  </si>
  <si>
    <t>Basic Steel Products</t>
  </si>
  <si>
    <t>Final Forming and Finishing Products</t>
  </si>
  <si>
    <t>NaAlO2</t>
  </si>
  <si>
    <t>Energy
(GJ / 
ton Al)</t>
  </si>
  <si>
    <t>GHG
(ton CO2e / 
ton Al)</t>
  </si>
  <si>
    <t>GHG
(ton CO2e / 
ton Aluminum)</t>
  </si>
  <si>
    <t>Recycled Aluminum</t>
  </si>
  <si>
    <t>Casting Alloys</t>
  </si>
  <si>
    <t>Wrought Alloys</t>
  </si>
  <si>
    <t>Scrap Melting and Processing</t>
  </si>
  <si>
    <t>Extrusion</t>
  </si>
  <si>
    <t>Direct use of Basic Aluminum Products</t>
  </si>
  <si>
    <t>Continuous Casting</t>
  </si>
  <si>
    <t>Process</t>
  </si>
  <si>
    <t>Resid. Oil</t>
  </si>
  <si>
    <t>Secondary Aluminum</t>
  </si>
  <si>
    <t>FE Ponderado
tCO2e/ tAl</t>
  </si>
  <si>
    <t>ETAPAS DO PROCESSO</t>
  </si>
  <si>
    <t>Descrpition</t>
  </si>
  <si>
    <t xml:space="preserve"> PARTICIPAÇÃO DE CADA PROCESSO NA CADEIA DE PRODUÇÃO</t>
  </si>
  <si>
    <r>
      <t>BIBLIOGRAFIA: FATORES DE EMISSÃO DE GEE
(ton CO</t>
    </r>
    <r>
      <rPr>
        <b/>
        <vertAlign val="subscript"/>
        <sz val="16"/>
        <color theme="1"/>
        <rFont val="Arial"/>
        <family val="2"/>
      </rPr>
      <t>2</t>
    </r>
    <r>
      <rPr>
        <b/>
        <sz val="16"/>
        <color theme="1"/>
        <rFont val="Arial"/>
        <family val="2"/>
      </rPr>
      <t>e/ton steel)</t>
    </r>
  </si>
  <si>
    <t>FUP</t>
  </si>
  <si>
    <t>B</t>
  </si>
  <si>
    <t>Balanço Ponderado da Cadeia de Produção</t>
  </si>
  <si>
    <t>BP</t>
  </si>
  <si>
    <t>Fatores da Cadeia de Produção</t>
  </si>
  <si>
    <t>RCP</t>
  </si>
  <si>
    <t>Frete (km)</t>
  </si>
  <si>
    <t>Balanço Unitário de Cada Processo</t>
  </si>
  <si>
    <t>BU</t>
  </si>
  <si>
    <t>Si</t>
  </si>
  <si>
    <t>Fe</t>
  </si>
  <si>
    <t>Mn</t>
  </si>
  <si>
    <t>Mg</t>
  </si>
  <si>
    <t>Zn</t>
  </si>
  <si>
    <t>Cu</t>
  </si>
  <si>
    <t>Ni</t>
  </si>
  <si>
    <t>Aluminum Alloy Composition (%)</t>
  </si>
  <si>
    <t>Carbon Anode</t>
  </si>
  <si>
    <t>Anode Production (Paste)</t>
  </si>
  <si>
    <t>Anode Production (Prebaked)</t>
  </si>
  <si>
    <t>Scrap Purchase</t>
  </si>
  <si>
    <t>Hot and Cold Rolling</t>
  </si>
  <si>
    <t>Basic Products</t>
  </si>
  <si>
    <t>Direct Use</t>
  </si>
  <si>
    <t>MIX 2</t>
  </si>
  <si>
    <t>Mix 4</t>
  </si>
  <si>
    <t>Alloys</t>
  </si>
  <si>
    <t>Scrap Impurity</t>
  </si>
  <si>
    <t>General information</t>
  </si>
  <si>
    <t>UUID</t>
  </si>
  <si>
    <t>64c4fb5d-e850-4fd9-8a9e-7e0a26bfd76d</t>
  </si>
  <si>
    <t>Name</t>
  </si>
  <si>
    <t>Category</t>
  </si>
  <si>
    <t>B:Mining and quarrying/07:Mining of metal ores/072:Mining of non-ferrous metal ores/0729:Mining of other non-ferrous metal ores</t>
  </si>
  <si>
    <t>Is reference?</t>
  </si>
  <si>
    <t>Flow</t>
  </si>
  <si>
    <t>Amount</t>
  </si>
  <si>
    <t>Unit</t>
  </si>
  <si>
    <t>Costs/Revenues</t>
  </si>
  <si>
    <t>Currency</t>
  </si>
  <si>
    <t>Uncertainty</t>
  </si>
  <si>
    <t>(G)Mean | Mode</t>
  </si>
  <si>
    <t>SD | GSD</t>
  </si>
  <si>
    <t>Minimum</t>
  </si>
  <si>
    <t>Maximum</t>
  </si>
  <si>
    <t>Is avoided?</t>
  </si>
  <si>
    <t>Provider</t>
  </si>
  <si>
    <t>Data quality entry</t>
  </si>
  <si>
    <t>Location</t>
  </si>
  <si>
    <t>Description</t>
  </si>
  <si>
    <t>Aluminium, in ground</t>
  </si>
  <si>
    <t>Elementary flows/Resource/in ground</t>
  </si>
  <si>
    <t>log-normal</t>
  </si>
  <si>
    <t>(2;2;3;1;1)</t>
  </si>
  <si>
    <t>Represents the amount of aluminium extracted per 1 kg wet bauxite.</t>
  </si>
  <si>
    <t>blasting</t>
  </si>
  <si>
    <t>F:Construction/43:Specialized construction activities/431:Demolition and site preparation/4312:Site preparation</t>
  </si>
  <si>
    <t>market for blasting | blasting | APOS, U</t>
  </si>
  <si>
    <t>(1;2;5;1;1)</t>
  </si>
  <si>
    <t>EcoSpold01Location=RER</t>
  </si>
  <si>
    <t>electricity, medium voltage</t>
  </si>
  <si>
    <t>D:Electricity, gas, steam and air conditioning supply/35:Electricity, gas, steam and air conditioning supply/351:Electric power generation, transmission and distribution/3510:Electric power generation, transmission and distribution</t>
  </si>
  <si>
    <t>kWh</t>
  </si>
  <si>
    <t>market group for electricity, medium voltage | electricity, medium voltage | APOS, U</t>
  </si>
  <si>
    <t>EcoSpold01Location=UCTE</t>
  </si>
  <si>
    <t>Gallium, in ground</t>
  </si>
  <si>
    <t>Represents the amount of gallium extracted per 1 kg wet bauxite</t>
  </si>
  <si>
    <t>Gangue, bauxite, in ground</t>
  </si>
  <si>
    <t>Gangue material extracted during bauxite extraction.  Represents total ore extracted minus aluminium and gallium content of the ore, considered the two valuable resources contained in the ore.</t>
  </si>
  <si>
    <t>heat, district or industrial, other than natural gas</t>
  </si>
  <si>
    <t>D:Electricity, gas, steam and air conditioning supply/35:Electricity, gas, steam and air conditioning supply/353:Steam and air conditioning supply/3530:Steam and air conditioning supply</t>
  </si>
  <si>
    <t>MJ</t>
  </si>
  <si>
    <t>heat production, heavy fuel oil, at industrial furnace 1MW | heat, district or industrial, other than natural gas | APOS, U</t>
  </si>
  <si>
    <t>(2;4;3;1;1)</t>
  </si>
  <si>
    <t>Heavy fuel oil combustion.  Response rate = 100% of surveyed sites.</t>
  </si>
  <si>
    <t>heat production, light fuel oil, at industrial furnace 1MW | heat, district or industrial, other than natural gas | APOS, U</t>
  </si>
  <si>
    <t>(2;3;3;1;1)</t>
  </si>
  <si>
    <t>Diesel combustion. Response rate = 100% of surveyed sites.</t>
  </si>
  <si>
    <t>mine infrastructure, bauxite</t>
  </si>
  <si>
    <t>F:Construction/42:Civil engineering/429:Construction of other civil engineering projects/4290:Construction of other civil engineering projects</t>
  </si>
  <si>
    <t>Item(s)</t>
  </si>
  <si>
    <t>market for mine infrastructure, bauxite | mine infrastructure, bauxite | APOS, U</t>
  </si>
  <si>
    <t>(4;1;5;4;1)</t>
  </si>
  <si>
    <t>Not reported by IAI</t>
  </si>
  <si>
    <t>Occupation, mineral extraction site</t>
  </si>
  <si>
    <t>Elementary flows/Resource/land</t>
  </si>
  <si>
    <t>m2*a</t>
  </si>
  <si>
    <t>Average occupation time of 1m2. Reported as "Regenration Period" in IAI 2015 Survey.  Response rate = 88% of surveyed sites.</t>
  </si>
  <si>
    <t>recultivation, bauxite mine</t>
  </si>
  <si>
    <t>E:Water supply; sewerage, waste management and remediation activities/39:Remediation activities and other waste management services/390:Remediation activities and other waste management services/3900:Remediation activities and other waste management services</t>
  </si>
  <si>
    <t>m2</t>
  </si>
  <si>
    <t>market for recultivation, bauxite mine | recultivation, bauxite mine | APOS, U</t>
  </si>
  <si>
    <t>Area rehabilitaed in 2015</t>
  </si>
  <si>
    <t>Transformation, from annual crop</t>
  </si>
  <si>
    <t>Not reported in IAI 2015.</t>
  </si>
  <si>
    <t>Transformation, from cropland fallow (non-use)</t>
  </si>
  <si>
    <t>Transformation, from forest, extensive</t>
  </si>
  <si>
    <t>Transformation, from forest, unspecified</t>
  </si>
  <si>
    <t>(1;3;5;1;2)</t>
  </si>
  <si>
    <t>Reported as "Land occupation" in IAI 2015 Survey.  Response rate = 88% of surveyed sites.</t>
  </si>
  <si>
    <t>Transformation, to mineral extraction site</t>
  </si>
  <si>
    <t>Not reported in IAI 2010.</t>
  </si>
  <si>
    <t>Water, unspecified natural origin, GLO</t>
  </si>
  <si>
    <t>Elementary flows/Resource/in water</t>
  </si>
  <si>
    <t>m3</t>
  </si>
  <si>
    <t>(1;3;3;1;1)</t>
  </si>
  <si>
    <t>Total fresh water input.No further breakdown into specific types of water is possible. Response rate = 87% of surveyed sites. IAI 2015 Survey.</t>
  </si>
  <si>
    <t>INPUT</t>
  </si>
  <si>
    <t>OUTPUT</t>
  </si>
  <si>
    <t>x</t>
  </si>
  <si>
    <t>bauxite</t>
  </si>
  <si>
    <t>Euro</t>
  </si>
  <si>
    <t>12% average water content of bauxite, wet mass basis, specified by IAI.</t>
  </si>
  <si>
    <t>inert waste</t>
  </si>
  <si>
    <t>C:Manufacturing/23:Manufacture of other non-metallic mineral products/239:Manufacture of non-metallic mineral products n.e.c./2394:Manufacture of cement, lime and plaster</t>
  </si>
  <si>
    <t>market for inert waste | inert waste | APOS, U</t>
  </si>
  <si>
    <t>Reported as "Solid Industrial Waste Disposal" in IAI 2015 Survey.  Response rate = 86% of surveyed sites.</t>
  </si>
  <si>
    <t>Particulates, &lt; 2.5 um</t>
  </si>
  <si>
    <t>Elementary flows/Emission to air/unspecified</t>
  </si>
  <si>
    <t>IAI data (2015) provided total PM which were split in the three diameter classes as per CEPMEIP Database.  See formula and comments for individual parameters for additional information.  Response rate = 98% of surveyed sites.</t>
  </si>
  <si>
    <t>Particulates, &gt; 10 um</t>
  </si>
  <si>
    <t>Particulates, &gt; 2.5 um, and &lt; 10um</t>
  </si>
  <si>
    <t>Elementary flows/Emission to air/low population density</t>
  </si>
  <si>
    <t>Fresh water consumption reported in IAI survey</t>
  </si>
  <si>
    <t>Water, GLO</t>
  </si>
  <si>
    <t>Elementary flows/Emission to water/surface water</t>
  </si>
  <si>
    <t>Response rate = 81% of surveyed sites.</t>
  </si>
  <si>
    <t>pitch production, petroleum refinery operation | pitch | APOS, U</t>
  </si>
  <si>
    <t>C:Manufacturing/19:Manufacture of coke and refined petroleum products/192:Manufacture of refined petroleum products/1920:Manufacture of refined petroleum products</t>
  </si>
  <si>
    <t>INPUTS</t>
  </si>
  <si>
    <t>aluminium oxide, non-metallurgical</t>
  </si>
  <si>
    <t>C:Manufacturing/24:Manufacture of basic metals/242:Manufacture of basic precious and other non-ferrous metals/2420:Manufacture of basic precious and other non-ferrous metals</t>
  </si>
  <si>
    <t>market for aluminium oxide, non-metallurgical | aluminium oxide, non-metallurgical | APOS, U</t>
  </si>
  <si>
    <t>cobalt</t>
  </si>
  <si>
    <t>E:Water supply; sewerage, waste management and remediation activities/38:Waste collection, treatment and disposal activities; materials recovery/383:Materials recovery/3830:Materials recovery</t>
  </si>
  <si>
    <t>market for cobalt | cobalt | APOS, U</t>
  </si>
  <si>
    <t>hydrochloric acid, without water, in 30% solution state</t>
  </si>
  <si>
    <t>C:Manufacturing/20:Manufacture of chemicals and chemical products/201:Manufacture of basic chemicals, fertilizers and nitrogen compounds, plastics/2011:Manufacture of basic chemicals</t>
  </si>
  <si>
    <t>market for hydrochloric acid, without water, in 30% solution state | hydrochloric acid, without water, in 30% solution state | APOS, U</t>
  </si>
  <si>
    <t>kaolin</t>
  </si>
  <si>
    <t>B:Mining and quarrying/08:Other mining and quarrying/081:Quarrying of stone, sand and clay/0810:Quarrying of stone, sand and clay</t>
  </si>
  <si>
    <t>market for kaolin | kaolin | APOS, U</t>
  </si>
  <si>
    <t>lanthanum oxide</t>
  </si>
  <si>
    <t>market for lanthanum oxide | lanthanum oxide | APOS, U</t>
  </si>
  <si>
    <t>lime, hydrated, packed</t>
  </si>
  <si>
    <t>market for lime, hydrated, packed | lime, hydrated, packed | APOS, U</t>
  </si>
  <si>
    <t>molybdenum trioxide</t>
  </si>
  <si>
    <t>market for molybdenum trioxide | molybdenum trioxide | APOS, U</t>
  </si>
  <si>
    <t>natural gas, high pressure</t>
  </si>
  <si>
    <t>H:Transportation and storage/49:Land transport and transport via pipelines/493:Transport via pipeline/4930:Transport via pipeline</t>
  </si>
  <si>
    <t>market group for natural gas, high pressure | natural gas, high pressure | APOS, U</t>
  </si>
  <si>
    <t>market for natural gas, high pressure | natural gas, high pressure | APOS, U</t>
  </si>
  <si>
    <t>nickel, class 1</t>
  </si>
  <si>
    <t>market for nickel, class 1 | nickel, class 1 | APOS, U</t>
  </si>
  <si>
    <t>petroleum</t>
  </si>
  <si>
    <t>B:Mining and quarrying/06:Extraction of crude petroleum and natural gas/061:Extraction of crude petroleum/0610:Extraction of crude petroleum</t>
  </si>
  <si>
    <t>market for petroleum | petroleum | APOS, U</t>
  </si>
  <si>
    <t>petroleum refinery</t>
  </si>
  <si>
    <t>market for petroleum refinery | petroleum refinery | APOS, U</t>
  </si>
  <si>
    <t>activityLink introduced to establish a direct link to the corresponding regional supply of this product</t>
  </si>
  <si>
    <t>platinum</t>
  </si>
  <si>
    <t>market for platinum | platinum | APOS, U</t>
  </si>
  <si>
    <t>quicklime, milled, packed</t>
  </si>
  <si>
    <t>market for quicklime, milled, packed | quicklime, milled, packed | APOS, U</t>
  </si>
  <si>
    <t>silicone product</t>
  </si>
  <si>
    <t>C:Manufacturing/20:Manufacture of chemicals and chemical products/201:Manufacture of basic chemicals, fertilizers and nitrogen compounds, plastics/2013:Manufacture of plastics and synthetic rubber in primary forms</t>
  </si>
  <si>
    <t>market for silicone product | silicone product | APOS, U</t>
  </si>
  <si>
    <t>sodium hydroxide, without water, in 50% solution state</t>
  </si>
  <si>
    <t>market for sodium hydroxide, without water, in 50% solution state | sodium hydroxide, without water, in 50% solution state | APOS, U</t>
  </si>
  <si>
    <t>Water, cooling, unspecified natural origin, RoW</t>
  </si>
  <si>
    <t>Water, unspecified natural origin, RoW</t>
  </si>
  <si>
    <t>zeolite, powder</t>
  </si>
  <si>
    <t>C:Manufacturing/20:Manufacture of chemicals and chemical products/202:Manufacture of other chemical products/2023:Manufacture of soap and detergents, cleaning and polishing preparations, pe</t>
  </si>
  <si>
    <t>market for zeolite, powder | zeolite, powder | APOS, U</t>
  </si>
  <si>
    <t>OUTPUTS</t>
  </si>
  <si>
    <t>Aluminium</t>
  </si>
  <si>
    <t>Elementary flows/Emission to water/unspecified</t>
  </si>
  <si>
    <t>Ammonium, ion</t>
  </si>
  <si>
    <t>Antimony</t>
  </si>
  <si>
    <t>AOX, Adsorbable Organic Halogen as Cl</t>
  </si>
  <si>
    <t>Arsenic</t>
  </si>
  <si>
    <t>Arsenic, ion</t>
  </si>
  <si>
    <t>Barium</t>
  </si>
  <si>
    <t>Benzene</t>
  </si>
  <si>
    <t>Benzo(a)pyrene</t>
  </si>
  <si>
    <t>Beryllium</t>
  </si>
  <si>
    <t>BOD5, Biological Oxygen Demand</t>
  </si>
  <si>
    <t>Boron</t>
  </si>
  <si>
    <t>Cadmium</t>
  </si>
  <si>
    <t>Cadmium, ion</t>
  </si>
  <si>
    <t>Carbon dioxide, fossil</t>
  </si>
  <si>
    <t>Carbon dioxide, non-fossil</t>
  </si>
  <si>
    <t>Carbon monoxide, fossil</t>
  </si>
  <si>
    <t>Chloride</t>
  </si>
  <si>
    <t>Chromium</t>
  </si>
  <si>
    <t>Chromium VI</t>
  </si>
  <si>
    <t>Chromium, ion</t>
  </si>
  <si>
    <t>Cobalt</t>
  </si>
  <si>
    <t>COD, Chemical Oxygen Demand</t>
  </si>
  <si>
    <t>Copper</t>
  </si>
  <si>
    <t>Copper, ion</t>
  </si>
  <si>
    <t>Cyanide</t>
  </si>
  <si>
    <t>Dinitrogen monoxide</t>
  </si>
  <si>
    <t>Dioxins, measured as 2,3,7,8-tetrachlorodibenzo-p-dioxin</t>
  </si>
  <si>
    <t>DOC, Dissolved Organic Carbon</t>
  </si>
  <si>
    <t>Fluoride</t>
  </si>
  <si>
    <t>Formaldehyde</t>
  </si>
  <si>
    <t>hazardous waste, for incineration</t>
  </si>
  <si>
    <t>E:Water supply; sewerage, waste management and remediation activities/38:Waste collection, treatment and disposal activities; materials recovery/382:Waste treatment and disposal/3822:Treatment and disposal of hazardous waste</t>
  </si>
  <si>
    <t>market for hazardous waste, for incineration | hazardous waste, for incineration | APOS, U</t>
  </si>
  <si>
    <t>hazardous waste, for underground deposit</t>
  </si>
  <si>
    <t>market for hazardous waste, for underground deposit | hazardous waste, for underground deposit | APOS, U</t>
  </si>
  <si>
    <t>Heat, waste</t>
  </si>
  <si>
    <t>Hydrocarbons, unspecified</t>
  </si>
  <si>
    <t>Hydrogen sulfide</t>
  </si>
  <si>
    <t>Iron, ion</t>
  </si>
  <si>
    <t>Lead</t>
  </si>
  <si>
    <t>Manganese</t>
  </si>
  <si>
    <t>Mercury</t>
  </si>
  <si>
    <t>Methane, fossil</t>
  </si>
  <si>
    <t>Molybdenum</t>
  </si>
  <si>
    <t>Nickel</t>
  </si>
  <si>
    <t>Nickel, ion</t>
  </si>
  <si>
    <t>Nitrate</t>
  </si>
  <si>
    <t>Nitrite</t>
  </si>
  <si>
    <t>Nitrogen oxides</t>
  </si>
  <si>
    <t>NMVOC, non-methane volatile organic compounds, unspecified origin</t>
  </si>
  <si>
    <t>PAH, polycyclic aromatic hydrocarbons</t>
  </si>
  <si>
    <t>Palladium</t>
  </si>
  <si>
    <t>Phenol</t>
  </si>
  <si>
    <t>Phosphorus</t>
  </si>
  <si>
    <t>pitch</t>
  </si>
  <si>
    <t>Platinum</t>
  </si>
  <si>
    <t>refinery sludge</t>
  </si>
  <si>
    <t>market for refinery sludge | refinery sludge | APOS, U</t>
  </si>
  <si>
    <t>Rhodium</t>
  </si>
  <si>
    <t>Selenium</t>
  </si>
  <si>
    <t>Sodium, ion</t>
  </si>
  <si>
    <t>Sulfate</t>
  </si>
  <si>
    <t>Sulfide</t>
  </si>
  <si>
    <t>Sulfur dioxide</t>
  </si>
  <si>
    <t>Suspended solids, unspecified</t>
  </si>
  <si>
    <t>t-Butyl methyl ether</t>
  </si>
  <si>
    <t>Tellurium</t>
  </si>
  <si>
    <t>Thallium</t>
  </si>
  <si>
    <t>Tin</t>
  </si>
  <si>
    <t>Tin, ion</t>
  </si>
  <si>
    <t>TOC, Total Organic Carbon</t>
  </si>
  <si>
    <t>Vanadium</t>
  </si>
  <si>
    <t>Vanadium, ion</t>
  </si>
  <si>
    <t>waste gypsum</t>
  </si>
  <si>
    <t>E:Water supply; sewerage, waste management and remediation activities/38:Waste collection, treatment and disposal activities; materials recovery/382:Waste treatment and disposal/3821:Treatment and disposal of non-hazardous waste</t>
  </si>
  <si>
    <t>market for waste gypsum | waste gypsum | APOS, U</t>
  </si>
  <si>
    <t>Water, RoW</t>
  </si>
  <si>
    <t>Xylene</t>
  </si>
  <si>
    <t>Zinc</t>
  </si>
  <si>
    <t>Zinc, ion</t>
  </si>
  <si>
    <t>7d6a29df-2d36-3b9c-9354-cbf00d82ecea</t>
  </si>
  <si>
    <t>coking | coke | APOS, U</t>
  </si>
  <si>
    <t>C:Manufacturing/19:Manufacture of coke and refined petroleum products/191:Manufacture of coke oven products/1910:Manufacture of coke oven products</t>
  </si>
  <si>
    <t>The multioutput-prozess "hard coal, in coke plant" delivers the coproducts "coke oven gas, at plant", "tar, at coke plant", and "benzene, at coke plant". 79.8% of the total energy and material input as well as emission from the coke plant are allocated to coke production, 15% to coke oven gas production, 4.1% to tar production, and 1.1% to benzene production. This allocation has been performed considering the energy content of the coke compared to all other byproducts. Due to lack of information, the allocation factors are the same as for Germany. Hypothesizing that coke production worldwide is mostly based on the byproduct process, this is described here. Emission data are maximum for US plants. Energy and material consumption as well as water emission and solid waste are taken from the DE module.  The assumed uncertainty factors should somewhat frame the incomplete information about coke making outside Europe and USA. This module shall be considered only as a first approximation for the purpose to serve metal manufacturing processes within ecoinvent. In some countries coke making might exhibit worse environmental performance. Hence, when country-specific LCA studies will need to address coke making directly or indirectly, a specific assessment of local conditions should be pursued.;[This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The reference process has been assumed to be the byproduct coke production, used in almost all US coke plants in 1998. The coke making has been considered as a black box. The energy necessary for the process is assumed to be provided by part of the input coal and by some electricity. The module includes chemicals used for operation and the associated transport requirements. The transport of coal are considered to be negligible, because the plant is assumed to be mine-mouth. The module also includes the total emissions to air and water from the entire plant. Coke oven gas, tar, and benzene are byproducts of coking. Dataset documentation https://v38.ecoquery.ecoinvent.org/Details/PDF/448B97A1-4E4A-4A88-9E2E-1586A765FB81/06590A66-662A-4885-8494-AD0CF410F956</t>
  </si>
  <si>
    <t>market for electricity, medium voltage | electricity, medium voltage | APOS, U</t>
  </si>
  <si>
    <t>(1;1;5;1;1)</t>
  </si>
  <si>
    <t>hard coal</t>
  </si>
  <si>
    <t>B:Mining and quarrying/05:Mining of coal and lignite/051:Mining of hard coal/0510:Mining of hard coal</t>
  </si>
  <si>
    <t>market for hard coal | hard coal | APOS, U</t>
  </si>
  <si>
    <t>standard for ressources</t>
  </si>
  <si>
    <t>hard coal coke factory</t>
  </si>
  <si>
    <t>market for hard coal coke factory | hard coal coke factory | APOS, U</t>
  </si>
  <si>
    <t>own assumption</t>
  </si>
  <si>
    <t>iron sulfate</t>
  </si>
  <si>
    <t>market for iron sulfate | iron sulfate | APOS, U</t>
  </si>
  <si>
    <t>phosphoric acid, fertiliser grade, without water, in 70% solution state</t>
  </si>
  <si>
    <t>C:Manufacturing/20:Manufacture of chemicals and chemical products/201:Manufacture of basic chemicals, fertilizers and nitrogen compounds, plastics/2012:Manufacture of fertilizers and nitrogen compounds</t>
  </si>
  <si>
    <t>market for phosphoric acid, fertiliser grade, without water, in 70% solution state | phosphoric acid, fertiliser grade, without water, in 70% solution state | APOS, U</t>
  </si>
  <si>
    <t>EcoSpold01Location=GLO</t>
  </si>
  <si>
    <t>water, decarbonised</t>
  </si>
  <si>
    <t>E:Water supply; sewerage, waste management and remediation activities/36:Water collection, treatment and supply/360:Water collection, treatment and supply/3600:Water collection, treatment and supply</t>
  </si>
  <si>
    <t>market for water, decarbonised | water, decarbonised | APOS, U</t>
  </si>
  <si>
    <t>Acetone</t>
  </si>
  <si>
    <t>Acrolein</t>
  </si>
  <si>
    <t>Carbon disulfide</t>
  </si>
  <si>
    <t>coal gas</t>
  </si>
  <si>
    <t>market for coal gas | coal gas | APOS, U</t>
  </si>
  <si>
    <t>coal tar</t>
  </si>
  <si>
    <t>C:Manufacturing/24:Manufacture of basic metals/241:Manufacture of basic iron and steel/2410:Manufacture of basic iron and steel</t>
  </si>
  <si>
    <t>market for coal tar | coal tar | APOS, U</t>
  </si>
  <si>
    <t>coke</t>
  </si>
  <si>
    <t>Ethane</t>
  </si>
  <si>
    <t>Ethanol</t>
  </si>
  <si>
    <t>Methane, chlorodifluoro-, HCFC-22</t>
  </si>
  <si>
    <t>Methanol</t>
  </si>
  <si>
    <t>Phenol, pentachloro-</t>
  </si>
  <si>
    <t>Propane</t>
  </si>
  <si>
    <t>Silver</t>
  </si>
  <si>
    <t>Solids, inorganic</t>
  </si>
  <si>
    <t>Styrene</t>
  </si>
  <si>
    <t>Toluene</t>
  </si>
  <si>
    <t>(2;2;5;1;1)</t>
  </si>
  <si>
    <t>Calculated value based on literature values and expert opinion. See comments in the parametres' comment field.</t>
  </si>
  <si>
    <t>69ccf4fb-662e-3e7e-8247-0aa9d2c12d09</t>
  </si>
  <si>
    <t>phosphoric acid production, dihydrate process | fluosilicic acid, without water, in 22% solution state | APOS, U</t>
  </si>
  <si>
    <t>The process describes the production of phosphoric acid from phosphate rock with the dyhydrate process in Morocco. As products of the multi output process fertiliser grade phosphoric acid (impure with 51% P2O5) and dilute fluosilic acid (22% in H2O) was considered. Raw materials, processing chemicals and processing energy, direct emissions to air from process, emissions to air and water from phosphogypsum disposal, emission of radioactive substances from gypsum to air and water, transport of raw materials to the plant, estimation for process infrastructure. The process includes data on emissions from phosphogypsum disposal to the ocean. Dataset documentation https://v38.ecoquery.ecoinvent.org/Details/PDF/9CB84A22-B8AC-47AB-AC82-4DDC1AB2DC76/06590A66-662A-4885-8494-AD0CF410F956</t>
  </si>
  <si>
    <t>electricity, low voltage</t>
  </si>
  <si>
    <t>market group for electricity, low voltage | electricity, low voltage | APOS, U</t>
  </si>
  <si>
    <t>(2;2;5;5;1)</t>
  </si>
  <si>
    <t>This flow is weighted averages using  the exchanges in the corresponding regional data.</t>
  </si>
  <si>
    <t>market for electricity, low voltage | electricity, low voltage | APOS, U</t>
  </si>
  <si>
    <t>(2;1;3;5;4)</t>
  </si>
  <si>
    <t>heat, district or industrial, natural gas</t>
  </si>
  <si>
    <t>market for heat, district or industrial, natural gas | heat, district or industrial, natural gas | APOS, U</t>
  </si>
  <si>
    <t>(3;2;5;5;3)</t>
  </si>
  <si>
    <t>market for heat, district or industrial, other than natural gas | heat, district or industrial, other than natural gas | APOS, U</t>
  </si>
  <si>
    <t>Occupation, construction site</t>
  </si>
  <si>
    <t>Occupation, industrial area</t>
  </si>
  <si>
    <t>(2;5;5;5;5)</t>
  </si>
  <si>
    <t>phosphate rock, beneficiated</t>
  </si>
  <si>
    <t>B:Mining and quarrying/08:Other mining and quarrying/089:Mining and quarrying n.e.c./0891:Mining of chemical and fertilizer minerals</t>
  </si>
  <si>
    <t>market for phosphate rock, beneficiated | phosphate rock, beneficiated | APOS, U</t>
  </si>
  <si>
    <t>(2;3;5;5;1)</t>
  </si>
  <si>
    <t>phosphoric acid factory, fertiliser grade</t>
  </si>
  <si>
    <t>F:Construction/41:Construction of buildings/410:Construction of buildings/4100:Construction of buildings</t>
  </si>
  <si>
    <t>market for phosphoric acid factory, fertiliser grade | phosphoric acid factory, fertiliser grade | APOS, U</t>
  </si>
  <si>
    <t>(4;5;5;5;4)</t>
  </si>
  <si>
    <t>quicklime, milled, loose</t>
  </si>
  <si>
    <t>market for quicklime, milled, loose | quicklime, milled, loose | APOS, U</t>
  </si>
  <si>
    <t>(2;3;5;5;3)</t>
  </si>
  <si>
    <t>steam, in chemical industry</t>
  </si>
  <si>
    <t>market for steam, in chemical industry | steam, in chemical industry | APOS, U</t>
  </si>
  <si>
    <t>sulfuric acid</t>
  </si>
  <si>
    <t>market for sulfuric acid | sulfuric acid | APOS, U</t>
  </si>
  <si>
    <t>(2;4;5;5;3)</t>
  </si>
  <si>
    <t>tap water</t>
  </si>
  <si>
    <t>market for tap water | tap water | APOS, U</t>
  </si>
  <si>
    <t>Transformation, from industrial area</t>
  </si>
  <si>
    <t>(2;5;5;5;4)</t>
  </si>
  <si>
    <t>Transformation, from pasture, man made</t>
  </si>
  <si>
    <t>(4;5;5;5;5)</t>
  </si>
  <si>
    <t>Transformation, from unspecified</t>
  </si>
  <si>
    <t>Transformation, to industrial area</t>
  </si>
  <si>
    <t>Transformation, to pasture, man made</t>
  </si>
  <si>
    <t>Transformation, to unspecified</t>
  </si>
  <si>
    <t>Water, river, RoW</t>
  </si>
  <si>
    <t>Water, well, in ground</t>
  </si>
  <si>
    <t>(3;3;5;5;1)</t>
  </si>
  <si>
    <t>Elementary flows/Emission to water/ground water</t>
  </si>
  <si>
    <t>(3;4;5;5;1)</t>
  </si>
  <si>
    <t>Elementary flows/Emission to water/ocean</t>
  </si>
  <si>
    <t>Calcium, ion</t>
  </si>
  <si>
    <t>(3;3;5;5;3)</t>
  </si>
  <si>
    <t>Fluorine</t>
  </si>
  <si>
    <t>Elementary flows/Emission to air/high population density</t>
  </si>
  <si>
    <t>fluosilicic acid, without water, in 22% solution state</t>
  </si>
  <si>
    <t>Lead-210</t>
  </si>
  <si>
    <t>kBq</t>
  </si>
  <si>
    <t>(3;4;5;5;5)</t>
  </si>
  <si>
    <t>Phosphate</t>
  </si>
  <si>
    <t>Polonium-210</t>
  </si>
  <si>
    <t>Potassium-40</t>
  </si>
  <si>
    <t>Radium-226</t>
  </si>
  <si>
    <t>Radon-222</t>
  </si>
  <si>
    <t>Silicon tetrafluoride</t>
  </si>
  <si>
    <t>Thorium-228</t>
  </si>
  <si>
    <t>Uranium-238</t>
  </si>
  <si>
    <t>175728c6-4c6f-474d-82d4-9b4fda11b2f3</t>
  </si>
  <si>
    <t>hydrogen fluoride production | hydrogen fluoride | APOS, U</t>
  </si>
  <si>
    <t>This dataset represents the production of 1 kg of hydrogen fluoride from fluorspar and sulfuric acid. Hydrogen fluoride is a colourless gas or colourless fuming liquid with a pungent odour. It is used in the production of aluminum and chlorofluorocarbons, and in the glass etching and chemical industries. The energy and material inputs are estimated based on literature values and expert judgement. The infrastructure is approximated with a default value.;References:;Aigueperse, J., Mollard, P., Devilliers, D., Chemla, M., Faron, R., Romano, R. and Cuer, J. P. 2000. Fluorine Compounds, Inorganic. Ullmann's Encyclopedia of Industrial Chemistry.;National Center for Biotechnology Information. PubChem Compound Database; CID=14917, https://pubchem.ncbi.nlm.nih.gov/compound/14917 (last accessed on 2017-01-04).;Krieger T. and Roekens-Guibert H. (2006) Environmental impacts of Tedlar (R) PVF film for use in photovoltaic modules. In proceedings from: 21th European Photovoltaic Solar Energy Conference, Dresden, DE, 4-8.9.2006, retrieved from: http://www2.dupont.com/Photovoltaics/en_US/news_events/event20060904.html. From reception of sulfuric acid and fluorspar at the factory gate. This activity ends with the production of 1 kg of hydrogen fluoride. The dataset doesn't include waste or emissions apart from sulfur dioxide. Dataset documentation https://v38.ecoquery.ecoinvent.org/Details/PDF/D81191AB-2984-4882-A23E-22D915A35351/06590A66-662A-4885-8494-AD0CF410F956</t>
  </si>
  <si>
    <t>chemical factory, organics</t>
  </si>
  <si>
    <t>market for chemical factory, organics | chemical factory, organics | APOS, U</t>
  </si>
  <si>
    <t>(2;3;2;4;3)</t>
  </si>
  <si>
    <t>Calculated based on literature data published by the industry. For this activity, no information was readily available concerning infrastructure and land-use. Therefore, the infrastructure is estimated based on data from two chemical factories, the BASF site of Ludwigshafen and the chemical factory in Gendorf (which are both located in Germany), which produce a wide range of chemical substances. Based on this data, the following assumptions are made: the built area amounts to about 4.2 ha, the plant has an average output of 50'000 t/a and a lifespan of fifty years. The estimated infrastructure amount is therefore 4.00 E-10 units per kg of produced chemical.
References:
Althaus H.-J., Chudacoff M., Hischier R., Jungbluth N., Osses M. and Primas A. (2007) Life Cycle Inventories of Chemicals. ecoinvent report No. 8, v2.0. EMPA Dübendorf, Swiss Centre for Life Cycle Inventories, Dübendorf, CH.
Gendorf (2000) Umwelterklärung 2000, Werk Gendorf. Werk Gendorf, Burgkirchen.</t>
  </si>
  <si>
    <t>Estimated value based on expert judgement.</t>
  </si>
  <si>
    <t>fluorspar, 97% purity</t>
  </si>
  <si>
    <t>market for fluorspar, 97% purity | fluorspar, 97% purity | APOS, U</t>
  </si>
  <si>
    <t>(2;3;2;2;1)</t>
  </si>
  <si>
    <t>Literature value (Krieger and Roekens-Guibert 2006).</t>
  </si>
  <si>
    <t>hydrogen fluoride</t>
  </si>
  <si>
    <t>Hydrogen fluoride is a colourless gas or colourless fuming liquid with a pungent odour. It is used in the production of aluminum and chlorofluorocarbons, and in the glass etching and chemical industries.
References:
Aigueperse, J., Mollard, P., Devilliers, D., Chemla, M., Faron, R., Romano, R. and Cuer, J. P. 2000. Fluorine Compounds, Inorganic. Ullmann's Encyclopedia of Industrial Chemistry.
National Center for Biotechnology Information. PubChem Compound Database; CID=14917, https://pubchem.ncbi.nlm.nih.gov/compound/14917 (last accessed on 2017-01-04).
Krieger T. and Roekens-Guibert H. (2006) Environmental impacts of Tedlar (R) PVF film for use in photovoltaic modules. In proceedings from: 21th European Photovoltaic Solar Energy Conference, Dresden, DE, 4-8.9.2006, retrieved from: http://www2.dupont.com/Photovoltaics/en_US/news_events/event20060904.html.</t>
  </si>
  <si>
    <t>(3;3;5;3;1)</t>
  </si>
  <si>
    <t>Estimated value based on literature.</t>
  </si>
  <si>
    <t>2c146313-33e9-3c81-947b-3f87219eb5d7</t>
  </si>
  <si>
    <t>chlor-alkali electrolysis, membrane cell | sodium hydroxide, without water, in 50% solution state | APOS, U</t>
  </si>
  <si>
    <t>This dataset represents the production of chlorine and sodium hydroxide (NaOH) by means of chlor-alkali electrolysis using a membrane cell. The chlor-alkali process is the main technology for the production of chlorine and sodium hydroxide. In this process, chlorine and sodium hydroxide are produced by electrolysis of a salt solution using either a mercury cell, diaphragm cell or membrane cell. ;Chlorine is largely used in the synthesis of chlorinated organic compounds. PVC and isocyanates are the main drivers of chlor-alkali production in the EU-27 and EFTA countries (Euro Chlor 2013). These products are used in a wide range of applications, such as construction materials, plastics, clothing and pesticides.;Sodium hydroxide is a white odorless pellet or solid that is very soluble. Sodium hydroxide is used for the synthesis of other chemicals, and is used in the metal industry, the pulp and paper sector, the textile industry and in other various sectors.;This dataset is mainly based on a document concerning the best available techniques in the chlor-alkali manufacturing industry (European Commission 2001).;References:;Althaus H.-J., Chudacoff M., Hischier R., Jungbluth N., Osses M. and Primas A. (2007) Life Cycle Inventories of Chemicals. Final report ecoinvent data v2.0 No. 8. Swiss Centre for Life Cycle Inventories, Dübendorf, CH.;European Commission (2001) Integrated Pollution Prevention and Control (IPPC) - Reference Document on Best Available Techniques in the Chlor-Alkali Manufacturing Industry. Institute for Prospective Technological Studies, Sevilla.;Euro Chlor (2013) An Eco-profile and Environmental Product Declaration of the European Chlor-Alkali Industry, Chlorine (The chlor-alkali process). The activity starts when the raw materials enter the process. This activity ends with the production of gaseous chlorine and sodium hydroxide. Besides the electrolysis process in a membrane cell, the following process steps are included in this activity: brine production, brine purification, brine resaturation as well as the final handling of the electrolysis products, without the chlorine liquefaction. Dataset documentation https://v38.ecoquery.ecoinvent.org/Details/PDF/4F95F6B0-7F2C-4FA1-87F2-51D5DE7B5D23/06590A66-662A-4885-8494-AD0CF410F956</t>
  </si>
  <si>
    <t>barite</t>
  </si>
  <si>
    <t>market for barite | barite | APOS, U</t>
  </si>
  <si>
    <t>(1;3;5;5;1)</t>
  </si>
  <si>
    <t>EC IPPC study 2002</t>
  </si>
  <si>
    <t>calcium chloride</t>
  </si>
  <si>
    <t>market for calcium chloride | calcium chloride | APOS, U</t>
  </si>
  <si>
    <t>carbon tetrachloride</t>
  </si>
  <si>
    <t>market for carbon tetrachloride | carbon tetrachloride | APOS, U</t>
  </si>
  <si>
    <t>(2;3;5;4;3)</t>
  </si>
  <si>
    <t>soda ash, light, crystalline, heptahydrate</t>
  </si>
  <si>
    <t>market for soda ash, light, crystalline, heptahydrate | soda ash, light, crystalline, heptahydrate | APOS, U</t>
  </si>
  <si>
    <t>sodium chloride, powder</t>
  </si>
  <si>
    <t>market for sodium chloride, powder | sodium chloride, powder | APOS, U</t>
  </si>
  <si>
    <t>sulfite</t>
  </si>
  <si>
    <t>market for sulfite | sulfite | APOS, U</t>
  </si>
  <si>
    <t>Data from survey in literature (Ayres 1997)</t>
  </si>
  <si>
    <t>estimate based on literature source</t>
  </si>
  <si>
    <t>Calculated value. The BOD, COD, TOC and BOD5 are calculated based on the amount and type of emissions released to water in the same activity.</t>
  </si>
  <si>
    <t>Bromate</t>
  </si>
  <si>
    <t>Chlorate</t>
  </si>
  <si>
    <t>Chlorinated solvents, unspecified</t>
  </si>
  <si>
    <t>Hydrogen</t>
  </si>
  <si>
    <t>Methane, tetrachloro-, R-10</t>
  </si>
  <si>
    <t>sludge, NaCl electrolysis</t>
  </si>
  <si>
    <t>market for sludge, NaCl electrolysis | sludge, NaCl electrolysis | APOS, U</t>
  </si>
  <si>
    <t>waste graphical paper</t>
  </si>
  <si>
    <t>market for waste graphical paper | waste graphical paper | APOS, U</t>
  </si>
  <si>
    <t>Calculated as a fraction of the input of water. For more details, refer to the mathematical relation and the parameters.</t>
  </si>
  <si>
    <t>68a9de96-05f3-4053-bbbb-9fbda51bb23a</t>
  </si>
  <si>
    <t>C:Manufacturing/27:Manufacture of electrical equipment/279:Manufacture of other electrical equipment/2790:Manufacture of other electrical equipment</t>
  </si>
  <si>
    <t>Industry average of prebake anodes for use in the Hall-Héroult process using prebake technology.;[This dataset is meant to replace the following datasets:] The unit process begins with the unloading of process materials to the storage areas on site.  The operations associated with this unit process include:
* anode mix preparation, anode block forming and baking;
* rodding of baked anodes;
* maintenance and repair of plant and equipment; and 
* treatment of process air, liquids and solids.
The original data also accounts for recovery of spent anode materials (anode butts).  However, these are recycled in closed loop and are not explicitly accounted for in the inventory, although inputs and outputs of other flows are influenced by this recycling.
Treatment of scrubber sludges are excluded, as there is no corresponding waste treatment in the ecoinvent database.
 The output of this process is rodded anodes to be transported to electrolysis plants employing prebake technology. Dataset documentation https://v38.ecoquery.ecoinvent.org/Details/PDF/C4E4DD32-129F-41C5-A4D4-FB551B61819D/06590A66-662A-4885-8494-AD0CF410F956</t>
  </si>
  <si>
    <t>anode factory</t>
  </si>
  <si>
    <t>market for anode factory | anode factory | APOS, U</t>
  </si>
  <si>
    <t>(5;5;5;5;5)</t>
  </si>
  <si>
    <t>Rough estimate</t>
  </si>
  <si>
    <t>cast iron</t>
  </si>
  <si>
    <t>market for cast iron | cast iron | APOS, U</t>
  </si>
  <si>
    <t>(1;1;3;1;1)</t>
  </si>
  <si>
    <t>Natural gas combustion.</t>
  </si>
  <si>
    <t>Heavy oil combustion.</t>
  </si>
  <si>
    <t xml:space="preserve">Diesel combustion. </t>
  </si>
  <si>
    <t>petroleum coke</t>
  </si>
  <si>
    <t>market for petroleum coke | petroleum coke | APOS, U</t>
  </si>
  <si>
    <t>market for pitch | pitch | APOS, U</t>
  </si>
  <si>
    <t>refractory, fireclay, packed</t>
  </si>
  <si>
    <t>C:Manufacturing/23:Manufacture of other non-metallic mineral products/239:Manufacture of non-metallic mineral products n.e.c./2391:Manufacture of refractory products</t>
  </si>
  <si>
    <t>market for refractory, fireclay, packed | refractory, fireclay, packed | APOS, U</t>
  </si>
  <si>
    <t>Reported as "Refractory material" in IAI Survey</t>
  </si>
  <si>
    <t>Water, cooling, unspecified natural origin, CN</t>
  </si>
  <si>
    <t xml:space="preserve">Specified as freshwater in IAI report. </t>
  </si>
  <si>
    <t>Water, salt, ocean</t>
  </si>
  <si>
    <t xml:space="preserve">Specified as sea water in IAI report. </t>
  </si>
  <si>
    <t>anode, prebake, for aluminium electrolysis</t>
  </si>
  <si>
    <t>(1;4;3;1;1)</t>
  </si>
  <si>
    <t>fly ash and scrubber sludge</t>
  </si>
  <si>
    <t>market for fly ash and scrubber sludge | fly ash and scrubber sludge | APOS, U</t>
  </si>
  <si>
    <t>Used as a weak proxy for treatment of scrubber sludges</t>
  </si>
  <si>
    <t>Reported as F in IAI data,sum of particulate F and gaseous F</t>
  </si>
  <si>
    <t>inert waste, for final disposal</t>
  </si>
  <si>
    <t>market for inert waste, for final disposal | inert waste, for final disposal | APOS, U</t>
  </si>
  <si>
    <t>EcoSpold01Location=CH</t>
  </si>
  <si>
    <t>Oils, unspecified</t>
  </si>
  <si>
    <t xml:space="preserve">Reported as PAH (6 Borneff components) </t>
  </si>
  <si>
    <t>Reported IAI 2015</t>
  </si>
  <si>
    <t>scrap steel</t>
  </si>
  <si>
    <t>market for scrap steel | scrap steel | APOS, U</t>
  </si>
  <si>
    <t>Reported as scrap steel.</t>
  </si>
  <si>
    <t>waste asphalt</t>
  </si>
  <si>
    <t>market for waste asphalt | waste asphalt | APOS, U</t>
  </si>
  <si>
    <t>IAI data reported as "Fresh Water Consumption" plus "Sea Water consumption"</t>
  </si>
  <si>
    <t>Water, CN</t>
  </si>
  <si>
    <t>Reported as Fresh Water</t>
  </si>
  <si>
    <t>6407670e-4da9-4361-89d8-f4a9a09b2050</t>
  </si>
  <si>
    <t>Industry average of paste anodes for use in the Hall-Héroult process using Söderberg technology.;[This dataset is meant to replace the following datasets:] The unit process begins with the unloading of process materials to the storage areas on site.  The operations associated with this unit process include:
* anode mix preparation and anode briquette forming;
* maintenance and repair of plant and equipment; and 
* treatment of process air, liquids and solids.
Treatment of scrubber sludges are excluded, as there is no corresponding waste treatment in the ecoinvent database. The output of this process is anode paste (briquettes) to be transported to electrolysis plants employing Söderberg technology. Dataset documentation https://v38.ecoquery.ecoinvent.org/Details/PDF/DDE97EBC-6189-4B0D-B179-3C60918E2AEF/06590A66-662A-4885-8494-AD0CF410F956</t>
  </si>
  <si>
    <t>(1;2;3;1;1)</t>
  </si>
  <si>
    <t>Natural gas combustion</t>
  </si>
  <si>
    <t>Water, cooling, unspecified natural origin, IAI Area, Russia &amp; RER w/o EU27 &amp; EFTA</t>
  </si>
  <si>
    <t>anode, paste, for aluminium electrolysis</t>
  </si>
  <si>
    <t>Reporting rate 4%</t>
  </si>
  <si>
    <t>Reported as scrubber sludges in landfill solid waste</t>
  </si>
  <si>
    <t>Reported as Oil and grease/total hydrocarbons in IAI survey, reporting rate 2%</t>
  </si>
  <si>
    <t>as ecoInvent does not relevent recycled by-products, this number includes external recyceled by products, as well as landfilled industrial waste.</t>
  </si>
  <si>
    <t>Reporting rate 7%</t>
  </si>
  <si>
    <t>(1;3;5;1;1)</t>
  </si>
  <si>
    <t>the only particulates that is reported in the IAI 2015 LCI survey</t>
  </si>
  <si>
    <t>Proxy for treatment of waste carbon</t>
  </si>
  <si>
    <t>IAI data reported as "Fresh Water Consumption"</t>
  </si>
  <si>
    <t>Water, IAI Area, Russia &amp; RER w/o EU27 &amp; EFTA</t>
  </si>
  <si>
    <t>af34c0f3-2251-3570-9ade-1055c74e9ccf</t>
  </si>
  <si>
    <t>The functional unit represent 1 kg of solid cryolite. Large uncertainty of the process data due to weak data on the production process and missing data on process emissions.;[This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Raw materials and chemicals used for production, transport of materials to manufacturing plant, estimated emissions to air and water from production (incomplete), estimation of energy demand and infrastructure of the plant (approximation). Solid wastes omitted. Dataset documentation https://v38.ecoquery.ecoinvent.org/Details/PDF/9417DFE5-8B0F-43A0-B420-A0C4C645A3C5/06590A66-662A-4885-8494-AD0CF410F956</t>
  </si>
  <si>
    <t>Estimation based on process yield 90-99.8%</t>
  </si>
  <si>
    <t>Estimation</t>
  </si>
  <si>
    <t>(5;5;5;5;4)</t>
  </si>
  <si>
    <t>Estimated with data from a large chem. plant</t>
  </si>
  <si>
    <t>market for hydrogen fluoride | hydrogen fluoride | APOS, U</t>
  </si>
  <si>
    <t>cryolite</t>
  </si>
  <si>
    <t>Estimated from mass balance and WWTP effic.</t>
  </si>
  <si>
    <t>a297cbd9-5cba-374d-8bad-a70cb749e175</t>
  </si>
  <si>
    <t>The dataset represents the production of cryolite from fluosilicic acid. The reaction yield is assumed to be 95% since no specific data is available.  Water produced in the reaction is not considered as a byproduct, but assumed to be recovered and recycled internally.;The reaction process is shown below:
Al2O3 + 2H2SiF6 + 6 NaOH --&gt; 2 Na3AlF6 + 2 SiO2 + 5 H2O  From reception of fluosilicic acid, sodium hydroxide and aluminium oxide at the factory gate. The dataset includes the production of cryolite by chemical reaction of reactants at the chemical plant. Included are the estimated emissions to air and water from production. The energy demand and infrastructure of the plant are approximated. Solid wastes are omitted. Dataset documentation https://v38.ecoquery.ecoinvent.org/Details/PDF/84E1AD13-C59A-4D76-A6B2-1C4CEB0C2FB6/06590A66-662A-4885-8494-AD0CF410F956</t>
  </si>
  <si>
    <t>(4;4;5;1;5)</t>
  </si>
  <si>
    <t>Estimation. These values were approximated with data from an large chemical plant site in Germany producing 2.05 Mt a-1 (intermediates included) of different chemicals. The values for the energy consumption per kg of product of this plant (3.2 MJ kg-1) were used as approximation for the energy consumption. This total energy demand contains a split of 50% natural gas, 38% electricity and 12% steam from external energy sources. For this inventory all energy used for heat or steam was assumed to be natural gas.</t>
  </si>
  <si>
    <t>market for fluosilicic acid, without water, in 22% solution state | fluosilicic acid, without water, in 22% solution state | APOS, U</t>
  </si>
  <si>
    <t>stoichiometric calculation</t>
  </si>
  <si>
    <t>market group for heat, district or industrial, natural gas | heat, district or industrial, natural gas | APOS, U</t>
  </si>
  <si>
    <t>Water, cooling, unspecified natural origin, GLO</t>
  </si>
  <si>
    <t>Data from a large chemical plant in Germany (Gendorf, 2000), calculated based on overal cooling water consumption per kilogram of product.</t>
  </si>
  <si>
    <t>Fluosilicic acid</t>
  </si>
  <si>
    <t>Estimation. From the input of fluosilicic acid, one part will leave the process as emission to the water. The formula is the following:
mass fluosilicic acid to water=(((1/0.95)-1)*mass fluosilicic acid input)-mb air))*0.1
Note: reaction yield is 95%; mb air = mass to air, in this case it is assumed that no fluosilicic acid leaves the process to air, since it is a liquid.</t>
  </si>
  <si>
    <t>Estimation. From the input of sodium hydroxide, one part will leave the process as emission to the water. The formula is the following:
mass sodium to water=(((1/0.95)-1)*mass sodium input)-mb air))*0.1
Note: reaction yield is 95%; mb air = mass to air, in this case it is assumed that no sodium hydroxide leaves the process to air.
Note: the mass of sodium is calculated with the respective molar weight and stoichiometric relation betweent NaOH and Na - 1 mol of Na are needed in 1 mol of NaOH. Molecular weight of Na = 23 g/mol</t>
  </si>
  <si>
    <t>(4;4;5;2;4)</t>
  </si>
  <si>
    <t>2710e678-2eb5-3606-b958-65395f64b3e2</t>
  </si>
  <si>
    <t>The functional unit represent 1 kg of solid aluminium fluoride. Large uncertainty of the process data due to weak data on the production process and missing data on process emissions.;[This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Raw materials and chemicals used for production, transport of materials to manufacturing plant, estimated emissions to air and water from production (incomplete), estimation of energy demand and infrastructure of the plant (approximation). Solid wastes omitted. Dataset documentation https://v38.ecoquery.ecoinvent.org/Details/PDF/78EC4DD5-AE65-40AC-95E2-44A30F574277/06590A66-662A-4885-8494-AD0CF410F956</t>
  </si>
  <si>
    <t>aluminium fluoride</t>
  </si>
  <si>
    <t>b084a93e-8696-43a3-83cf-002026201855</t>
  </si>
  <si>
    <t>aluminium oxide production | aluminium oxide, metallurgical | APOS, U</t>
  </si>
  <si>
    <t>Data on Al(OH)3 extraction and calcination to Al2O3 was aggregated on original source (IAI 2015, IAI personnal communication 2017). In- and outputs of AL(OH)3 are calculated according to the stoichiometry (1.530 kg Al(OH)3 --&gt; 1.000 kg Al2O3 + 0.530 kg H2O). Separate energy data was provided by IAI for production of hydrate and calcination processes.;Two sources were used in the creation of this dataset: IAI 2015 Survey data; and original ecoinvent 2 data (Althaus, 2007) for flows unreported by IAI.;As reported by the IAI: "Total alumina production is the quantity of aluminium oxide trihydrate produced in a defined period and expressed as 100%, nominal aluminium oxide (Al2O3) equivalent, irrespective of further processing. Total alumina production figures have two components, that to be used for the production of aluminium (metallurgical grade alumina) and that to be used for any other purpose (chemical grade alumina)." (IAIA, 2019, ALUMINA PRODUCTION. Retrieved from: http://www.world-aluminium.org/statistics/alumina-production/, accesseed 11 Feb 2019). Unit process starts with the receiving of the aluminium hydroxide, produced onsite. Includes calcination of Al(OH)3 to Al2O3 and it's infrastructure. No transports are included because Al2O3 is produced in the same plant as Al(OH)3. Dataset documentation https://v38.ecoquery.ecoinvent.org/Details/PDF/86950379-3A73-4388-95B0-38D2C99CA9B7/06590A66-662A-4885-8494-AD0CF410F956</t>
  </si>
  <si>
    <t>aluminium hydroxide</t>
  </si>
  <si>
    <t>aluminium hydroxide production | aluminium hydroxide | APOS, U</t>
  </si>
  <si>
    <t>(4;1;3;1;1)</t>
  </si>
  <si>
    <t>Stoichiometric relation</t>
  </si>
  <si>
    <t>aluminium oxide factory</t>
  </si>
  <si>
    <t>market for aluminium oxide factory | aluminium oxide factory | APOS, U</t>
  </si>
  <si>
    <t>As reported by IAI energy survey (2015)</t>
  </si>
  <si>
    <t>As reported by IAI 2015 Energy survey</t>
  </si>
  <si>
    <t>heat production, at hard coal industrial furnace 1-10MW | heat, district or industrial, other than natural gas | APOS, U</t>
  </si>
  <si>
    <t>aluminium oxide, metallurgical</t>
  </si>
  <si>
    <t>aluminium hydroxide factory</t>
  </si>
  <si>
    <t>market for aluminium hydroxide factory | aluminium hydroxide factory | APOS, U</t>
  </si>
  <si>
    <t>Rough guess</t>
  </si>
  <si>
    <t>market for bauxite | bauxite | APOS, U</t>
  </si>
  <si>
    <t>Natural Gas.As reported by IAI 2015 Energy survey</t>
  </si>
  <si>
    <t>Heavy Oil.As reported by IAI 2015 energy survey</t>
  </si>
  <si>
    <t>Coal.IAI 2015 data.</t>
  </si>
  <si>
    <t>Occupation, unspecified</t>
  </si>
  <si>
    <t>IAI 2015 data. Reported as Land occupation</t>
  </si>
  <si>
    <t>(1;3;5;3;1)</t>
  </si>
  <si>
    <t>Values come from the former ecoinvent dataset (Althaus, 2009)</t>
  </si>
  <si>
    <t>redmud from bauxite digestion</t>
  </si>
  <si>
    <t>market for redmud from bauxite digestion | redmud from bauxite digestion | APOS, U</t>
  </si>
  <si>
    <t>2015 data. Water content was not specified in IAI datasets.</t>
  </si>
  <si>
    <t xml:space="preserve">Values come from the former ecoinvent dataset (Althaus, 2009)
</t>
  </si>
  <si>
    <t>aa814620-2634-3a4f-a469-21ac00882505</t>
  </si>
  <si>
    <t>This dataset represents the production of 1kg of liquid primary aluminium.  Primary aluminium is produced by the The Hall-Héroult process, developed in 1886, and the sole industrial method for the smelting of primary aluminium. It involves passing a large electric current through a molten mixture of cryolite, alumina and aluminium fluoride to obtain pure, liquid aluminium metal. Direct current (DC) is fed into a line of electrolytic cells connected in series (a “potline”). While these cells, or “pots” and potlines vary in size and configuration from one plant to another, the fundamental electrochemical process is identical. Each pot is a large carbon-lined metal container, forming the negative electrode (cathode) in the cell. The cell contains an electrolytic bath of molten cryolite (Na3AlF6), maintained at a temperature of around 960 – 980°C, in which alumina powder (Al2O3) is dissolved. Aluminium fluoride (AlF3) is added to the solution to maintain optimal chemistry and lower the electrolyte’s freezing point. Large carbon blocks are suspended in the solution and serve as the positive electrode (anode). The electrical current passes from the carbon anodes via the bath to the carbon cathode cell lining. The current then passes to the anode of the next pot in series. As the electrical current passes through the solution, the dissolved alumina is split into molten aluminium (Al) and oxygen (O2). The oxygen consumes the carbon in the anode blocks to form carbon dioxide. The electrolytic reaction can be expressed as:
2Al2O3 + 3C → 4Al + 3CO2
There are two main types of aluminium smelting technology: Søderberg and prebake. The principal difference between the two is the type of anode used.
Prebake technology uses multiple anodes in each cell, which are baked in a separate facility and attached to rods that suspend the anodes in the cell. New anodes are exchanged for spent anodes, with the remaining anode “butts” being recycled into new anodes.;[This dataset is meant to replace the following datasets:] Unit process starts with the unloading of process materials to their storage areas on site. Includes:
* Recovery, preparation and handling of process materials
* Manufacture of major process equipment and infrastructure
* Process control activities (metal, bath, heat)
* maintenance and repair of plant and equipment
* treatment of process air, liquids and solids
The output of this unit process is hot metal transported to an ingot casting facility. Dataset documentation https://v38.ecoquery.ecoinvent.org/Details/PDF/8C0A5895-1807-4C69-B886-20F35E6AF689/06590A66-662A-4885-8494-AD0CF410F956</t>
  </si>
  <si>
    <t>aluminium electrolysis facility</t>
  </si>
  <si>
    <t>market for aluminium electrolysis facility | aluminium electrolysis facility | APOS, U</t>
  </si>
  <si>
    <t>market for aluminium fluoride | aluminium fluoride | APOS, U</t>
  </si>
  <si>
    <t>market for aluminium oxide, metallurgical | aluminium oxide, metallurgical | APOS, U</t>
  </si>
  <si>
    <t>market for anode, prebake, for aluminium electrolysis | anode, prebake, for aluminium electrolysis | APOS, U</t>
  </si>
  <si>
    <t>(2;2;5;3;1)</t>
  </si>
  <si>
    <t>Value taken from cathode production process</t>
  </si>
  <si>
    <t>cathode, for aluminium electrolysis</t>
  </si>
  <si>
    <t>market for cathode, for aluminium electrolysis | cathode, for aluminium electrolysis | APOS, U</t>
  </si>
  <si>
    <t>Reported as Cathode carbon in IAI survey</t>
  </si>
  <si>
    <t>market for coke | coke | APOS, U</t>
  </si>
  <si>
    <t>Total carbon value taken from IAI (2007), but split between coke and bitumen based on older European mix in ecoinvent v2 dataset</t>
  </si>
  <si>
    <t>market for cryolite | cryolite | APOS, U</t>
  </si>
  <si>
    <t>electricity, medium voltage, aluminium industry</t>
  </si>
  <si>
    <t>market for electricity, medium voltage, aluminium industry | electricity, medium voltage, aluminium industry | APOS, U</t>
  </si>
  <si>
    <t>Reported as refractory material in IAI survey.</t>
  </si>
  <si>
    <t>reinforcing steel</t>
  </si>
  <si>
    <t>market for reinforcing steel | reinforcing steel | APOS, U</t>
  </si>
  <si>
    <t>Water, unspecified natural origin, IAI Area, South America</t>
  </si>
  <si>
    <t>aluminium, primary, liquid</t>
  </si>
  <si>
    <t>(1;1;5;5;1)</t>
  </si>
  <si>
    <t>Ethane, hexafluoro-, HFC-116</t>
  </si>
  <si>
    <t>Data collected in IAI Anode effect survey. http://www.world-aluminium.org/statistics/ Survey response rate 43% remaining 57% is modelled based on sampled data from similar technologies.</t>
  </si>
  <si>
    <t>filter dust from Al electrolysis</t>
  </si>
  <si>
    <t>market for filter dust from Al electrolysis | filter dust from Al electrolysis | APOS, U</t>
  </si>
  <si>
    <t>Reported as F in IAI 2015 survey, converted.</t>
  </si>
  <si>
    <t>Used as a proxy for waste alumina</t>
  </si>
  <si>
    <t>Methane, tetrafluoro-, R-14</t>
  </si>
  <si>
    <t xml:space="preserve">Total amount from IAI survey, distributed among three class sizes using CEPMEIP database emission factors for Production of primary aluminium.  Abatement level: medium. </t>
  </si>
  <si>
    <t>refractory spent pot liner from Al electrolysis</t>
  </si>
  <si>
    <t>market for refractory spent pot liner from Al electrolysis | refractory spent pot liner from Al electrolysis | APOS, U</t>
  </si>
  <si>
    <t>Proxy for treatment of waste carbon.  Reported as "SPL carbon for external recycling" and "Waste carbon or mix" in IAI report. Currently, no recycling process exists in ecoinvent for waste carbon, and hence these are modelled as sent to landfill. Using global average of "SPL carbon for external recycling" as no such data reported from this region.</t>
  </si>
  <si>
    <t>Water, IAI Area, South America</t>
  </si>
  <si>
    <t>337778c0-05d8-354c-8b8f-a3bcf2b6145d</t>
  </si>
  <si>
    <t xml:space="preserve"> This dataset represents the production of 1kg of liquid primary aluminium.  Primary aluminium is produced by the The Hall-Héroult process, developed in 1886, and the sole industrial method for the smelting of primary aluminium. It involves passing a large electric current through a molten mixture of cryolite, alumina and aluminium fluoride to obtain pure, liquid aluminium metal. Direct current (DC) is fed into a line of electrolytic cells connected in series (a “potline”). While these cells, or “pots” and potlines vary in size and configuration from one plant to another, the fundamental electrochemical process is identical. Each pot is a large carbon-lined metal container, forming the negative electrode (cathode) in the cell. The cell contains an electrolytic bath of molten cryolite (Na3AlF6), maintained at a temperature of around 960 – 980°C, in which alumina powder (Al2O3) is dissolved. Aluminium fluoride (AlF3) is added to the solution to maintain optimal chemistry and lower the electrolyte’s freezing point. Large carbon blocks are suspended in the solution and serve as the positive electrode (anode). The electrical current passes from the carbon anodes via the bath to the carbon cathode cell lining. The current then passes to the anode of the next pot in series. As the electrical current passes through the solution, the dissolved alumina is split into molten aluminium (Al) and oxygen (O2). The oxygen consumes the carbon in the anode blocks to form carbon dioxide. The electrolytic reaction can be expressed as:
2Al2O3 + 3C → 4Al + 3CO2
There are two main types of aluminium smelting technology: Søderberg and prebake. The principal difference between the two is the type of anode used. Søderberg technology uses a continuous anode which is delivered to the pot in the form of a paste, and which bakes in the cell itself.;[This dataset is meant to replace the following datasets:] Unit process starts with the unloading of process materials to their storage areas on site. Includes:
* Recovery, preparation and handling of process materials
* Manufacture of major process equipment and infrastructure
* Process control activities (metal, bath, heat)
* maintenance and repair of plant and equipment
* treatment of process air, liquids and solids
The output of this unit process is hot metal transported to an ingot casting facility. Dataset documentation https://v38.ecoquery.ecoinvent.org/Details/PDF/DE974CB9-3CE8-4E2F-B1E8-3D339C4545B6/06590A66-662A-4885-8494-AD0CF410F956</t>
  </si>
  <si>
    <t>market for anode, paste, for aluminium electrolysis | anode, paste, for aluminium electrolysis | APOS, U</t>
  </si>
  <si>
    <t>(1;1;1;1;1)</t>
  </si>
  <si>
    <t xml:space="preserve">Data collected in IAI Anode effect survey. http://www.world-aluminium.org/statistics/ </t>
  </si>
  <si>
    <t>Reported as F in IAI survey, including both Particulate fluoride and gaseous fluoride</t>
  </si>
  <si>
    <t xml:space="preserve">Amount includes both non-SPL refractory waste sent to landfill and recycled refractory waste.  Currently, no recycling process exists in ecoinvent for refractory material, and hence these are modelled as sent to landfill. 
</t>
  </si>
  <si>
    <t>No reporting in 2015 IAI survey</t>
  </si>
  <si>
    <t xml:space="preserve">IAI 2015 survey total particulates, weighted by split found in ecoinvent 2.0 dataset
</t>
  </si>
  <si>
    <t>IAI 2015 survey total particulates, weighted by split found in ecoinvent 2.0 dataset</t>
  </si>
  <si>
    <t xml:space="preserve">Proxy for treatment of waste carbon.  Reported as "SPL carbon for external recycling" and "Waste carbon or mix" in IAI report. Currently, no recycling process exists in ecoinvent for waste carbon, and hence these are modelled as sent to landfill. </t>
  </si>
  <si>
    <t>ac265185-9714-3092-ab16-d6b1122a18bd</t>
  </si>
  <si>
    <t>market for aluminium, cast alloy | aluminium, cast alloy | APOS, U</t>
  </si>
  <si>
    <t>This is a market activity. Each market represents the consumption mix of a product in a given geography, connecting suppliers with consumers of the same product in the same geographical area. Markets group the producers and also the imports of the product (if relevant) within the same geographical area. They also account for transport to the consumer and for the losses during that process, when relevant.;This is the market for  'aluminium, cast alloy', in the Global geography.;In this market, expert judgement was used to develop product specific transport distance estimations. This activity starts at the gate of the activities that produce 'aluminium, cast alloy',  within the geography of Global. This activity ends with the supply of 'aluminium, cast alloy',  to the consumers of this product. Transport is included. Product losses during transportation are assumed negligible and are therefore not included. Dataset documentation https://v38.ecoquery.ecoinvent.org/Details/PDF/F6CD1420-0696-4938-A724-AE4DF25C7C4D/06590A66-662A-4885-8494-AD0CF410F956</t>
  </si>
  <si>
    <t>aluminium, cast alloy</t>
  </si>
  <si>
    <t>treatment of aluminium scrap, new, at refiner | aluminium, cast alloy | APOS, U</t>
  </si>
  <si>
    <t>aluminium ingot, primary, to aluminium, cast alloy market | aluminium, cast alloy | APOS, U</t>
  </si>
  <si>
    <t>treatment of aluminium scrap, post-consumer, prepared for recycling, at refiner | aluminium, cast alloy | APOS, U</t>
  </si>
  <si>
    <t>transport, freight train</t>
  </si>
  <si>
    <t>H:Transportation and storage/49:Land transport and transport via pipelines/491:Transport via railways/4912:Freight rail transport</t>
  </si>
  <si>
    <t>t*km</t>
  </si>
  <si>
    <t>market group for transport, freight train | transport, freight train | APOS, U</t>
  </si>
  <si>
    <t>(1;1;5;5;4)</t>
  </si>
  <si>
    <t>Transport distance based on US BTS Commodity Flow Surveys 1993, 1997, 2002, 2007, US Dep. Of Transportation, Bureau of Transportation Statistics.</t>
  </si>
  <si>
    <t>transport, freight, inland waterways, barge</t>
  </si>
  <si>
    <t>H:Transportation and storage/50:Water transport/502:Inland water transport/5022:Inland freight water transport</t>
  </si>
  <si>
    <t>market group for transport, freight, inland waterways, barge | transport, freight, inland waterways, barge | APOS, U</t>
  </si>
  <si>
    <t>transport, freight, lorry, unspecified</t>
  </si>
  <si>
    <t>H:Transportation and storage/49:Land transport and transport via pipelines/492:Other land transport/4923:Freight transport by road</t>
  </si>
  <si>
    <t>market group for transport, freight, lorry, unspecified | transport, freight, lorry, unspecified | APOS, U</t>
  </si>
  <si>
    <t>Transport distance based on US BTS Commodity Flow Surveys 1993, 1997, 2002, 2007, US Dep. Of Transportation, Bureau of Transportation Statistics. Of the total road transport, 6% is assumed to be by delivery van for goods with a large share of retail sale, and 3% for goods that are mainly sold via wholesale.</t>
  </si>
  <si>
    <t>transport, freight, sea, container ship</t>
  </si>
  <si>
    <t>H:Transportation and storage/50:Water transport/501:Sea and coastal water transport/5012:Sea and coastal freight water transport</t>
  </si>
  <si>
    <t>market for transport, freight, sea, container ship | transport, freight, sea, container ship | APOS, U</t>
  </si>
  <si>
    <t>The total marine transport volume differentiated into major commodity groups based on data from FearnResearch (2001): Fearnley's Annual Review 2000. Oslo: Fearnley/AS, p. 1-78. The category “Other cargo” accounts for 38% of total maritime transport volume and has been distributed on commodity groups based on the proportions of transport by rail and inland waterways.
The total marine transport volume differentiated into major commodity groups based on data from FearnResearch (2001): Fearnley's Annual Review 2000. Oslo: Fearnley/AS, p. 1-78. The category “Other cargo” accounts for 38% of total maritime transport volume and has been distributed on commodity groups based on the proportions in the marine import and export of the US in 2001-2010.</t>
  </si>
  <si>
    <t>a432ca3a-e658-35d1-97bc-05d17dbd0a50</t>
  </si>
  <si>
    <t>This dataset is based on two sources: the European Aluminium Association 2005 LCI data (EAA, 2008); and (2) the ecoinvent v2.2 dataset for the same activity (Althaus, 2009), itself largely based on EAA data from 2000.  Priority was given to data contained in EAA (2008); Althaus (2009) was used only in cases where it was found to be more complete that EAA (2008).  Note that both sources are European in scope - this GLO dataset is therefore an extrapolation.;While this dataset represents the refining of new scrap, the inputs and outputs reported by EAA (2008) actually refer to refining of all scrap, including post-consumer scrap, scrap from foundries, turnings, skimmings (dross) and aluminium metallics.  In the ecoinvent database, the refining of post-consumer scrap and new scrap is represented by two distinct but mostly identical datasets to enable the appropriate modeling of aluminium mass flow through the economy.;The dataset contains the inputs and outputs for rotary (64%) and reverbatory (36%) furnaces, which together make up about 90% of utilized furnaces in Europe.  The dataset excludes, for lack of access to data, salt slag and dross recycling.  According to EAA, this data gap represents approximately 10-20% of potential impacts, as calculated using the CML 2001 method. The activity starts with the reception of new aluminium scrap and includes the refining of said scrap in rotary (64%) and reverbatory (36%) furnaces.  It includes alloying (based on weak data on actual alloying metals) and casting to secondary billets. The activity ends with cast aluminium billets.  Note that the dataset excludes salt slag processing and dross recycling (data gap). Dataset documentation https://v38.ecoquery.ecoinvent.org/Details/PDF/68D898E9-4F76-4A61-B0FE-53EC093367A8/06590A66-662A-4885-8494-AD0CF410F956</t>
  </si>
  <si>
    <t>NEW SCRAP</t>
  </si>
  <si>
    <t>acrylonitrile-butadiene-styrene copolymer</t>
  </si>
  <si>
    <t>market for acrylonitrile-butadiene-styrene copolymer | acrylonitrile-butadiene-styrene copolymer | APOS, U</t>
  </si>
  <si>
    <t>(1;3;5;4;2)</t>
  </si>
  <si>
    <t>Materialization based on average from literature values.</t>
  </si>
  <si>
    <t>activated carbon, granular</t>
  </si>
  <si>
    <t>C:Manufacturing/20:Manufacture of chemicals and chemical products/202:Manufacture of other chemical products/2029:Manufacture of other chemical products n.e.c.</t>
  </si>
  <si>
    <t>market for activated carbon, granular | activated carbon, granular | APOS, U</t>
  </si>
  <si>
    <t>(2;4;4;1;1)</t>
  </si>
  <si>
    <t>Same amount as initial proxy (carbon black) for activated carbon. Measured value.</t>
  </si>
  <si>
    <t>alkyd paint, white, without solvent, in 60% solution state</t>
  </si>
  <si>
    <t>C:Manufacturing/20:Manufacture of chemicals and chemical products/202:Manufacture of other chemical products/2022:Manufacture of paints, varnishes and similar coatings, printing ink and mas</t>
  </si>
  <si>
    <t>market for alkyd paint, white, without solvent, in 60% solution state | alkyd paint, white, without solvent, in 60% solution state | APOS, U</t>
  </si>
  <si>
    <t>(4;3;5;5;4)</t>
  </si>
  <si>
    <t>Weight ratio scooter:passenger car</t>
  </si>
  <si>
    <t>aluminium casting facility</t>
  </si>
  <si>
    <t>market for aluminium casting facility | aluminium casting facility | APOS, U</t>
  </si>
  <si>
    <t>Estimated, based on an assumed 130 000 tonne scrap aluminium output per year and a lifetime of 50 years.  Based on casting plant.</t>
  </si>
  <si>
    <t>(1;4;5;4;2)</t>
  </si>
  <si>
    <t>This dataset is based on direct information from the Swiss manufacturer Brusa.</t>
  </si>
  <si>
    <t>Measured Value. Include aluminium oxide used for molding (0.9963 kg) and sand blasting (0.1221 kg) and fused white alumina used for molding (0.2663 kg).</t>
  </si>
  <si>
    <t>(2;4;5;4;3)</t>
  </si>
  <si>
    <t>Based on the direct inspection of a commercial device.</t>
  </si>
  <si>
    <t>aluminium, primary, ingot</t>
  </si>
  <si>
    <t>market for aluminium, primary, ingot | aluminium, primary, ingot | APOS, U</t>
  </si>
  <si>
    <t>(1;1;4;1;1)</t>
  </si>
  <si>
    <t>Reported as primary aluminium cast alloy 9.5 mm diameter rods. Calculated value (see Parameters).</t>
  </si>
  <si>
    <t>aluminium, wrought alloy</t>
  </si>
  <si>
    <t>market for aluminium, wrought alloy | aluminium, wrought alloy | APOS, U</t>
  </si>
  <si>
    <t>ammonia, anhydrous, liquid</t>
  </si>
  <si>
    <t>market for ammonia, anhydrous, liquid | ammonia, anhydrous, liquid | APOS, U</t>
  </si>
  <si>
    <t>Measured value. Reported as ammonia anhydrous refrigerated grade.</t>
  </si>
  <si>
    <t>ammonium chloride</t>
  </si>
  <si>
    <t>market for ammonium chloride | ammonium chloride | APOS, U</t>
  </si>
  <si>
    <t>Measured value.</t>
  </si>
  <si>
    <t>brass</t>
  </si>
  <si>
    <t>market for brass | brass | APOS, U</t>
  </si>
  <si>
    <t>cable, connector for computer, without plugs</t>
  </si>
  <si>
    <t>C:Manufacturing/26:Manufacture of computer, electronic and optical products/261:Manufacture of electronic components and boards/2610:Manufacture of electronic components and boards</t>
  </si>
  <si>
    <t>m</t>
  </si>
  <si>
    <t>market for cable, connector for computer, without plugs | cable, connector for computer, without plugs | APOS, U</t>
  </si>
  <si>
    <t>(2;4;5;4;2)</t>
  </si>
  <si>
    <t>cable, printer cable, without plugs</t>
  </si>
  <si>
    <t>market for cable, printer cable, without plugs | cable, printer cable, without plugs | APOS, U</t>
  </si>
  <si>
    <t>cable, ribbon cable, 20-pin, with plugs</t>
  </si>
  <si>
    <t>market for cable, ribbon cable, 20-pin, with plugs | cable, ribbon cable, 20-pin, with plugs | APOS, U</t>
  </si>
  <si>
    <t>capacitor, auxilliaries and energy use</t>
  </si>
  <si>
    <t>market for capacitor, auxilliaries and energy use | capacitor, auxilliaries and energy use | APOS, U</t>
  </si>
  <si>
    <t>capacitor, electrolyte type, &lt; 2cm height</t>
  </si>
  <si>
    <t>market for capacitor, electrolyte type, &lt; 2cm height | capacitor, electrolyte type, &lt; 2cm height | APOS, U</t>
  </si>
  <si>
    <t>capacitor, electrolyte type, &gt; 2cm height</t>
  </si>
  <si>
    <t>market for capacitor, electrolyte type, &gt; 2cm height | capacitor, electrolyte type, &gt; 2cm height | APOS, U</t>
  </si>
  <si>
    <t>capacitor, film type, for through-hole mounting</t>
  </si>
  <si>
    <t>market for capacitor, film type, for through-hole mounting | capacitor, film type, for through-hole mounting | APOS, U</t>
  </si>
  <si>
    <t>capacitor, for surface-mounting</t>
  </si>
  <si>
    <t>market for capacitor, for surface-mounting | capacitor, for surface-mounting | APOS, U</t>
  </si>
  <si>
    <t>Estimation. For the hub of the rotor 11'320 kg of cast iron is estimated. For the gear 9139 kg, the main bearing 1025 kg, for the generator 3382 kg and for the transformator 1500 kg of cast iron is used.
Further references:
Scholzen (1991): Oekobilanz von Windenergie am Beispiel einer 30 kW-Anlage auf dem Simplon. Semesterarbeit am Laboratorium für Energiesysteme, ETH Zürich.</t>
  </si>
  <si>
    <t>cement, Portland</t>
  </si>
  <si>
    <t>market for cement, Portland | cement, Portland | APOS, U</t>
  </si>
  <si>
    <t>Measured value. Reported as Portland cement type10.</t>
  </si>
  <si>
    <t>chemical, inorganic</t>
  </si>
  <si>
    <t>market for chemical, inorganic | chemical, inorganic | APOS, U</t>
  </si>
  <si>
    <t>Represents an input of chemical reported as inorganic chemicals and an input of tetrapotassium pyrophosphate (K4P2O7, NAS 7320-34-5) used in alkaline solution, calculated based on the solution concentration (see Exchange Properties).</t>
  </si>
  <si>
    <t>chromium</t>
  </si>
  <si>
    <t>market for chromium | chromium | APOS, U</t>
  </si>
  <si>
    <t>clay</t>
  </si>
  <si>
    <t>market for clay | clay | APOS, U</t>
  </si>
  <si>
    <t>Proxy. Reported as clay flocculent, a mix of clay, inorganic salt, and organic polymer. Measured value.</t>
  </si>
  <si>
    <t>coating powder</t>
  </si>
  <si>
    <t>market for coating powder | coating powder | APOS, U</t>
  </si>
  <si>
    <t>copper sulfate</t>
  </si>
  <si>
    <t>market for copper sulfate | copper sulfate | APOS, U</t>
  </si>
  <si>
    <t>copper, cathode</t>
  </si>
  <si>
    <t>market for copper, cathode | copper, cathode | APOS, U</t>
  </si>
  <si>
    <t>Reported as "alloying metal", 0.96% assumed to be Copper in Althaus (2009)</t>
  </si>
  <si>
    <t>diesel, burned in building machine</t>
  </si>
  <si>
    <t>market for diesel, burned in building machine | diesel, burned in building machine | APOS, U</t>
  </si>
  <si>
    <t>Measured value. Reported in m³.</t>
  </si>
  <si>
    <t>diesel, burned in diesel-electric generating set, 10MW</t>
  </si>
  <si>
    <t>market for diesel, burned in diesel-electric generating set, 10MW | diesel, burned in diesel-electric generating set, 10MW | APOS, U</t>
  </si>
  <si>
    <t>Calculated value. Reported as volume.</t>
  </si>
  <si>
    <t>diode, auxilliaries and energy use</t>
  </si>
  <si>
    <t>market for diode, auxilliaries and energy use | diode, auxilliaries and energy use | APOS, U</t>
  </si>
  <si>
    <t>diode, glass-, for through-hole mounting</t>
  </si>
  <si>
    <t>market for diode, glass-, for through-hole mounting | diode, glass-, for through-hole mounting | APOS, U</t>
  </si>
  <si>
    <t>electricity, high voltage</t>
  </si>
  <si>
    <t>market for electricity, high voltage | electricity, high voltage | APOS, U</t>
  </si>
  <si>
    <t>Measured value. Reported in kWh at 120 kV. According to following document, high voltage is between 44 kV and 315 kV in Quebec region: http://www.hydroquebec.com/transenergie/fr/commerce/pdf/characteristics-and-target-values-of-voltage.pdf</t>
  </si>
  <si>
    <t>Reported as grid electricity. Calculated value (see Exchange Properties).</t>
  </si>
  <si>
    <t>Own estimate, based on values from automotive industry.</t>
  </si>
  <si>
    <t>epoxy resin insulator, Al2O3</t>
  </si>
  <si>
    <t>market for epoxy resin insulator, Al2O3 | epoxy resin insulator, Al2O3 | APOS, U</t>
  </si>
  <si>
    <t>epoxy resin, liquid</t>
  </si>
  <si>
    <t>market for epoxy resin, liquid | epoxy resin, liquid | APOS, U</t>
  </si>
  <si>
    <t>ethoxylated alcohol (AE7)</t>
  </si>
  <si>
    <t>market for ethoxylated alcohol (AE7) | ethoxylated alcohol (AE7) | APOS, U</t>
  </si>
  <si>
    <t>Proxy. Represents ethoxyl alcohols (C6-C10 and C12-C15) and secondary alcohol ethoxylate fraction of chemical penetrant used for non-destructive testing. Measured value.</t>
  </si>
  <si>
    <t>ethylene</t>
  </si>
  <si>
    <t>market for ethylene | ethylene | APOS, U</t>
  </si>
  <si>
    <t>ethylene glycol</t>
  </si>
  <si>
    <t>market for ethylene glycol | ethylene glycol | APOS, U</t>
  </si>
  <si>
    <t>Based on a Volkswagen Golf A4 materialization.</t>
  </si>
  <si>
    <t>fan, for power supply unit, desktop computer</t>
  </si>
  <si>
    <t>market for fan, for power supply unit, desktop computer | fan, for power supply unit, desktop computer | APOS, U</t>
  </si>
  <si>
    <t>ferrite</t>
  </si>
  <si>
    <t>C:Manufacturing/23:Manufacture of other non-metallic mineral products/239:Manufacture of non-metallic mineral products n.e.c./2393:Manufacture of other porcelain and ceramic products</t>
  </si>
  <si>
    <t>market for ferrite | ferrite | APOS, U</t>
  </si>
  <si>
    <t>fibre, viscose</t>
  </si>
  <si>
    <t>C:Manufacturing/20:Manufacture of chemicals and chemical products/203:Manufacture of man-made fibres/2030:Manufacture of man-made fibres</t>
  </si>
  <si>
    <t>market for fibre, viscose | fibre, viscose | APOS, U</t>
  </si>
  <si>
    <t>flat glass, uncoated</t>
  </si>
  <si>
    <t>C:Manufacturing/23:Manufacture of other non-metallic mineral products/231:Manufacture of glass and glass products/2310:Manufacture of glass and glass products</t>
  </si>
  <si>
    <t>market for flat glass, uncoated | flat glass, uncoated | APOS, U</t>
  </si>
  <si>
    <t>foaming agent</t>
  </si>
  <si>
    <t>market for foaming agent | foaming agent | APOS, U</t>
  </si>
  <si>
    <t>Measured value. Reported in litres as foaming agent (saponin).</t>
  </si>
  <si>
    <t>glass fibre reinforced plastic, polyamide, injection moulded</t>
  </si>
  <si>
    <t>C:Manufacturing/22:Manufacture of rubber and plastics products/222:Manufacture of plastics products/2220:Manufacture of plastics products</t>
  </si>
  <si>
    <t>market for glass fibre reinforced plastic, polyamide, injection moulded | glass fibre reinforced plastic, polyamide, injection moulded | APOS, U</t>
  </si>
  <si>
    <t>Estimation. The rotor blades have a total weight of 29'714 kg and are made of glass fibre reinforced plastic. For the cover of the nacelle 11'294 kg of glass fibre reinforced plastic are estimated.</t>
  </si>
  <si>
    <t>glass fibre reinforced plastic, polyester resin, hand lay-up</t>
  </si>
  <si>
    <t>market for glass fibre reinforced plastic, polyester resin, hand lay-up | glass fibre reinforced plastic, polyester resin, hand lay-up | APOS, U</t>
  </si>
  <si>
    <t>heat, central or small-scale, other than natural gas</t>
  </si>
  <si>
    <t>market group for heat, central or small-scale, other than natural gas | heat, central or small-scale, other than natural gas | APOS, U</t>
  </si>
  <si>
    <t>heat production, light fuel oil, at boiler 100kW condensing, non-modulating | heat, central or small-scale, other than natural gas | APOS, U</t>
  </si>
  <si>
    <t>Calculated value based on reported fuel input (in m³), the Net Heating Value of the fuel and assumed efficiency (1/Fuel_use).</t>
  </si>
  <si>
    <t>heat production, natural gas, at boiler modulating &gt;100kW | heat, district or industrial, natural gas | APOS, U</t>
  </si>
  <si>
    <t>Calculated value. Reported as volume. Used for heating molds prior to casting</t>
  </si>
  <si>
    <t>Reported as kg natural gas.  Conversion to heat supplied by the combustion of natural gas based on lower heating value of natural gas and boiler efficiency (expressed as 1/fuel_use), both taken from ecoinvent reports on energy production.</t>
  </si>
  <si>
    <t>heat production, propane, at industrial furnace &gt;100kW | heat, district or industrial, other than natural gas | APOS, U</t>
  </si>
  <si>
    <t>market group for heat, district or industrial, other than natural gas | heat, district or industrial, other than natural gas | APOS, U</t>
  </si>
  <si>
    <t>(4;3;4;5;3)</t>
  </si>
  <si>
    <t>50% of Environmental report Honda, 2008</t>
  </si>
  <si>
    <t>hot rolling, steel</t>
  </si>
  <si>
    <t>market for hot rolling, steel | hot rolling, steel | APOS, U</t>
  </si>
  <si>
    <t>Measured value. Proxy for anodes production. Includes the amount of new metal and metal in the recycled anodes.</t>
  </si>
  <si>
    <t>hydrogen peroxide, without water, in 50% solution state</t>
  </si>
  <si>
    <t>market for hydrogen peroxide, without water, in 50% solution state | hydrogen peroxide, without water, in 50% solution state | APOS, U</t>
  </si>
  <si>
    <t>Measured value. Reported as 50% solution. Amount as been multiplied by concentration in order to have the active ingredient only.</t>
  </si>
  <si>
    <t>hydrogen, liquid</t>
  </si>
  <si>
    <t>market for hydrogen, liquid | hydrogen, liquid | APOS, U</t>
  </si>
  <si>
    <t>Reported as gaseous hydrogen in m³.
The amount of hydrogen liquid in kg obtained by calculating the number of moles with the ideal gas law at SPT and converting this amount with the molar mass of hydrogen (2 g/mol).</t>
  </si>
  <si>
    <t>inductor, auxilliaries and energy use</t>
  </si>
  <si>
    <t>market for inductor, auxilliaries and energy use | inductor, auxilliaries and energy use | APOS, U</t>
  </si>
  <si>
    <t>inductor, miniature radio frequency chip</t>
  </si>
  <si>
    <t>market for inductor, miniature radio frequency chip | inductor, miniature radio frequency chip | APOS, U</t>
  </si>
  <si>
    <t>inductor, ring core choke type</t>
  </si>
  <si>
    <t>market for inductor, ring core choke type | inductor, ring core choke type | APOS, U</t>
  </si>
  <si>
    <t>injection moulding</t>
  </si>
  <si>
    <t>market for injection moulding | injection moulding | APOS, U</t>
  </si>
  <si>
    <t>All HDPE</t>
  </si>
  <si>
    <t>insulated gate bipolar transistor, electric vehicle application</t>
  </si>
  <si>
    <t>market for insulated gate bipolar transistor, electric vehicle application | insulated gate bipolar transistor, electric vehicle application | APOS, U</t>
  </si>
  <si>
    <t>integrated circuit, logic type</t>
  </si>
  <si>
    <t>market for integrated circuit, logic type | integrated circuit, logic type | APOS, U</t>
  </si>
  <si>
    <t>isopropanol</t>
  </si>
  <si>
    <t>market for isopropanol | isopropanol | APOS, U</t>
  </si>
  <si>
    <t>Measured Value. Used in mold production.</t>
  </si>
  <si>
    <t>Proxy. Reported as flour calcined China clay used for mold production. Measured value.</t>
  </si>
  <si>
    <t>lead</t>
  </si>
  <si>
    <t>market for lead | lead | APOS, U</t>
  </si>
  <si>
    <t>light emitting diode</t>
  </si>
  <si>
    <t>market for light emitting diode | light emitting diode | APOS, U</t>
  </si>
  <si>
    <t>liquid crystal display, unmounted</t>
  </si>
  <si>
    <t>market for liquid crystal display, unmounted | liquid crystal display, unmounted | APOS, U</t>
  </si>
  <si>
    <t>lubricating oil</t>
  </si>
  <si>
    <t>market for lubricating oil | lubricating oil | APOS, U</t>
  </si>
  <si>
    <t>reported as Lubricants (maintenance material)</t>
  </si>
  <si>
    <t>magnesium</t>
  </si>
  <si>
    <t>market for magnesium | magnesium | APOS, U</t>
  </si>
  <si>
    <t>manganese dioxide</t>
  </si>
  <si>
    <t>market for manganese dioxide | manganese dioxide | APOS, U</t>
  </si>
  <si>
    <t>metal working, average for aluminium product manufacturing</t>
  </si>
  <si>
    <t>C:Manufacturing/25:Manufacture of fabricated metal products, except machinery and equipment/259:Manufacture of other fabricated metal products; metalworking service activit</t>
  </si>
  <si>
    <t>market for metal working, average for aluminium product manufacturing | metal working, average for aluminium product manufacturing | APOS, U</t>
  </si>
  <si>
    <t>(3;4;5;4;3)</t>
  </si>
  <si>
    <t>Own assumption.</t>
  </si>
  <si>
    <t>methyl ethyl ketone</t>
  </si>
  <si>
    <t>market for methyl ethyl ketone | methyl ethyl ketone | APOS, U</t>
  </si>
  <si>
    <t>Measured value. Used as paint cleaner.</t>
  </si>
  <si>
    <t>mounting, through-hole technology, Pb-free solder</t>
  </si>
  <si>
    <t>market for mounting, through-hole technology, Pb-free solder | mounting, through-hole technology, Pb-free solder | APOS, U</t>
  </si>
  <si>
    <t>nitric acid, without water, in 50% solution state</t>
  </si>
  <si>
    <t>market for nitric acid, without water, in 50% solution state | nitric acid, without water, in 50% solution state | APOS, U</t>
  </si>
  <si>
    <t>Measured value. Reported value from waste inventory (from occasionally discharged basin), input assumed equivalent to output. Assumption verified by data provider.</t>
  </si>
  <si>
    <t>nitrogen, liquid</t>
  </si>
  <si>
    <t>market for nitrogen, liquid | nitrogen, liquid | APOS, U</t>
  </si>
  <si>
    <t>nylon 6</t>
  </si>
  <si>
    <t>market for nylon 6 | nylon 6 | APOS, U</t>
  </si>
  <si>
    <t>(4;5;5;4;4)</t>
  </si>
  <si>
    <t>Occupation, inland waterbody, unspecified</t>
  </si>
  <si>
    <t>Calculated Value. Land use of the different ponds : tailings pond, wastewater treatment sludge pond and Jarofix disposal site.</t>
  </si>
  <si>
    <t>oxygen, liquid</t>
  </si>
  <si>
    <t>market for oxygen, liquid | oxygen, liquid | APOS, U</t>
  </si>
  <si>
    <t>palladium</t>
  </si>
  <si>
    <t>market for palladium | palladium | APOS, U</t>
  </si>
  <si>
    <t>perlite</t>
  </si>
  <si>
    <t>market for perlite | perlite | APOS, U</t>
  </si>
  <si>
    <t>permanent magnet, for electric motor</t>
  </si>
  <si>
    <t>C:Manufacturing/25:Manufacture of fabricated metal products, except machinery and equipment/259:Manufacture of other fabricated metal products; metalworking service activit/2599:Manufacture of other fabricated metal products n.e.c.</t>
  </si>
  <si>
    <t>market for permanent magnet, for electric motor | permanent magnet, for electric motor | APOS, U</t>
  </si>
  <si>
    <t>plug, inlet and outlet, for computer cable</t>
  </si>
  <si>
    <t>market for plug, inlet and outlet, for computer cable | plug, inlet and outlet, for computer cable | APOS, U</t>
  </si>
  <si>
    <t>plug, inlet and outlet, for network cable</t>
  </si>
  <si>
    <t>market for plug, inlet and outlet, for network cable | plug, inlet and outlet, for network cable | APOS, U</t>
  </si>
  <si>
    <t>polyester resin, unsaturated</t>
  </si>
  <si>
    <t>market for polyester resin, unsaturated | polyester resin, unsaturated | APOS, U</t>
  </si>
  <si>
    <t>polyethylene terephthalate, granulate, amorphous</t>
  </si>
  <si>
    <t>market for polyethylene terephthalate, granulate, amorphous | polyethylene terephthalate, granulate, amorphous | APOS, U</t>
  </si>
  <si>
    <t>Proxy. Represents x-ray film used for non-destructive testing, PET is the mainly constituant of x-ray film. Calculated value</t>
  </si>
  <si>
    <t>polyethylene, high density, granulate</t>
  </si>
  <si>
    <t>market for polyethylene, high density, granulate | polyethylene, high density, granulate | APOS, U</t>
  </si>
  <si>
    <t>polyethylene, low density, granulate</t>
  </si>
  <si>
    <t>market for polyethylene, low density, granulate | polyethylene, low density, granulate | APOS, U</t>
  </si>
  <si>
    <t>polyphenylene sulfide</t>
  </si>
  <si>
    <t>market for polyphenylene sulfide | polyphenylene sulfide | APOS, U</t>
  </si>
  <si>
    <t>polypropylene, granulate</t>
  </si>
  <si>
    <t>market for polypropylene, granulate | polypropylene, granulate | APOS, U</t>
  </si>
  <si>
    <t>15% of passenger car</t>
  </si>
  <si>
    <t>polystyrene, high impact</t>
  </si>
  <si>
    <t>market for polystyrene, high impact | polystyrene, high impact | APOS, U</t>
  </si>
  <si>
    <t>polyurethane, flexible foam</t>
  </si>
  <si>
    <t>market for polyurethane, flexible foam | polyurethane, flexible foam | APOS, U</t>
  </si>
  <si>
    <t>polyvinylchloride, bulk polymerised</t>
  </si>
  <si>
    <t>market for polyvinylchloride, bulk polymerised | polyvinylchloride, bulk polymerised | APOS, U</t>
  </si>
  <si>
    <t>Estimation. PVC is used in the electronical system.</t>
  </si>
  <si>
    <t>polyvinylchloride, suspension polymerised</t>
  </si>
  <si>
    <t>market for polyvinylchloride, suspension polymerised | polyvinylchloride, suspension polymerised | APOS, U</t>
  </si>
  <si>
    <t>potassium hydroxide</t>
  </si>
  <si>
    <t>market for potassium hydroxide | potassium hydroxide | APOS, U</t>
  </si>
  <si>
    <t>Potassium hydroxide used in alkaline solution. Calculated value (see Exchange Properties).</t>
  </si>
  <si>
    <t>potassium permanganate</t>
  </si>
  <si>
    <t>market for potassium permanganate | potassium permanganate | APOS, U</t>
  </si>
  <si>
    <t>potentiometer, unspecified</t>
  </si>
  <si>
    <t>market for potentiometer, unspecified | potentiometer, unspecified | APOS, U</t>
  </si>
  <si>
    <t>precious metal refinery</t>
  </si>
  <si>
    <t>market for precious metal refinery | precious metal refinery | APOS, U</t>
  </si>
  <si>
    <t>Proxy. Estimated value. The service life, surface area covered and annual production volume of the actual plant, 50 years, 30 ha and more than 250 000 t respectively, are very different than the values assumed for the precious metal refinery modeled by the dataset, 25 years, 0,5 ha and 243 t respectively.</t>
  </si>
  <si>
    <t>printed wiring board, for through-hole mounting, Pb containing surface</t>
  </si>
  <si>
    <t>market for printed wiring board, for through-hole mounting, Pb containing surface | printed wiring board, for through-hole mounting, Pb containing surface | APOS, U</t>
  </si>
  <si>
    <t>printed wiring board, for through-hole mounting, Pb free surface</t>
  </si>
  <si>
    <t>market for printed wiring board, for through-hole mounting, Pb free surface | printed wiring board, for through-hole mounting, Pb free surface | APOS, U</t>
  </si>
  <si>
    <t>printed wiring board, mounted mainboard, desktop computer, Pb free</t>
  </si>
  <si>
    <t>market for printed wiring board, mounted mainboard, desktop computer, Pb free | printed wiring board, mounted mainboard, desktop computer, Pb free | APOS, U</t>
  </si>
  <si>
    <t>printed wiring board, surface mounted, unspecified, Pb free</t>
  </si>
  <si>
    <t>market for printed wiring board, surface mounted, unspecified, Pb free | printed wiring board, surface mounted, unspecified, Pb free | APOS, U</t>
  </si>
  <si>
    <t>printed wiring board, through-hole mounted, unspecified, Pb free</t>
  </si>
  <si>
    <t>market for printed wiring board, through-hole mounted, unspecified, Pb free | printed wiring board, through-hole mounted, unspecified, Pb free | APOS, U</t>
  </si>
  <si>
    <t>propane, burned in building machine</t>
  </si>
  <si>
    <t>market for propane, burned in building machine | propane, burned in building machine | APOS, U</t>
  </si>
  <si>
    <t>Reported as for forklift truck. Calculated value (see Exchange Properties).</t>
  </si>
  <si>
    <t>propylene glycol, liquid</t>
  </si>
  <si>
    <t>market for propylene glycol, liquid | propylene glycol, liquid | APOS, U</t>
  </si>
  <si>
    <t>Proxy. Represents polyakylene glycol fraction of chemical quencher. Measured value.</t>
  </si>
  <si>
    <t>pyridine</t>
  </si>
  <si>
    <t>market for pyridine | pyridine | APOS, U</t>
  </si>
  <si>
    <t>Measured value. Reported as cyclic amine (confidential).</t>
  </si>
  <si>
    <t>Measured value. Quicklime is hydrated on site.</t>
  </si>
  <si>
    <t>resistor, auxilliaries and energy use</t>
  </si>
  <si>
    <t>market for resistor, auxilliaries and energy use | resistor, auxilliaries and energy use | APOS, U</t>
  </si>
  <si>
    <t>resistor, metal film type, through-hole mounting</t>
  </si>
  <si>
    <t>market for resistor, metal film type, through-hole mounting | resistor, metal film type, through-hole mounting | APOS, U</t>
  </si>
  <si>
    <t>resistor, surface-mounted</t>
  </si>
  <si>
    <t>market for resistor, surface-mounted | resistor, surface-mounted | APOS, U</t>
  </si>
  <si>
    <t>resistor, wirewound, through-hole mounting</t>
  </si>
  <si>
    <t>market for resistor, wirewound, through-hole mounting | resistor, wirewound, through-hole mounting | APOS, U</t>
  </si>
  <si>
    <t>retention aid, for paper production</t>
  </si>
  <si>
    <t>market for retention aid, for paper production | retention aid, for paper production | APOS, U</t>
  </si>
  <si>
    <t>Proxy, reported as "flocculants (polyacrilamide)". Measured value.</t>
  </si>
  <si>
    <t>road vehicle factory</t>
  </si>
  <si>
    <t>market for road vehicle factory | road vehicle factory | APOS, U</t>
  </si>
  <si>
    <t>rolling mill</t>
  </si>
  <si>
    <t>C:Manufacturing/28:Manufacture of machinery and equipment n.e.c./282:Manufacture of special-purpose machinery/2823:Manufacture of machinery for metallurgy</t>
  </si>
  <si>
    <t>market for rolling mill | rolling mill | APOS, U</t>
  </si>
  <si>
    <t>Proxy. Value taken directly from ecoinvent v3.0 dataset "wire drawing, steel, GLO 2002".</t>
  </si>
  <si>
    <t>sawnwood, softwood, raw, dried (u=20%)</t>
  </si>
  <si>
    <t>C:Manufacturing/16:Manufacture of wood and of products of wood and cork, except furniture; manufacture of articles of straw and plaiting materials/161:Sawmilling and planing of wood/1610:Sawmilling and planing of wood</t>
  </si>
  <si>
    <t>market for sawnwood, softwood, raw, dried (u=20%) | sawnwood, softwood, raw, dried (u=20%) | APOS, U</t>
  </si>
  <si>
    <t>Reported as coils for primary packaging. Calculated value (see Exchange Properties).</t>
  </si>
  <si>
    <t>section bar extrusion, aluminium</t>
  </si>
  <si>
    <t>market for section bar extrusion, aluminium | section bar extrusion, aluminium | APOS, U</t>
  </si>
  <si>
    <t>Measured value. Proxy for the production of the copper bars (anodes and equipotentials).</t>
  </si>
  <si>
    <t>section bar rolling, steel</t>
  </si>
  <si>
    <t>market for section bar rolling, steel | section bar rolling, steel | APOS, U</t>
  </si>
  <si>
    <t>selective coat, aluminium sheet, nickel pigmented aluminium oxide</t>
  </si>
  <si>
    <t>C:Manufacturing/25:Manufacture of fabricated metal products, except machinery and equipment/259:Manufacture of other fabricated metal products; metalworking service activit/2592:Treatment and coating of metals; machining</t>
  </si>
  <si>
    <t>market for selective coat, aluminium sheet, nickel pigmented aluminium oxide | selective coat, aluminium sheet, nickel pigmented aluminium oxide | APOS, U</t>
  </si>
  <si>
    <t>sheet rolling, aluminium</t>
  </si>
  <si>
    <t>market for sheet rolling, aluminium | sheet rolling, aluminium | APOS, U</t>
  </si>
  <si>
    <t>sheet rolling, chromium steel</t>
  </si>
  <si>
    <t>market for sheet rolling, chromium steel | sheet rolling, chromium steel | APOS, U</t>
  </si>
  <si>
    <t>sheet rolling, steel</t>
  </si>
  <si>
    <t>market for sheet rolling, steel | sheet rolling, steel | APOS, U</t>
  </si>
  <si>
    <t>silica sand</t>
  </si>
  <si>
    <t>market for silica sand | silica sand | APOS, U</t>
  </si>
  <si>
    <t>Measured value. Silica sand is used in molding.</t>
  </si>
  <si>
    <t>silicon carbide</t>
  </si>
  <si>
    <t>market for silicon carbide | silicon carbide | APOS, U</t>
  </si>
  <si>
    <t>Measured value. Reported as silicon carbide crucibles.</t>
  </si>
  <si>
    <t>silicon, electronics grade</t>
  </si>
  <si>
    <t>market for silicon, electronics grade | silicon, electronics grade | APOS, U</t>
  </si>
  <si>
    <t>silver</t>
  </si>
  <si>
    <t>market for silver | silver | APOS, U</t>
  </si>
  <si>
    <t>(2;1;4;1;1)</t>
  </si>
  <si>
    <t>Calculated value. Silver for anode production, excluding the amount recovered from restored anodes.</t>
  </si>
  <si>
    <t>soap</t>
  </si>
  <si>
    <t>market for soap | soap | APOS, U</t>
  </si>
  <si>
    <t>soda ash, dense</t>
  </si>
  <si>
    <t>market for soda ash, dense | soda ash, dense | APOS, U</t>
  </si>
  <si>
    <t>Measured value. Reported as sodium carbonate. Assumed to be dense soda ash.</t>
  </si>
  <si>
    <t>sodium dithionite, anhydrous</t>
  </si>
  <si>
    <t>market for sodium dithionite, anhydrous | sodium dithionite, anhydrous | APOS, U</t>
  </si>
  <si>
    <t>Not reported in EAA (2008).  Inherited form Althaus (2009).</t>
  </si>
  <si>
    <t>Measured value. Reported as 50% solution. Amount as been divided in half in order to have the active ingredient only.</t>
  </si>
  <si>
    <t>sodium nitrite</t>
  </si>
  <si>
    <t>market for sodium nitrite | sodium nitrite | APOS, U</t>
  </si>
  <si>
    <t>Proxy. Represents sodium nitrile fraction of chemical quencher. Measured value.</t>
  </si>
  <si>
    <t>sodium silicate, without water, in 37% solution state</t>
  </si>
  <si>
    <t>market for sodium silicate, without water, in 37% solution state | sodium silicate, without water, in 37% solution state | APOS, U</t>
  </si>
  <si>
    <t>Measured value. Reported as 38% solution. Amount as been multiplied by concentration in order to have the active ingredient only.</t>
  </si>
  <si>
    <t>sodium sulfate, anhydrite</t>
  </si>
  <si>
    <t>market for sodium sulfate, anhydrite | sodium sulfate, anhydrite | APOS, U</t>
  </si>
  <si>
    <t>Calculated value. Per meter value (in kg) calculated from per kg data for 3.67 mm diameter wire (assumed to be diameter or mass independent) from data providing manufacturing company.</t>
  </si>
  <si>
    <t>sodium sulfide</t>
  </si>
  <si>
    <t>market for sodium sulfide | sodium sulfide | APOS, U</t>
  </si>
  <si>
    <t>steel, chromium steel 18/8, hot rolled</t>
  </si>
  <si>
    <t>market for steel, chromium steel 18/8, hot rolled | steel, chromium steel 18/8, hot rolled | APOS, U</t>
  </si>
  <si>
    <t>steel, low-alloyed</t>
  </si>
  <si>
    <t>market for steel, low-alloyed | steel, low-alloyed | APOS, U</t>
  </si>
  <si>
    <t>Proxy. Reported as scouring pads. Calculated per meter value (in kg) calculated from per kg data for 3.67 mm diameter wire (assumed to be diameter or mass independent) from data providing manufacturing comapny.</t>
  </si>
  <si>
    <t>steel, low-alloyed, hot rolled</t>
  </si>
  <si>
    <t>market for steel, low-alloyed, hot rolled | steel, low-alloyed, hot rolled | APOS, U</t>
  </si>
  <si>
    <t>Calculated value. From waste inventory.</t>
  </si>
  <si>
    <t>steel, unalloyed</t>
  </si>
  <si>
    <t>market for steel, unalloyed | steel, unalloyed | APOS, U</t>
  </si>
  <si>
    <t>Reported as 9.5 mm diameter carbon steel cast alloy rods. Calculated value (see Parameters).</t>
  </si>
  <si>
    <t>strontium carbonate</t>
  </si>
  <si>
    <t>market for strontium carbonate | strontium carbonate | APOS, U</t>
  </si>
  <si>
    <t>switch, toggle type</t>
  </si>
  <si>
    <t>market for switch, toggle type | switch, toggle type | APOS, U</t>
  </si>
  <si>
    <t>synthetic rubber</t>
  </si>
  <si>
    <t>market for synthetic rubber | synthetic rubber | APOS, U</t>
  </si>
  <si>
    <t>market group for tap water | tap water | APOS, U</t>
  </si>
  <si>
    <t>Measured value. Per meter value (in kg) calculated from per kg data for 3.67 mm diameter wire (assumed to be diameter or mass independent) from data providing manufacturing company.</t>
  </si>
  <si>
    <t>tempering, flat glass</t>
  </si>
  <si>
    <t>market for tempering, flat glass | tempering, flat glass | APOS, U</t>
  </si>
  <si>
    <t>tetraethyl orthosilicate</t>
  </si>
  <si>
    <t>market for tetraethyl orthosilicate | tetraethyl orthosilicate | APOS, U</t>
  </si>
  <si>
    <t>Proxy. Reported as hydrolyzed ethyl silicate. Measured value.</t>
  </si>
  <si>
    <t>tin</t>
  </si>
  <si>
    <t>C:Manufacturing/24:Manufacture of basic metals/243:Casting of metals/2432:Casting of non-ferrous metals</t>
  </si>
  <si>
    <t>market for tin | tin | APOS, U</t>
  </si>
  <si>
    <t>titanium dioxide</t>
  </si>
  <si>
    <t>market for titanium dioxide | titanium dioxide | APOS, U</t>
  </si>
  <si>
    <t>Measured value. Represents component of an ingredient used for mold production.</t>
  </si>
  <si>
    <t>Transformation, to inland waterbody, unspecified</t>
  </si>
  <si>
    <t>transformer, high voltage use</t>
  </si>
  <si>
    <t>C:Manufacturing/27:Manufacture of electrical equipment/271:Manufacture of electric motors, generators, transformers and electricity distribution and control apparatus/2710:Manufacture of electric motors, generators, transformers and electricity di</t>
  </si>
  <si>
    <t>market for transformer, high voltage use | transformer, high voltage use | APOS, U</t>
  </si>
  <si>
    <t>transformer, low voltage use</t>
  </si>
  <si>
    <t>market for transformer, low voltage use | transformer, low voltage use | APOS, U</t>
  </si>
  <si>
    <t>transistor, auxilliaries and energy use</t>
  </si>
  <si>
    <t>market for transistor, auxilliaries and energy use | transistor, auxilliaries and energy use | APOS, U</t>
  </si>
  <si>
    <t>transistor, surface-mounted</t>
  </si>
  <si>
    <t>market for transistor, surface-mounted | transistor, surface-mounted | APOS, U</t>
  </si>
  <si>
    <t>transistor, wired, big size, through-hole mounting</t>
  </si>
  <si>
    <t>market for transistor, wired, big size, through-hole mounting | transistor, wired, big size, through-hole mounting | APOS, U</t>
  </si>
  <si>
    <t>transistor, wired, small size, through-hole mounting</t>
  </si>
  <si>
    <t>market for transistor, wired, small size, through-hole mounting | transistor, wired, small size, through-hole mounting | APOS, U</t>
  </si>
  <si>
    <t>transport, passenger car, large size, petrol, EURO 3</t>
  </si>
  <si>
    <t>H:Transportation and storage/49:Land transport and transport via pipelines/492:Other land transport/4922:Other passenger land transport</t>
  </si>
  <si>
    <t>market for transport, passenger car, large size, petrol, EURO 3 | transport, passenger car, large size, petrol, EURO 3 | APOS, U</t>
  </si>
  <si>
    <t>Calculated value. Reported as liters of petrol used in pickup trucks (1.031E-4 liter/kg). Conversion using : 0,081237 kg/km (taken directly from ecoinvent v3.0 dataset "transport, passenger car, large size, petrol, EURO 3, GLO") and 0.75 kg/l (taken from Table 5.1 of the data quality guideline).</t>
  </si>
  <si>
    <t>urea</t>
  </si>
  <si>
    <t>market for urea | urea | APOS, U</t>
  </si>
  <si>
    <t>The exchange has been updated from 'urea, as N' into 'urea' and therefore its amount has been scaled (multiplied) from 0 kg by 2.1438 kg of 'urea' per kg of 'urea, as N'. Original comment of the exchange is: Measured value.</t>
  </si>
  <si>
    <t>water, deionised</t>
  </si>
  <si>
    <t>market for water, deionised | water, deionised | APOS, U</t>
  </si>
  <si>
    <t>Water used in alkaline solution. Calculated value (see Exchange Properties).</t>
  </si>
  <si>
    <t>Measured value. Used as cooling water.</t>
  </si>
  <si>
    <t>wax, lost-wax casting</t>
  </si>
  <si>
    <t>market for wax, lost-wax casting | wax, lost-wax casting | APOS, U</t>
  </si>
  <si>
    <t>Measured value. Includes different types of molding wax.</t>
  </si>
  <si>
    <t>wire drawing, copper</t>
  </si>
  <si>
    <t>market for wire drawing, copper | wire drawing, copper | APOS, U</t>
  </si>
  <si>
    <t>zinc</t>
  </si>
  <si>
    <t>market for zinc | zinc | APOS, U</t>
  </si>
  <si>
    <t>zinc coat, coils</t>
  </si>
  <si>
    <t>market for zinc coat, coils | zinc coat, coils | APOS, U</t>
  </si>
  <si>
    <t>zinc concentrate</t>
  </si>
  <si>
    <t>market for zinc concentrate | zinc concentrate | APOS, U</t>
  </si>
  <si>
    <t>zircon, 50% zirconium</t>
  </si>
  <si>
    <t>market for zircon, 50% zirconium | zircon, 50% zirconium | APOS, U</t>
  </si>
  <si>
    <t>Measured value. Reported as zircon flour or crude zirconium silicate. Used in ceramic mold.</t>
  </si>
  <si>
    <t>aluminium scrap, new</t>
  </si>
  <si>
    <t>market for aluminium scrap, new | aluminium scrap, new | APOS, U</t>
  </si>
  <si>
    <t>Total alumiunium scrap from production process.</t>
  </si>
  <si>
    <t>Reported as new aluminium scrap, generated during co-extrusion of aluminium over steel core. Plus aluminium part of scrap (off-specifications) bi-metal wire. Calculated value (see Parameters).</t>
  </si>
  <si>
    <t>Extrapolated from ecoinvent v2.2 passenger car.</t>
  </si>
  <si>
    <t>Measured value. Emissions from carbonates and concentrate.</t>
  </si>
  <si>
    <t>(1;4;3;4;2)</t>
  </si>
  <si>
    <t>copper cake</t>
  </si>
  <si>
    <t>market for copper cake | copper cake | APOS, U</t>
  </si>
  <si>
    <t>Measured Value. Proxy created to estimate the treatment of the copper cake.</t>
  </si>
  <si>
    <t>copper scrap, sorted, pressed</t>
  </si>
  <si>
    <t>market for copper scrap, sorted, pressed | copper scrap, sorted, pressed | APOS, U</t>
  </si>
  <si>
    <t>Production scrap. Own estimate, based on values from automotive industry.</t>
  </si>
  <si>
    <t>Calculated as equal to TOC.</t>
  </si>
  <si>
    <t>Derived from COD as described in ecoinvent 3 Data Quality Guidelines (p. 49, paragraph 5.9.7). The same Pedigree matrix value as COD has been used.</t>
  </si>
  <si>
    <t>(1;5;5;5;3)</t>
  </si>
  <si>
    <t>Proxy. Taken directly from the ecoinvent v3.0 datatset "primary zinc production from concentrate, GLO 2003". The uncertainty has been adjusted accordingly</t>
  </si>
  <si>
    <t>Measured value. Represents sludge from oil separator.</t>
  </si>
  <si>
    <t>Measured value. Includes several hazardous waste types: sorbing agent with oil, degreasing agent, spent filtration media, green soluble wax and aerosol.</t>
  </si>
  <si>
    <t>EcoSpold01Location=DE</t>
  </si>
  <si>
    <t>Reported as solid waste to inert material landfill. Calculated value. Per meter value (in kg) calculated from per kg data for 3.67 mm diameter wire (assumed to be diameter or mass independent) from data providing manufacturing company.</t>
  </si>
  <si>
    <t>Measured value. Includes waste ceramic mold (4.4359 kg), water based ceramic paste (1.3406 kg), aluminium oxide from sand blasting (0.1221 kg) and crucible (0.0402 kg, estimate based on silicon carbide crucible).</t>
  </si>
  <si>
    <t>municipal solid waste</t>
  </si>
  <si>
    <t>treatment of municipal solid waste, sanitary landfill | municipal solid waste | APOS, U</t>
  </si>
  <si>
    <t>Measured value. Reported as household waste.</t>
  </si>
  <si>
    <t>Calculated value. Emission of nitrogen to air calculated from mass balance assuming all of nitrogen input is emitted.</t>
  </si>
  <si>
    <t>Measured value. Reported as NO2.</t>
  </si>
  <si>
    <t>(1;4;3;3;1)</t>
  </si>
  <si>
    <t>Propanol</t>
  </si>
  <si>
    <t>Measured value. Fugitive emission of isopronal.</t>
  </si>
  <si>
    <t>scrap copper</t>
  </si>
  <si>
    <t>market for scrap copper | scrap copper | APOS, U</t>
  </si>
  <si>
    <t>Estimation. It is assumed that 100% of that material is recycled.</t>
  </si>
  <si>
    <t>Measured value. Steel from waste propane cylinders (sent to recycling).</t>
  </si>
  <si>
    <t>spent solvent mixture</t>
  </si>
  <si>
    <t>market for spent solvent mixture | spent solvent mixture | APOS, U</t>
  </si>
  <si>
    <t>Proxy. Represents hazardous waste: solvent based degreasing agent, refractory paste, deoxidizer agent and spent nitric acid sent to treatment (0.0631 kg). Measured value.</t>
  </si>
  <si>
    <t>Calculated by default as TOC (gC) = COD/2.7 (COD measured in g O2). Should more correctly be calculated from the carbon content of the specified emissions to water.</t>
  </si>
  <si>
    <t>used glider, electric scooter</t>
  </si>
  <si>
    <t>market for used glider, electric scooter | used glider, electric scooter | APOS, U</t>
  </si>
  <si>
    <t>used glider, passenger car</t>
  </si>
  <si>
    <t>market for used glider, passenger car | used glider, passenger car | APOS, U</t>
  </si>
  <si>
    <t>used internal combustion engine, passenger car</t>
  </si>
  <si>
    <t>market for used internal combustion engine, passenger car | used internal combustion engine, passenger car | APOS, U</t>
  </si>
  <si>
    <t>waste emulsion paint, separated</t>
  </si>
  <si>
    <t>market for waste emulsion paint, separated | waste emulsion paint, separated | APOS, U</t>
  </si>
  <si>
    <t>Measured value. Used filters from air filtration treatment used for epoxy paint vapor.</t>
  </si>
  <si>
    <t>waste glass</t>
  </si>
  <si>
    <t>market for waste glass | waste glass | APOS, U</t>
  </si>
  <si>
    <t>Calculated value. Rotor blades and nacelle cover are disposed in the municipial waste incinerator as it is not possible to seperate the components of glass fibre reinforced plastic. Per kg of glass fiber reinforced plastic 0.65 kg waste is estimated (41'000 kg * 0.65 kg = 26'650 kg) (recommended by Gabor Doka, 28.7.2003).</t>
  </si>
  <si>
    <t>Measured value. Reported as glass to recycling.</t>
  </si>
  <si>
    <t>market group for waste glass | waste glass | APOS, U</t>
  </si>
  <si>
    <t>waste mineral oil</t>
  </si>
  <si>
    <t>market for waste mineral oil | waste mineral oil | APOS, U</t>
  </si>
  <si>
    <t>Reported as used mineral oil, 10% water. Calculated value. Per meter value (in kg) calculated from per kg data for 3.67 mm diameter wire (assumed to be diameter or mass independent) from data providing manufacturing company.</t>
  </si>
  <si>
    <t>treatment of waste mineral oil, hazardous waste incineration | waste mineral oil | APOS, U</t>
  </si>
  <si>
    <t>Measured value. Reported as used oil and grease and sent to an external company. Assumed to be incinerated (expert jugement).</t>
  </si>
  <si>
    <t>waste paint on metal</t>
  </si>
  <si>
    <t>market for waste paint on metal | waste paint on metal | APOS, U</t>
  </si>
  <si>
    <t>Measured value. Used paint containers.</t>
  </si>
  <si>
    <t>waste paper, unsorted</t>
  </si>
  <si>
    <t>market for waste paper, unsorted | waste paper, unsorted | APOS, U</t>
  </si>
  <si>
    <t>Measured value. Reported as cardboard/paper to recycling.</t>
  </si>
  <si>
    <t>waste plastic, industrial electronics</t>
  </si>
  <si>
    <t>market for waste plastic, industrial electronics | waste plastic, industrial electronics | APOS, U</t>
  </si>
  <si>
    <t>Total plastic scrap from production process.</t>
  </si>
  <si>
    <t>waste plastic, mixture</t>
  </si>
  <si>
    <t>market for waste plastic, mixture | waste plastic, mixture | APOS, U</t>
  </si>
  <si>
    <t>Scrap fraction from production process.</t>
  </si>
  <si>
    <t>market group for waste plastic, mixture | waste plastic, mixture | APOS, U</t>
  </si>
  <si>
    <t>waste polyethylene</t>
  </si>
  <si>
    <t>market for waste polyethylene | waste polyethylene | APOS, U</t>
  </si>
  <si>
    <t>market group for waste polyethylene | waste polyethylene | APOS, U</t>
  </si>
  <si>
    <t>waste polypropylene</t>
  </si>
  <si>
    <t>market for waste polypropylene | waste polypropylene | APOS, U</t>
  </si>
  <si>
    <t>Estimation. PP used for the electrical cabinet is disposed in the municipial waste incineration. After 20 years of service reuse is hardly possible. The assumption of a complete disposal in the municipial waste incineration reflects a conservative position.</t>
  </si>
  <si>
    <t>market group for waste polypropylene | waste polypropylene | APOS, U</t>
  </si>
  <si>
    <t>waste polyvinylchloride</t>
  </si>
  <si>
    <t>market for waste polyvinylchloride | waste polyvinylchloride | APOS, U</t>
  </si>
  <si>
    <t>market group for waste polyvinylchloride | waste polyvinylchloride | APOS, U</t>
  </si>
  <si>
    <t>waste wood, untreated</t>
  </si>
  <si>
    <t>market for waste wood, untreated | waste wood, untreated | APOS, U</t>
  </si>
  <si>
    <t>Measured value. Reported as wood to recycling.</t>
  </si>
  <si>
    <t>waste x-ray film</t>
  </si>
  <si>
    <t>market for waste x-ray film | waste x-ray film | APOS, U</t>
  </si>
  <si>
    <t>Measured value. Used X-ray films (sold for silver content).</t>
  </si>
  <si>
    <t>wastewater, average</t>
  </si>
  <si>
    <t>E:Water supply; sewerage, waste management and remediation activities/37:Sewerage/370:Sewerage/3700:Sewerage</t>
  </si>
  <si>
    <t>market for wastewater, average | wastewater, average | APOS, U</t>
  </si>
  <si>
    <t>Calculated value. Amount calculated from water inputs. Some effluent characterization data were reported, the calculated per meter values (in kg) calculated from per kg data for 3.67 mm diameter wire (assumed to be diameter or mass independent) from data providing manufacturing comapny: BOD5 = 3.6617E-6 kg/m, COD = 7.504E-6 kg/m, suspended solids = 8.852E-6 kg/m, and hydrocarbons, unspecified = 6,038E-9 kg/m.</t>
  </si>
  <si>
    <t>Calculated value. Amount from water balance. Data provider confirmed that balance of water is evaporated.</t>
  </si>
  <si>
    <t>Estimation by data provider.</t>
  </si>
  <si>
    <t>Reported as "water"</t>
  </si>
  <si>
    <t>OLD SCRAP</t>
  </si>
  <si>
    <t>791be29b-7d71-33ea-bea5-e28d1a92786f</t>
  </si>
  <si>
    <t>This dataset is based on two sources: the European Aluminium Association 2005 LCI data (EAA, 2008); and (2) the ecoinvent v2.2 dataset for the same activity (Althaus, 2009), itself largely based on EAA data from 2000.  Priority was given to data contained in EAA (2008); Althaus (2009) was used only in cases where it was found to be more complete that EAA (2008).;While this dataset represents the refining of prepared post-consumer scrap aluminium, the inputs and outputs reported by EAA (2008) actually refer to refining of all scrap, including post-consumer scrap, scrap from foundries, turnings, skimmings (dross) and aluminium metallics.  In the ecoinvent database, the refining of post-consumer scrap and new scrap is represented by two distinct but mostly identical datasets to enable the appropriate modeling of aluminium mass flow through the economy.;The dataset contains the inputs and outputs for rotary (64%) and reverbatory (36%) furnaces, which together make up about 90% of utilized furnaces in Europe.  The dataset excludes, for lack of access to data, salt slag and dross recycling.  According to EAA, this data gap represents approximately 10-20% of potential impacts, as calculated using the CML 2001 method. The activity starts with the reception of prepared post-consumer aluminium scrap and includes the refining of said scrap in rotary (64%) and reverbatory (36%) furnaces.  It includes alloying (based on weak data on actual alloying metals) and casting to secondary billets. The activity ends with cast aluminium billets.  Note that the dataset excludes salt slag processing and dross recycling (data gap). Dataset documentation https://v38.ecoquery.ecoinvent.org/Details/PDF/6E08298E-1753-49BF-84AB-FEAD76C12D06/06590A66-662A-4885-8494-AD0CF410F956</t>
  </si>
  <si>
    <t>1,1-difluoroethane, HFC-152a</t>
  </si>
  <si>
    <t>market for 1,1-difluoroethane, HFC-152a | 1,1-difluoroethane, HFC-152a | APOS, U</t>
  </si>
  <si>
    <t>(1;4;3;3;2)</t>
  </si>
  <si>
    <t>Used here in place of pentafluoropropane. Data from Xiao et al. 2015.</t>
  </si>
  <si>
    <t>1-butanol</t>
  </si>
  <si>
    <t>market for 1-butanol | 1-butanol | APOS, U</t>
  </si>
  <si>
    <t>(3;5;5;5;1)</t>
  </si>
  <si>
    <t>Data from survey in literature (von Däniken et al. 1995)</t>
  </si>
  <si>
    <t>1-propanol</t>
  </si>
  <si>
    <t>market for 1-propanol | 1-propanol | APOS, U</t>
  </si>
  <si>
    <t>(1;4;5;5;1)</t>
  </si>
  <si>
    <t>De Wild 2007, soldering flux, 95% propanol</t>
  </si>
  <si>
    <t>[thio]carbamate-compound</t>
  </si>
  <si>
    <t>C:Manufacturing/20:Manufacture of chemicals and chemical products/202:Manufacture of other chemical products/2021:Manufacture of pesticides and other agrochemical products</t>
  </si>
  <si>
    <t>market for [thio]carbamate-compound | [thio]carbamate-compound | APOS, U</t>
  </si>
  <si>
    <t>Literature value or expert estimation (Personal written communication, FNC., 2015).</t>
  </si>
  <si>
    <t>acetamide-anillide-compound, unspecified</t>
  </si>
  <si>
    <t>market for acetamide-anillide-compound, unspecified | acetamide-anillide-compound, unspecified | APOS, U</t>
  </si>
  <si>
    <t>Approximation for the input of the active ingredient diflufenican. Applied in the year of establishment fo the plantation.</t>
  </si>
  <si>
    <t>acetic acid, without water, in 98% solution state</t>
  </si>
  <si>
    <t>market for acetic acid, without water, in 98% solution state | acetic acid, without water, in 98% solution state | APOS, U</t>
  </si>
  <si>
    <t>Amount and activity link based on primary data collected from participating companies.</t>
  </si>
  <si>
    <t>acetone, liquid</t>
  </si>
  <si>
    <t>market for acetone, liquid | acetone, liquid | APOS, U</t>
  </si>
  <si>
    <t>acetylene</t>
  </si>
  <si>
    <t>market for acetylene | acetylene | APOS, U</t>
  </si>
  <si>
    <t>Operator information</t>
  </si>
  <si>
    <t>(2;2;5;5;2)</t>
  </si>
  <si>
    <t>acrylic acid</t>
  </si>
  <si>
    <t>market for acrylic acid | acrylic acid | APOS, U</t>
  </si>
  <si>
    <t>acrylic binder, without water, in 34% solution state</t>
  </si>
  <si>
    <t>market for acrylic binder, without water, in 34% solution state | acrylic binder, without water, in 34% solution state | APOS, U</t>
  </si>
  <si>
    <t>(1;2;5;5;1)</t>
  </si>
  <si>
    <t>acrylic dispersion, without water, in 65% solution state</t>
  </si>
  <si>
    <t>market for acrylic dispersion, without water, in 65% solution state | acrylic dispersion, without water, in 65% solution state | APOS, U</t>
  </si>
  <si>
    <t>(2;3;4;1;1)</t>
  </si>
  <si>
    <t>Calculated value: average consumption of three companies</t>
  </si>
  <si>
    <t>(2;3;4;3;1)</t>
  </si>
  <si>
    <t>acrylic filler</t>
  </si>
  <si>
    <t>market for acrylic filler | acrylic filler | APOS, U</t>
  </si>
  <si>
    <t>acrylic varnish, without water, in 87.5% solution state</t>
  </si>
  <si>
    <t>market for acrylic varnish, without water, in 87.5% solution state | acrylic varnish, without water, in 87.5% solution state | APOS, U</t>
  </si>
  <si>
    <t>Literature data and primary data from French manufacturers (Boulard et al, 2011). Paint protection.</t>
  </si>
  <si>
    <t>(1;4;3;3;3)</t>
  </si>
  <si>
    <t>Literature value. Based on literature, the plastics used for the manifacturing of laptop casing, Keyboard &amp; Trackpad (0.136933kg ABS) are PC and ABS. Based on the weighted average of the sources cited in the general comment, the amount of ABS is (0.100667kg), the amount of PC is (0.100667kg) and the amount of 50/50 ABS/PC mixture is (0.13kg).</t>
  </si>
  <si>
    <t>activated bentonite</t>
  </si>
  <si>
    <t>market for activated bentonite | activated bentonite | APOS, U</t>
  </si>
  <si>
    <t>(2;3;4;5;5)</t>
  </si>
  <si>
    <t>activated silica</t>
  </si>
  <si>
    <t>market for activated silica | activated silica | APOS, U</t>
  </si>
  <si>
    <t>Amount based on primary data collected from participating companies.</t>
  </si>
  <si>
    <t>adhesive, for metal</t>
  </si>
  <si>
    <t>market for adhesive, for metal | adhesive, for metal | APOS, U</t>
  </si>
  <si>
    <t>(1;4;5;3;1)</t>
  </si>
  <si>
    <t>adipic acid</t>
  </si>
  <si>
    <t>market for adipic acid | adipic acid | APOS, U</t>
  </si>
  <si>
    <t>(2;1;1;5;1)</t>
  </si>
  <si>
    <t>Calculated as the production-volume weighted average of the exchange amounts of the corresponding regional datasets.</t>
  </si>
  <si>
    <t>agricultural machinery, unspecified</t>
  </si>
  <si>
    <t>C:Manufacturing/28:Manufacture of machinery and equipment n.e.c./282:Manufacture of special-purpose machinery/2821:Manufacture of agricultural and forestry machinery</t>
  </si>
  <si>
    <t>market for agricultural machinery, unspecified | agricultural machinery, unspecified | APOS, U</t>
  </si>
  <si>
    <t>Literature data and primary data from French manufacturers (Boulard et al, 2011). Ramp and cable drum for the soil preparation system.</t>
  </si>
  <si>
    <t>agricultural trailer</t>
  </si>
  <si>
    <t>market for agricultural trailer | agricultural trailer | APOS, U</t>
  </si>
  <si>
    <t>(3;3;4;5;3)</t>
  </si>
  <si>
    <t>Corresponds to 79.9 kg/ha related to the life time (20 years).  Calculations base on tyre trailers of 1500 kg weight, 1200 hours useful life and 0.22 repair factor.</t>
  </si>
  <si>
    <t>air compressor, screw-type compressor, 300kW</t>
  </si>
  <si>
    <t>C:Manufacturing/28:Manufacture of machinery and equipment n.e.c./281:Manufacture of general-purpose machinery/2813:Manufacture of other pumps, compressors, taps and valves</t>
  </si>
  <si>
    <t>market for air compressor, screw-type compressor, 300kW | air compressor, screw-type compressor, 300kW | APOS, U</t>
  </si>
  <si>
    <t>(3;4;3;3;3)</t>
  </si>
  <si>
    <t>Calculated Value. This exchange represents both a compressor as well as an expander for compressed energy storage.
Compressor: Power rating 134 MW,1.0053E+05 kg (Bouman, 2016)
Expander: Power rating 124 MW, 93'023 kg (Bouman, 2016)
The amount of the compressor has been scaled to represent the weights given in Bouman (2016). The weight of the air compressor is 4600 kg (see general comment of production dataset).</t>
  </si>
  <si>
    <t>air compressor, screw-type compressor, 4kW</t>
  </si>
  <si>
    <t>market for air compressor, screw-type compressor, 4kW | air compressor, screw-type compressor, 4kW | APOS, U</t>
  </si>
  <si>
    <t>(4;5;3;1;1)</t>
  </si>
  <si>
    <t>Calculated value. 
The weight od the air compressor present in the database is 140kg. The weight of the compressor needed for the refrigeration unit is 58kg. The amount of the exchange needed is scaled accordingly.
The original Star Cool refrigeration machine the compressor's description:
Make; Bitzer 
Type: Semi – hermetic two-stage reciprocating. 
Number of cylinders: 2 Low stages cylinders, 2 High stage cylinders. 
Speed: Variable in interval from 20 Hz – 110 Hz controlled by the frequency converter. 
Model: S4BCF – 5.2Y 
Nominal power: 5.5 kW 
Compressor oil type: Reniso Triton SEZ 55 or equivalent 
Compressor housing: Seawater resistant aluminium, unpainted. 
Displacement: 42 m3/h @ 110 Hz 
Weight: 58 Kg</t>
  </si>
  <si>
    <t>air distribution terminal panel, steel, 120 m3/h</t>
  </si>
  <si>
    <t>C:Manufacturing/28:Manufacture of machinery and equipment n.e.c./281:Manufacture of general-purpose machinery/2819:Manufacture of other general-purpose machinery</t>
  </si>
  <si>
    <t>market for air distribution terminal panel, steel, 120 m3/h | air distribution terminal panel, steel, 120 m3/h | APOS, U</t>
  </si>
  <si>
    <t>(2;4;5;5;1)</t>
  </si>
  <si>
    <t>Questionnaire, Data related to building considered</t>
  </si>
  <si>
    <t>air filter, central unit, 600 m3/h</t>
  </si>
  <si>
    <t>market for air filter, central unit, 600 m3/h | air filter, central unit, 600 m3/h | APOS, U</t>
  </si>
  <si>
    <t>air filter, decentralized unit, 180-250 m3/h</t>
  </si>
  <si>
    <t>market for air filter, decentralized unit, 180-250 m3/h | air filter, decentralized unit, 180-250 m3/h | APOS, U</t>
  </si>
  <si>
    <t>air filter, in exhaust air valve</t>
  </si>
  <si>
    <t>market for air filter, in exhaust air valve | air filter, in exhaust air valve | APOS, U</t>
  </si>
  <si>
    <t>(4;3;5;3;4)</t>
  </si>
  <si>
    <t>alkyd paint, white, without water, in 60% solution state</t>
  </si>
  <si>
    <t>market for alkyd paint, white, without water, in 60% solution state | alkyd paint, white, without water, in 60% solution state | APOS, U</t>
  </si>
  <si>
    <t>(4;4;5;3;2)</t>
  </si>
  <si>
    <t>Literature value/calculated value. Used for the tower, the nacelle and the three blades. 
Sum of paint used for the tower (2411kg, directly final value) as well as for the nacelle (654 kg) and in the three blades (3*184 kg) extrapolated with accordant weight factors from a 1.5MW wind turbine.</t>
  </si>
  <si>
    <t>(1;4;2;2;5)</t>
  </si>
  <si>
    <t xml:space="preserve">Calculated value. The amount of exchange is calculated as: amount of input product * (lifetime of the hostel / lifetime of the product). Used here in place of water soluble acrylic paint and alkyd enamel. Combined of all instances of use across the building structure and walls. Assuming 1 liter of paint is required to paint 10m2 and weighs 1.5 kg. Source:  BQ 2018. Wall painting calculator. Available from: https://www.diy.com/help-advice/wall-painting-calculator/Dev_npcart_100008.art Accessed 16 March 2018. Assumed service life of 5 years which is equivalent to the period of major refurbishments in hotels. Source: Filimonau et al. 2011. Reviewing the carbon footprint analysis of hotels: Life Cycle Energy Analysis (LCEA) as a holistic method for carbon impact appraisal of tourist accommodation. Journal of Cleaner Production, 19(17-18), 1917-1930. In terms of outputs assumed to have gone to waste paint on wall. </t>
  </si>
  <si>
    <t>alkyd resin, long oil, without solvent, in 70% white spirit solution state</t>
  </si>
  <si>
    <t>market for alkyd resin, long oil, without solvent, in 70% white spirit solution state | alkyd resin, long oil, without solvent, in 70% white spirit solution state | APOS, U</t>
  </si>
  <si>
    <t>alkylbenzene sulfonate, linear, petrochemical</t>
  </si>
  <si>
    <t>market for alkylbenzene sulfonate, linear, petrochemical | alkylbenzene sulfonate, linear, petrochemical | APOS, U</t>
  </si>
  <si>
    <t>(3;4;3;1;1)</t>
  </si>
  <si>
    <t>Linear Sodium Alkyl Benzene Sulfonic Acid, active ingredient from detergent Primax DGA, label available from: http://www.portaldistribuidora.com/fichas/INDEBA/Primmax%20DGA.pdf</t>
  </si>
  <si>
    <t>alkylketene dimer sizing agent, for paper production</t>
  </si>
  <si>
    <t>market for alkylketene dimer sizing agent, for paper production | alkylketene dimer sizing agent, for paper production | APOS, U</t>
  </si>
  <si>
    <t>Reported as sizing agents.</t>
  </si>
  <si>
    <t>almond</t>
  </si>
  <si>
    <t>A:Agriculture, forestry and fishing/01:Crop and animal production, hunting and related service activities/012:Growing of perennial crops/0125:Growing of other tree and bush fruits and nuts</t>
  </si>
  <si>
    <t>almond production | almond | APOS, U</t>
  </si>
  <si>
    <t>market for almond | almond | APOS, U</t>
  </si>
  <si>
    <t>Estimated value based on literature (FAO, Gustavsson, 2011).
Compensation for product loss</t>
  </si>
  <si>
    <t>aluminium alloy, AlMg3</t>
  </si>
  <si>
    <t>market for aluminium alloy, AlMg3 | aluminium alloy, AlMg3 | APOS, U</t>
  </si>
  <si>
    <t>(2;2;4;1;3)</t>
  </si>
  <si>
    <t>aluminium alloy, metal matrix composite</t>
  </si>
  <si>
    <t>triangular</t>
  </si>
  <si>
    <t>market for aluminium alloy, metal matrix composite | aluminium alloy, metal matrix composite | APOS, U</t>
  </si>
  <si>
    <t>(4;2;2;1;1)</t>
  </si>
  <si>
    <t>Al alloy for marine electric motor construction</t>
  </si>
  <si>
    <t>Proxy. Taken directly from ecoivnent v3.0 dataset "casting, bronze, GLO 2003". Approximated value. The uncertainty was maximized accordingly.</t>
  </si>
  <si>
    <t>aluminium chloride</t>
  </si>
  <si>
    <t>market for aluminium chloride | aluminium chloride | APOS, U</t>
  </si>
  <si>
    <t>Calculated value. Represents aluminium oxyde for grit blasting and alumina content of different ceramic ingredients used to make ceramic casting mold.</t>
  </si>
  <si>
    <t>(3;2;5;5;1)</t>
  </si>
  <si>
    <t>aluminium sulfate, powder</t>
  </si>
  <si>
    <t>market for aluminium sulfate, powder | aluminium sulfate, powder | APOS, U</t>
  </si>
  <si>
    <t>Weighted average of Sources mentionend in "General Comment".</t>
  </si>
  <si>
    <t>(2;3;3;2;2)</t>
  </si>
  <si>
    <t>Measured value: represent the aluminium required for the compensation of the deterioration of the moulds</t>
  </si>
  <si>
    <t>Estimated.</t>
  </si>
  <si>
    <t>Literature value for flue gas treatment.
IPPC (2001b) Integrated Pollution Prevention and Control (IPPC): Draft Reference Document on Best Available Techniques for Large Combustion Plants. European Commission Directorate- eneral JRC, Joint Research Centre, Seville, Spain, retrieved from: http://eippcb.jrc.es.</t>
  </si>
  <si>
    <t>ammonium bicarbonate</t>
  </si>
  <si>
    <t>market for ammonium bicarbonate | ammonium bicarbonate | APOS, U</t>
  </si>
  <si>
    <t>(1;3;5;2;1)</t>
  </si>
  <si>
    <t>(2;1;2;2;1)</t>
  </si>
  <si>
    <t>Value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and 0.02 kg of samarium-europium-gadolinium oxide.</t>
  </si>
  <si>
    <t>ammonium nitrate</t>
  </si>
  <si>
    <t>market for ammonium nitrate | ammonium nitrate | APOS, U</t>
  </si>
  <si>
    <t>(2;1;5;1;1)</t>
  </si>
  <si>
    <t>(4;5;5;5;1)</t>
  </si>
  <si>
    <t>(2;1;3;1;1)</t>
  </si>
  <si>
    <t>The exchange has been updated from 'ammonium nitrate, as N' into 'ammonium nitrate' and therefore its amount has been scaled (multiplied) from 0.0356 kg by 2.8573 kg of 'ammonium nitrate' per kg of 'ammonium nitrate, as N'. Original comment of the exchange is: Calculated based on literature values or expert estimation: The total amount of nutrient (Personal written communication, FNC., 2015) multiplied by the share of fertiliser type (Personal written communication, FNC., 2015). See supporting documentation 'WFLDB-Documentation.pdf' chapter 'Fertiliser application' for L3 and L4 data  (https://ecoquery.ecoinvent.org/File/Reports).
Corresponds to 21.2 kg/ha</t>
  </si>
  <si>
    <t>The exchange has been updated from 'ammonium nitrate, as N' into 'ammonium nitrate' and therefore its amount has been scaled (multiplied) from 0.0003 kg by 2.8573 kg of 'ammonium nitrate' per kg of 'ammonium nitrate, as N'. Original comment of the exchange is: See chapter 'Yields and Inputs of Arable Crop Production' in '01_crop production - yields &amp; inputs CH &amp; Europe_v1.0.pdf', section 'AGRICULTURAL PRODUCTION IN SWITZERLAND' - pdf-document on the dedicated talk page of ecoinvent (www.ecoinvent.org/documentation)
See chapter 'Yields and Inputs of Arable Crop Production' in '01_crop production - yields &amp; inputs CH &amp; Europe_v1.0.pdf', section 'AGRICULTURAL PRODUCTION IN SWITZERLAND' - pdf-document on the dedicated talk page of ecoinvent (www.ecoinvent.org/documentation)</t>
  </si>
  <si>
    <t>ammonium sulfate</t>
  </si>
  <si>
    <t>market for ammonium sulfate | ammonium sulfate | APOS, U</t>
  </si>
  <si>
    <t>Etha+ project Alcosuisse, industrial data</t>
  </si>
  <si>
    <t>ammonium sulfate production | ammonium sulfate | APOS, U</t>
  </si>
  <si>
    <t>(1;1;2;1;1)</t>
  </si>
  <si>
    <t>activity link set as transport is modelled with producer-specific transport distances and transport mean</t>
  </si>
  <si>
    <t>Calculated based on literature values or expert estimation: The total amount of nutrient (Personal written communication, Ms. Namy Espinoza Orias, Nestle., 2015) multiplied by the country-share of fertiliser type (IFA 2014). See supporting documentation 'WFLDB-Documentation.pdf' chapter 'Fertiliser application' for L3 and L4 data  (https://ecoquery.ecoinvent.org/File/Reports).
Corresponds to 44.1 kg/ha</t>
  </si>
  <si>
    <t>anhydrite</t>
  </si>
  <si>
    <t>market for anhydrite | anhydrite | APOS, U</t>
  </si>
  <si>
    <t>(3;5;5;3;1)</t>
  </si>
  <si>
    <t>anhydrite rock</t>
  </si>
  <si>
    <t>market for anhydrite rock | anhydrite rock | APOS, U</t>
  </si>
  <si>
    <t>(1;1;4;1;5)</t>
  </si>
  <si>
    <t>the quantity of calcium sulfate related to1 kg of organic soybean. The mathematical relationship is to put the value in regards to a reference flow of 1kg of tofu. Anhydrite rock used as a proxy for calcium sulphate</t>
  </si>
  <si>
    <t>Anhydrite, in ground</t>
  </si>
  <si>
    <t>Uncertainty for LCI results cannot be determined</t>
  </si>
  <si>
    <t>anionic resin</t>
  </si>
  <si>
    <t>market for anionic resin | anionic resin | APOS, U</t>
  </si>
  <si>
    <t>(2;4;3;3;2)</t>
  </si>
  <si>
    <t>Estimated value. Measured/calculated value for Quebec is extrapolated for GLO.</t>
  </si>
  <si>
    <t>anode refinery</t>
  </si>
  <si>
    <t>anode refinery construction | anode refinery | APOS, U</t>
  </si>
  <si>
    <t>(5;5;5;2;4)</t>
  </si>
  <si>
    <t>Estimation from dataset author.</t>
  </si>
  <si>
    <t>anode, for metal electrolysis</t>
  </si>
  <si>
    <t>market for anode, for metal electrolysis | anode, for metal electrolysis | APOS, U</t>
  </si>
  <si>
    <t>anode, graphite, for lithium-ion battery</t>
  </si>
  <si>
    <t>market for anode, graphite, for lithium-ion battery | anode, graphite, for lithium-ion battery | APOS, U</t>
  </si>
  <si>
    <t>(2;4;4;3;1)</t>
  </si>
  <si>
    <t>EcoSpold01Location=CN</t>
  </si>
  <si>
    <t>anodising, aluminium sheet</t>
  </si>
  <si>
    <t>market for anodising, aluminium sheet | anodising, aluminium sheet | APOS, U</t>
  </si>
  <si>
    <t>anthraquinone</t>
  </si>
  <si>
    <t>market for anthraquinone | anthraquinone | APOS, U</t>
  </si>
  <si>
    <t>Average data from 8 European producers.</t>
  </si>
  <si>
    <t>anti-reflex-coating, etching, solar glass</t>
  </si>
  <si>
    <t>market for anti-reflex-coating, etching, solar glass | anti-reflex-coating, etching, solar glass | APOS, U</t>
  </si>
  <si>
    <t>(2;5;5;5;1)</t>
  </si>
  <si>
    <t>EcoSpold01Location=DK</t>
  </si>
  <si>
    <t>antimony</t>
  </si>
  <si>
    <t>market for antimony | antimony | APOS, U</t>
  </si>
  <si>
    <t>Antimony, in ground</t>
  </si>
  <si>
    <t>apple</t>
  </si>
  <si>
    <t>A:Agriculture, forestry and fishing/01:Crop and animal production, hunting and related service activities/012:Growing of perennial crops/0124:Growing of pome fruits and stone fruits</t>
  </si>
  <si>
    <t>market for apple | apple | APOS, U</t>
  </si>
  <si>
    <t>(4;5;4;2;3)</t>
  </si>
  <si>
    <t>Estimated value based on literature (FAO, Gustavsson, 2011).
Compensation for product loss</t>
  </si>
  <si>
    <t>apple production | apple | APOS, U</t>
  </si>
  <si>
    <t>application of plant protection product, by field sprayer</t>
  </si>
  <si>
    <t>A:Agriculture, forestry and fishing/01:Crop and animal production, hunting and related service activities/016:Support activities to agriculture and post-harvest crop activities/0161:Support activities for crop production</t>
  </si>
  <si>
    <t>ha</t>
  </si>
  <si>
    <t>market for application of plant protection product, by field sprayer | application of plant protection product, by field sprayer | APOS, U</t>
  </si>
  <si>
    <t>Proxy: Extrapolated using a modified MEXALCA-approach (Roches et al. 2010; Nemecek et al. 2012). See supporting documentation 'WFLDB-Documentation.pdf' chapter 'Machinery processes' for L1 data (https://ecoquery.ecoinvent.org/File/Reports). Field sprayer used as a proxy for pesticide application in orchards.</t>
  </si>
  <si>
    <t>application of plant protection product, by field sprayer | application of plant protection product, by field sprayer | APOS, U</t>
  </si>
  <si>
    <t>Proxy: Extrapolated using a modified MEXALCA-approach (Roches et al. 2010; Nemecek et al. 2012). See supporting documentation 'WFLDB-Documentation.pdf' chapter 'Machinery processes' for L1 data (https://ecoquery.ecoinvent.org/File/Reports). Field sprayer used as a proxy for pesticide application in orchards.;activityLink introduced to establish a direct link to the corresponding regional supply of this product</t>
  </si>
  <si>
    <t xml:space="preserve">See chapter 'Yields and Inputs of Arable Crop Production' in '01_crop production - yields &amp; inputs CH &amp; Europe_v1.0.pdf', section 'AGRICULTURAL PRODUCTION IN SWITZERLAND' - pdf-document on the dedicated talk page of ecoinvent (www.ecoinvent.org/documentation)
This exchange has an activity link directly to the producing activity because the product is primarily consumed in the same geographical area where it is produced. </t>
  </si>
  <si>
    <t>apricot</t>
  </si>
  <si>
    <t>apricot production | apricot | APOS, U</t>
  </si>
  <si>
    <t>market for apricot | apricot | APOS, U</t>
  </si>
  <si>
    <t>argon, liquid</t>
  </si>
  <si>
    <t>market for argon, liquid | argon, liquid | APOS, U</t>
  </si>
  <si>
    <t>Reported as Argon</t>
  </si>
  <si>
    <t>Estimation. Gas use in the power plant. Argon and helium are summed up in this exchange</t>
  </si>
  <si>
    <t>asbestos, crysotile type</t>
  </si>
  <si>
    <t>B:Mining and quarrying/08:Other mining and quarrying/089:Mining and quarrying n.e.c./0899:Other mining and quarrying n.e.c.</t>
  </si>
  <si>
    <t>market for asbestos, crysotile type | asbestos, crysotile type | APOS, U</t>
  </si>
  <si>
    <t>(4;4;5;4;4)</t>
  </si>
  <si>
    <t xml:space="preserve">Minerals estimated to account for 2.5% of total lightweight mass (Jain et al., 2016). This is split equally over glass wool, asbestos and ceramics (assumption). Ship lightweight mass calculated from IHSF data, Papanikolaou (2014) and Anink &amp; Krikke (2011). </t>
  </si>
  <si>
    <t>aubergine</t>
  </si>
  <si>
    <t>A:Agriculture, forestry and fishing/01:Crop and animal production, hunting and related service activities/011:Growing of non-perennial crops/0113:Growing of vegetables and melons, roots and tubers</t>
  </si>
  <si>
    <t>aubergine production, open field | aubergine | APOS, U</t>
  </si>
  <si>
    <t>aubergine production, in heated greenhouse | aubergine | APOS, U</t>
  </si>
  <si>
    <t>market for aubergine | aubergine | APOS, U</t>
  </si>
  <si>
    <t>avocado</t>
  </si>
  <si>
    <t>A:Agriculture, forestry and fishing/01:Crop and animal production, hunting and related service activities/012:Growing of perennial crops/0122:Growing of tropical and subtropical fruits</t>
  </si>
  <si>
    <t>market for avocado | avocado | APOS, U</t>
  </si>
  <si>
    <t>avocado production | avocado | APOS, U</t>
  </si>
  <si>
    <t>banana</t>
  </si>
  <si>
    <t>market for banana | banana | APOS, U</t>
  </si>
  <si>
    <t>banana production | banana | APOS, U</t>
  </si>
  <si>
    <t>Proxy with  literature value, to representBa, Sb, Zr compounds, barite is used. 50% of total amount is assumed as metal components</t>
  </si>
  <si>
    <t>barium carbonate</t>
  </si>
  <si>
    <t>market for barium carbonate | barium carbonate | APOS, U</t>
  </si>
  <si>
    <t>barium hydroxide</t>
  </si>
  <si>
    <t>market for barium hydroxide | barium hydroxide | APOS, U</t>
  </si>
  <si>
    <t>Barium, in ground</t>
  </si>
  <si>
    <t>bark chips, wet, measured as dry mass</t>
  </si>
  <si>
    <t>C:Manufacturing/17:Manufacture of paper and paper products/170:Manufacture of paper and paper products/1701:Manufacture of pulp, paper and paperboard</t>
  </si>
  <si>
    <t>market for bark chips, wet, measured as dry mass | bark chips, wet, measured as dry mass | APOS, U</t>
  </si>
  <si>
    <t>(3;2;2;4;1)</t>
  </si>
  <si>
    <t>Average data from ten European producers of folding box board, as fuel, assumes calorific value of 13.6MJ/kg</t>
  </si>
  <si>
    <t>(1;3;3;5;1)</t>
  </si>
  <si>
    <t>Average data from four European producers of SUB/SSB, as fuel, assumes calorific value of 13.6MJ/kg</t>
  </si>
  <si>
    <t>basalt</t>
  </si>
  <si>
    <t>market for basalt | basalt | APOS, U</t>
  </si>
  <si>
    <t>Basalt, in ground</t>
  </si>
  <si>
    <t>(3;4;5;5;3)</t>
  </si>
  <si>
    <t>base plaster</t>
  </si>
  <si>
    <t>market for base plaster | base plaster | APOS, U</t>
  </si>
  <si>
    <t>Estimated value. Combined of all instances of use across the building structure and walls. Assuming that 401 bags of base paster (each bag has a weight of 25 kg) are required to plaster the area of circa 3638,89 m2. Source: British Gypsum 2018. Plaster Coverage Tool. Available from: http://www.british-gypsum.com/technical-advice/plaster-coverage-tool. Accessed 23 March 2018. Assumed service life of 75 years which is equal to the service life of the hotel building with minor refurbishments throughout. In terms of outputs assumed to have gone to waste concrete.</t>
  </si>
  <si>
    <t>battery cell, Li-ion</t>
  </si>
  <si>
    <t>C:Manufacturing/27:Manufacture of electrical equipment/272:Manufacture of batteries and accumulators/2720:Manufacture of batteries and accumulators</t>
  </si>
  <si>
    <t>market for battery cell, Li-ion | battery cell, Li-ion | APOS, U</t>
  </si>
  <si>
    <t>(1;4;4;3;1)</t>
  </si>
  <si>
    <t>battery separator</t>
  </si>
  <si>
    <t>market for battery separator | battery separator | APOS, U</t>
  </si>
  <si>
    <t>battery, Li-ion, NCA, rechargeable, prismatic</t>
  </si>
  <si>
    <t>market for battery, Li-ion, NCA, rechargeable, prismatic | battery, Li-ion, NCA, rechargeable, prismatic | APOS, U</t>
  </si>
  <si>
    <t>battery, Li-ion, rechargeable, prismatic</t>
  </si>
  <si>
    <t>market for battery, Li-ion, rechargeable, prismatic | battery, Li-ion, rechargeable, prismatic | APOS, U</t>
  </si>
  <si>
    <t>Literature value (Carrier, 2014, Operation and service for 69RG15 generator set units, http://dms.hvacpartners.com//docs/2000/Public/04/T-361.pdf, accessed 20141218).</t>
  </si>
  <si>
    <t>bell pepper</t>
  </si>
  <si>
    <t>A:Agriculture, forestry and fishing/01:Crop and animal production, hunting and related service activities/012:Growing of perennial crops/0128:Growing of spices, aromatic, drug and pharmaceutical crops</t>
  </si>
  <si>
    <t>bell pepper production, in heated greenhouse | bell pepper | APOS, U</t>
  </si>
  <si>
    <t>bell pepper production, open field | bell pepper | APOS, U</t>
  </si>
  <si>
    <t>market for bell pepper | bell pepper | APOS, U</t>
  </si>
  <si>
    <t>benzene</t>
  </si>
  <si>
    <t>market for benzene | benzene | APOS, U</t>
  </si>
  <si>
    <t>benzimidazole-compound</t>
  </si>
  <si>
    <t>market for benzimidazole-compound | benzimidazole-compound | APOS, U</t>
  </si>
  <si>
    <t>benzyl alcohol</t>
  </si>
  <si>
    <t>market for benzyl alcohol | benzyl alcohol | APOS, U</t>
  </si>
  <si>
    <t>(2;2;2;1;1)</t>
  </si>
  <si>
    <t>bipyridylium-compound</t>
  </si>
  <si>
    <t>market for bipyridylium-compound | bipyridylium-compound | APOS, U</t>
  </si>
  <si>
    <t>Literature value or expert estimation (Coltro et al. 2006).</t>
  </si>
  <si>
    <t>bisphenol A, powder</t>
  </si>
  <si>
    <t>market for bisphenol A, powder | bisphenol A, powder | APOS, U</t>
  </si>
  <si>
    <t>(1;3;2;5;1)</t>
  </si>
  <si>
    <t>Value based on data from three producers.</t>
  </si>
  <si>
    <t>bitumen seal</t>
  </si>
  <si>
    <t>C:Manufacturing/23:Manufacture of other non-metallic mineral products/239:Manufacture of non-metallic mineral products n.e.c./2399:Manufacture of other non-metallic mineral products n.e.c.</t>
  </si>
  <si>
    <t>market for bitumen seal | bitumen seal | APOS, U</t>
  </si>
  <si>
    <t>Literature data and primary data from French manufacturers (Boulard et al, 2011). Cement sealing in the greenhouse structure.</t>
  </si>
  <si>
    <t>blasting | blasting | APOS, U</t>
  </si>
  <si>
    <t>(2;4;5;3;1)</t>
  </si>
  <si>
    <t>Estimated value. 406.48 kg is the amount of the exchange needed when producing 1 kg of gold. 6.94 kg is the amount of the exchange needed when producing 1 kg of silver. 0.116 kg is the amount of the exchange needed when producing 1 kg of copper. 0.0318 kg is the amount of the exchange needed when producing 1 kg of lead. 0.048 kg is the amount of the exchange needed when producing 1 kg of zinc.</t>
  </si>
  <si>
    <t>blow moulding</t>
  </si>
  <si>
    <t>blow moulding | blow moulding | APOS, U</t>
  </si>
  <si>
    <t>Literature data and primary data from French manufacturers (Boulard et al, 2011). Tanks for the fertigation system.</t>
  </si>
  <si>
    <t>market for blow moulding | blow moulding | APOS, U</t>
  </si>
  <si>
    <t>blower and heat exchange unit, central, 600-1200 m3/h</t>
  </si>
  <si>
    <t>market for blower and heat exchange unit, central, 600-1200 m3/h | blower and heat exchange unit, central, 600-1200 m3/h | APOS, U</t>
  </si>
  <si>
    <t xml:space="preserve">Calculated value. Represents here 4 central air-conditioning units. The amount of exchange is calculated as: amount of input product * (lifetime of the hotel / lifetime of the product). Assumed service life of the air-conditioning unit is 20 years. Source: ASHRAE 2018. ASHRAE Equipment Life Expectancy chart. Available from: http://www.culluminc.com/wp-content/uploads/2013/02/ASHRAE_Chart_HVAC_Life_Expectancy%201.pdf Accessed 23 March 2018. </t>
  </si>
  <si>
    <t>blower and heat exchange unit, decentralized, 180-250 m3/h</t>
  </si>
  <si>
    <t>market for blower and heat exchange unit, decentralized, 180-250 m3/h | blower and heat exchange unit, decentralized, 180-250 m3/h | APOS, U</t>
  </si>
  <si>
    <t xml:space="preserve">Calculated value. Represents here an air-conditioning unit. The amount of exchange is calculated as: amount of input product * (lifetime of the hotel / lifetime of the product). Assumed service life of the air-conditioning unit is 15 years. Source: ASHRAE 2018. ASHRAE Equipment Life Expectancy chart. Available from: http://www.culluminc.com/wp-content/uploads/2013/02/ASHRAE_Chart_HVAC_Life_Expectancy%201.pdf Accessed 23 March 2018. </t>
  </si>
  <si>
    <t>borax, anhydrous, powder</t>
  </si>
  <si>
    <t>market for borax, anhydrous, powder | borax, anhydrous, powder | APOS, U</t>
  </si>
  <si>
    <t>Operator information.</t>
  </si>
  <si>
    <t>Borax, in ground</t>
  </si>
  <si>
    <t>boric acid, anhydrous, powder</t>
  </si>
  <si>
    <t>market for boric acid, anhydrous, powder | boric acid, anhydrous, powder | APOS, U</t>
  </si>
  <si>
    <t>(2;4;4;5;2)</t>
  </si>
  <si>
    <t>Literature Value. Reprents Brass screws.</t>
  </si>
  <si>
    <t>brazing solder, cadmium free</t>
  </si>
  <si>
    <t>market for brazing solder, cadmium free | brazing solder, cadmium free | APOS, U</t>
  </si>
  <si>
    <t>(3;3;5;1;1)</t>
  </si>
  <si>
    <t>broccoli</t>
  </si>
  <si>
    <t>market for broccoli | broccoli | APOS, U</t>
  </si>
  <si>
    <t>broccoli production | broccoli | APOS, U</t>
  </si>
  <si>
    <t>bronze</t>
  </si>
  <si>
    <t>market for bronze | bronze | APOS, U</t>
  </si>
  <si>
    <t>Calculated Value.</t>
  </si>
  <si>
    <t>building, budget hotel</t>
  </si>
  <si>
    <t>building construction, budget hotel | building, budget hotel | APOS, U</t>
  </si>
  <si>
    <t>(2;4;2;2;2)</t>
  </si>
  <si>
    <t>Calculated value. The amount of infrastructure required is calculated based on the lifetime capacity (see properties).;activityLink introduced to establish a direct link to the corresponding regional supply of this product</t>
  </si>
  <si>
    <t>(1;4;2;2;2)</t>
  </si>
  <si>
    <t>Calculated value. The amount of infrastructure required is calculated based on the lifetime capacity (see properties) of the budget hotel and the occupancy rate (see parameters).;activityLink introduced to establish a direct link to the corresponding regional supply of this product</t>
  </si>
  <si>
    <t>building, hall</t>
  </si>
  <si>
    <t>building construction, hall | building, hall | APOS, U</t>
  </si>
  <si>
    <t>Literature value. The inventory for the heat and power cogenerating unit is basically taken from Bauer 2007, with some extrapolations. 
Bauer, C. (2007) Holzenergie. In: Dones, R. (Ed.) et al., Sachbilanzen von Energiesystemen: Grundlagen für den ökologischen Vergleich von Energiesystemen und den Einbezug von Energiesystemen in Ökobilanzen für die Schweiz. Final report ecoinvent No. 6-IX, Paul Scherrer Institut Villigen, Swiss Centre for Life Cycle Inventories, Dübendorf, CH.</t>
  </si>
  <si>
    <t>market for building, hall | building, hall | APOS, U</t>
  </si>
  <si>
    <t>building, hall, steel construction</t>
  </si>
  <si>
    <t>market for building, hall, steel construction | building, hall, steel construction | APOS, U</t>
  </si>
  <si>
    <t>(5;5;5;3;4)</t>
  </si>
  <si>
    <t>Required infrastructure for cool house storage; estimated based on storage of potatoes ("potatoe seed production, Swiss integrated production, for setting"), scaled assuming a storage of 100000 pcst/ha during 1.5 months, in boxes of 40x40x60 cm3 à 1500 pcs, a stacking height of 6 m, and half of the area of the buliding being occupied by corridors.</t>
  </si>
  <si>
    <t>building construction, hall, steel construction | building, hall, steel construction | APOS, U</t>
  </si>
  <si>
    <t>(3;5;4;1;1)</t>
  </si>
  <si>
    <t xml:space="preserve">Estimation. A total area of the mine is estimated in 12'000m2. However, 3'000m2 are included in the module 'gravel/sand quarry construction' and the remaining 9'000m2 are accounted in this dataset.
This exchange has an activity link directly to the producing activity because the product is primarily consumed in the same geographical area where it is produced. </t>
  </si>
  <si>
    <t>building, hostel</t>
  </si>
  <si>
    <t>building construction, hostel | building, hostel | APOS, U</t>
  </si>
  <si>
    <t>Calculated value. The amount of infrastructure required is calculated based on the lifetime capacity (see properties) of the hostel and the occupancy rate (see parameters).;activityLink introduced to establish a direct link to the corresponding regional supply of this product</t>
  </si>
  <si>
    <t>building, luxury hotel</t>
  </si>
  <si>
    <t>building construction, luxury hotel | building, luxury hotel | APOS, U</t>
  </si>
  <si>
    <t>building, multi-storey</t>
  </si>
  <si>
    <t>market for building, multi-storey | building, multi-storey | APOS, U</t>
  </si>
  <si>
    <t>Own estimation, based on proper knowledge of Swiss recycling sites</t>
  </si>
  <si>
    <t>building construction, multi-storey | building, multi-storey | APOS, U</t>
  </si>
  <si>
    <t>(1;3;4;5;1)</t>
  </si>
  <si>
    <t>measured value - building for pelletting process in the pellet factory modeled (datset includes the disposal of the building in the end of its lifetime)</t>
  </si>
  <si>
    <t>building, upmarket hotel</t>
  </si>
  <si>
    <t>building construction, upmarket hotel | building, upmarket hotel | APOS, U</t>
  </si>
  <si>
    <t>butadiene</t>
  </si>
  <si>
    <t>market for butadiene | butadiene | APOS, U</t>
  </si>
  <si>
    <t>(1;4;1;5;1)</t>
  </si>
  <si>
    <t>Calculated as weighted average of regional datasets of the same activity name. Regional datasets: corrugated board box production, RER, 2009-2015, ecoinvent v3.5, weight 0.9572; corrugated board box production, CA-QC, 2008-2008, ecoinvent v3.4, accessed 22.02.2018, weight 0.0428</t>
  </si>
  <si>
    <t>butane</t>
  </si>
  <si>
    <t>market for butane | butane | APOS, U</t>
  </si>
  <si>
    <t>cabbage red</t>
  </si>
  <si>
    <t>cabbage red production | cabbage red | APOS, U</t>
  </si>
  <si>
    <t>market for cabbage red | cabbage red | APOS, U</t>
  </si>
  <si>
    <t>cabbage white</t>
  </si>
  <si>
    <t>cabbage white production | cabbage white | APOS, U</t>
  </si>
  <si>
    <t>market for cabbage white | cabbage white | APOS, U</t>
  </si>
  <si>
    <t>(1;4;5;3;3)</t>
  </si>
  <si>
    <t>Literature Value. Represents the power cable of the laptop.</t>
  </si>
  <si>
    <t>cable, data cable in infrastructure</t>
  </si>
  <si>
    <t>market for cable, data cable in infrastructure | cable, data cable in infrastructure | APOS, U</t>
  </si>
  <si>
    <t>Estimation, based on literature. Life-span of 10 years is considered - i.e. 2.5 times the amounts is needed.</t>
  </si>
  <si>
    <t>cable, network cable, category 5, without plugs</t>
  </si>
  <si>
    <t>market for cable, network cable, category 5, without plugs | cable, network cable, category 5, without plugs | APOS, U</t>
  </si>
  <si>
    <t>Measured Value.</t>
  </si>
  <si>
    <t>Literature Value. Represents internal cables.</t>
  </si>
  <si>
    <t>cable, three-conductor cable</t>
  </si>
  <si>
    <t>C:Manufacturing/27:Manufacture of electrical equipment/273:Manufacture of wiring and wiring devices/2732:Manufacture of other electronic and electric wires and cables</t>
  </si>
  <si>
    <t>market for cable, three-conductor cable | cable, three-conductor cable | APOS, U</t>
  </si>
  <si>
    <t>cable, unspecified</t>
  </si>
  <si>
    <t>market for cable, unspecified | cable, unspecified | APOS, U</t>
  </si>
  <si>
    <t>This product represents average, unspecified cable.</t>
  </si>
  <si>
    <t>cadmium</t>
  </si>
  <si>
    <t>market for cadmium | cadmium | APOS, U</t>
  </si>
  <si>
    <t>(2;1;5;3;1)</t>
  </si>
  <si>
    <t>Literature value. Sum of all the cadmium used in the plant and its equipments.</t>
  </si>
  <si>
    <t>cadmium sulfide, semiconductor-grade</t>
  </si>
  <si>
    <t>market for cadmium sulfide, semiconductor-grade | cadmium sulfide, semiconductor-grade | APOS, U</t>
  </si>
  <si>
    <t>Fthenakis, literature, incl. Part of Cd compound powder</t>
  </si>
  <si>
    <t>cadmium sulfide production, semiconductor-grade | cadmium sulfide, semiconductor-grade | APOS, U</t>
  </si>
  <si>
    <t>EcoSpold01Location=US</t>
  </si>
  <si>
    <t>cadmium telluride, semiconductor-grade</t>
  </si>
  <si>
    <t>market for cadmium telluride, semiconductor-grade | cadmium telluride, semiconductor-grade | APOS, U</t>
  </si>
  <si>
    <t>cadmium telluride production, semiconductor-grade | cadmium telluride, semiconductor-grade | APOS, U</t>
  </si>
  <si>
    <t>(3;4;5;1;3)</t>
  </si>
  <si>
    <t>Cadmium stannate (Cd2SnO4), amount less than 0.05%.
This product is assumed to be supplied exclusively by the production in the US, therefore a direct activity link to the activity "cadmium telluride production, semiconductor-grade" in the US is used.</t>
  </si>
  <si>
    <t>Cadmium, in ground</t>
  </si>
  <si>
    <t>calcareous marl</t>
  </si>
  <si>
    <t>market for calcareous marl | calcareous marl | APOS, U</t>
  </si>
  <si>
    <t>(2;2;3;5;1)</t>
  </si>
  <si>
    <t>Estimated value. For Peru the same total amount of material input was assumed as for the global ecoinvent dataset (1.74kg of primary and secondary raw material per kg of clinker produced), given the limitation in data availability. The material composition is based on data from the Pacasmayo cement producer, representing 20% of the Peruvian market. The clinker composition in Peru (Pacasmayo, 2014) is 72% limestone, 15% clays, 2% iron oxide and 11% calcareous marl.</t>
  </si>
  <si>
    <t>Calcite, in ground</t>
  </si>
  <si>
    <t>calcium carbonate, precipitated</t>
  </si>
  <si>
    <t>market for calcium carbonate, precipitated | calcium carbonate, precipitated | APOS, U</t>
  </si>
  <si>
    <t>(1;2;2;1;1)</t>
  </si>
  <si>
    <t>Data provided by industry (EPIS) 2017</t>
  </si>
  <si>
    <t>(1;2;1;5;1)</t>
  </si>
  <si>
    <t>calcium nitrate</t>
  </si>
  <si>
    <t>calcium nitrate production | calcium nitrate | APOS, U</t>
  </si>
  <si>
    <t>calculated from the original input measured as N (molar mass of Ca(NO3)2 is 164 + tetrahydrate 72 per 2*14=28 mols of N)</t>
  </si>
  <si>
    <t>market for calcium nitrate | calcium nitrate | APOS, U</t>
  </si>
  <si>
    <t>Calculated from the original input measured as N (molar masses N2). This is a proxy with literature value, to represent sodium nitrate, calcium nitrate is used.</t>
  </si>
  <si>
    <t>Calcium, in ground</t>
  </si>
  <si>
    <t>calendering, rigid sheets</t>
  </si>
  <si>
    <t>calendering, rigid sheets | calendering, rigid sheets | APOS, U</t>
  </si>
  <si>
    <t>Literature data and primary data from French manufacturers (Boulard et al, 2011). Cladding materials.</t>
  </si>
  <si>
    <t>market for calendering, rigid sheets | calendering, rigid sheets | APOS, U</t>
  </si>
  <si>
    <t>(1;4;5;5;3)</t>
  </si>
  <si>
    <t>Literature Value.</t>
  </si>
  <si>
    <t>carbon black</t>
  </si>
  <si>
    <t>market for carbon black | carbon black | APOS, U</t>
  </si>
  <si>
    <t>(2;4;4;3;3)</t>
  </si>
  <si>
    <t>Carbon dioxide, in air</t>
  </si>
  <si>
    <t>Elementary flows/Resource/in air</t>
  </si>
  <si>
    <t>(2;2;4;1;1)</t>
  </si>
  <si>
    <t>CO2 uptake by biomass</t>
  </si>
  <si>
    <t>carbon dioxide, liquid</t>
  </si>
  <si>
    <t>market for carbon dioxide, liquid | carbon dioxide, liquid | APOS, U</t>
  </si>
  <si>
    <t>(2;4;3;3;1)</t>
  </si>
  <si>
    <t>carbon disulfide</t>
  </si>
  <si>
    <t>market for carbon disulfide | carbon disulfide | APOS, U</t>
  </si>
  <si>
    <t>(2;3;5;3;1)</t>
  </si>
  <si>
    <t>Data 2001 for fibre production Lenzing AG (Federal Environment Agency- Austria, 2004)</t>
  </si>
  <si>
    <t>carbon fibre reinforced plastic, injection moulded</t>
  </si>
  <si>
    <t>market for carbon fibre reinforced plastic, injection moulded | carbon fibre reinforced plastic, injection moulded | APOS, U</t>
  </si>
  <si>
    <t>Composite is estimated to make up 24% of a long-haul belly-freighter aircraft, with an operating empty weight of 142 tonnes (aircraft data from Cox, Jemiolo &amp; Mutel (2018) and weighting and types of planes making up the long-haul distance class from global flight data for 2016 (OAG 2016))</t>
  </si>
  <si>
    <t>carboxymethyl cellulose, powder</t>
  </si>
  <si>
    <t>market for carboxymethyl cellulose, powder | carboxymethyl cellulose, powder | APOS, U</t>
  </si>
  <si>
    <t>Average from several LWC paper producers</t>
  </si>
  <si>
    <t>carrot</t>
  </si>
  <si>
    <t>carrot production | carrot | APOS, U</t>
  </si>
  <si>
    <t>market for carrot | carrot | APOS, U</t>
  </si>
  <si>
    <t>carton board box production, with offset printing</t>
  </si>
  <si>
    <t>C:Manufacturing/17:Manufacture of paper and paper products/170:Manufacture of paper and paper products/1702:Manufacture of corrugated paper and paperboard and of containers of paper a</t>
  </si>
  <si>
    <t>market for carton board box production, with offset printing | carton board box production, with offset printing | APOS, U</t>
  </si>
  <si>
    <t>(2;3;4;5;1)</t>
  </si>
  <si>
    <t>Cardboard boxes</t>
  </si>
  <si>
    <t>Manufacturer data</t>
  </si>
  <si>
    <t>cast iron removed by milling, average</t>
  </si>
  <si>
    <t>market for cast iron removed by milling, average | cast iron removed by milling, average | APOS, U</t>
  </si>
  <si>
    <t>(4;4;4;3;2)</t>
  </si>
  <si>
    <t xml:space="preserve">Process of milling cast iron. </t>
  </si>
  <si>
    <t>casting, brass</t>
  </si>
  <si>
    <t>market for casting, brass | casting, brass | APOS, U</t>
  </si>
  <si>
    <t xml:space="preserve">Literature Value. Service representing the processing brass. </t>
  </si>
  <si>
    <t>cathode, LiMn2O4, for lithium-ion battery</t>
  </si>
  <si>
    <t>market for cathode, LiMn2O4, for lithium-ion battery | cathode, LiMn2O4, for lithium-ion battery | APOS, U</t>
  </si>
  <si>
    <t>cationic resin</t>
  </si>
  <si>
    <t>market for cationic resin | cationic resin | APOS, U</t>
  </si>
  <si>
    <t>cauliflower</t>
  </si>
  <si>
    <t>market for cauliflower | cauliflower | APOS, U</t>
  </si>
  <si>
    <t>cauliflower production | cauliflower | APOS, U</t>
  </si>
  <si>
    <t>celery</t>
  </si>
  <si>
    <t>market for celery | celery | APOS, U</t>
  </si>
  <si>
    <t>celery675 production | celery | APOS, U</t>
  </si>
  <si>
    <t>cement factory</t>
  </si>
  <si>
    <t>cement factory construction | cement factory | APOS, U</t>
  </si>
  <si>
    <t xml:space="preserve">estimation
This exchange has an activity link directly to the producing activity because the product is primarily consumed in the same geographical area where it is produced. </t>
  </si>
  <si>
    <t>market for cement factory | cement factory | APOS, U</t>
  </si>
  <si>
    <t>(2;1;3;5;1)</t>
  </si>
  <si>
    <t>Literature value. The data from global clinker production is used, since no Colombian specific data is available and the relevance of the infrastructure is rather low.</t>
  </si>
  <si>
    <t>cement mortar</t>
  </si>
  <si>
    <t>market for cement mortar | cement mortar | APOS, U</t>
  </si>
  <si>
    <t>cement, alternative constituents 21-35%</t>
  </si>
  <si>
    <t>market for cement, alternative constituents 21-35% | cement, alternative constituents 21-35% | APOS, U</t>
  </si>
  <si>
    <t>(4;1;5;1;1)</t>
  </si>
  <si>
    <t>(4;1;5;5;1)</t>
  </si>
  <si>
    <t>cement, alternative constituents 6-20%</t>
  </si>
  <si>
    <t>market for cement, alternative constituents 6-20% | cement, alternative constituents 6-20% | APOS, U</t>
  </si>
  <si>
    <t>Operator information. Cement use for conditioning of the hard waste.</t>
  </si>
  <si>
    <t>Operator information. Cement use for conditioning of the hard waste. Extrapolation from a boiling water reactor.</t>
  </si>
  <si>
    <t>cement, unspecified</t>
  </si>
  <si>
    <t>market for cement, unspecified | cement, unspecified | APOS, U</t>
  </si>
  <si>
    <t>market group for cement, unspecified | cement, unspecified | APOS, U</t>
  </si>
  <si>
    <t>ceramic factory</t>
  </si>
  <si>
    <t>ceramic factory construction | ceramic factory | APOS, U</t>
  </si>
  <si>
    <t>market for ceramic factory | ceramic factory | APOS, U</t>
  </si>
  <si>
    <t>ceramic tile</t>
  </si>
  <si>
    <t>C:Manufacturing/23:Manufacture of other non-metallic mineral products/239:Manufacture of non-metallic mineral products n.e.c./2392:Manufacture of clay building materials</t>
  </si>
  <si>
    <t>market for ceramic tile | ceramic tile | APOS, U</t>
  </si>
  <si>
    <t xml:space="preserve">Calculated value. The amount of exchange is calculated as: amount of input product * (lifetime of the hotel / lifetime of the product). Combined of all instances of use across the building floor and roof. Assuming 12.3 kg of tiles is required to cover 1 m2 of floor area. Source:  Victoria Plumbing 2018. British ceramic tile. Available from: https://victoriaplum.com/product/british-ceramic-tile-metro-bevel-white-gloss-tile-100mm-x-200mm Accessed 16 March 2018. Assumed service life of 5 years for floor ceramic tile which is equivalent to the period of major refurbishments in hotels. Source: Filimonau et al. 2011. Reviewing the carbon footprint analysis of hotels: Life Cycle Energy Analysis (LCEA) as a holistic method for carbon impact appraisal of tourist accommodation. Journal of Cleaner Production, 19(17-18), 1917-1930. In terms of outputs assumed to have gone to insert waste. </t>
  </si>
  <si>
    <t>charcoal</t>
  </si>
  <si>
    <t>A:Agriculture, forestry and fishing/02:Forestry and logging/022:Logging/0220:Logging</t>
  </si>
  <si>
    <t>market for charcoal | charcoal | APOS, U</t>
  </si>
  <si>
    <t>charger, electric passenger car</t>
  </si>
  <si>
    <t>market for charger, electric passenger car | charger, electric passenger car | APOS, U</t>
  </si>
  <si>
    <t>This electric drivetrain and the data describing each component is based on direct information from the Swiss manufacturer Brusa.</t>
  </si>
  <si>
    <t>charger, for electric scooter</t>
  </si>
  <si>
    <t>market for charger, for electric scooter | charger, for electric scooter | APOS, U</t>
  </si>
  <si>
    <t>Based on current available technology.</t>
  </si>
  <si>
    <t>Proxy: "chemical factory, organics" is used as a proxy for leaching infrastructure.
Estimation from dataset author.</t>
  </si>
  <si>
    <t>chemical factory construction, organics | chemical factory, organics | APOS, U</t>
  </si>
  <si>
    <t>chemical, organic</t>
  </si>
  <si>
    <t>C:Manufacturing/20:Manufacture of chemicals and chemical products/201:Manufacture of basic chemicals, fertilizers and nitrogen compounds, plastics</t>
  </si>
  <si>
    <t>market for chemical, organic | chemical, organic | APOS, U</t>
  </si>
  <si>
    <t>chemical production, organic | chemical, organic | APOS, U</t>
  </si>
  <si>
    <t>chimney</t>
  </si>
  <si>
    <t>F:Construction/43:Specialized construction activities/439:Other specialized construction activities/4390:Other specialized construction activities</t>
  </si>
  <si>
    <t>market for chimney | chimney | APOS, U</t>
  </si>
  <si>
    <t>(4;5;5;3;4)</t>
  </si>
  <si>
    <t>Estimation based on data of external fuel inputs and emission factors from corresponding fuel combustion ecoinvent datasets (see comment "Extrapolations")</t>
  </si>
  <si>
    <t>chlorine dioxide</t>
  </si>
  <si>
    <t>market for chlorine dioxide | chlorine dioxide | APOS, U</t>
  </si>
  <si>
    <t>Disinfectant 5% chlorine dioxide (http://www.echeverriasa.cl/Fichas/FT-FICHAS/FT-TECSA%20CLOR.pdf)</t>
  </si>
  <si>
    <t>(2;4;3;5;1)</t>
  </si>
  <si>
    <t>chlorine, liquid</t>
  </si>
  <si>
    <t>market for chlorine, liquid | chlorine, liquid | APOS, U</t>
  </si>
  <si>
    <t>chlorodifluoromethane</t>
  </si>
  <si>
    <t>market for chlorodifluoromethane | chlorodifluoromethane | APOS, U</t>
  </si>
  <si>
    <t>chopping, maize</t>
  </si>
  <si>
    <t>market for chopping, maize | chopping, maize | APOS, U</t>
  </si>
  <si>
    <t>Approximation for the harvest of stem cuttings.</t>
  </si>
  <si>
    <t>chromite ore concentrate</t>
  </si>
  <si>
    <t>market for chromite ore concentrate | chromite ore concentrate | APOS, U</t>
  </si>
  <si>
    <t>chromium steel pipe</t>
  </si>
  <si>
    <t>market for chromium steel pipe | chromium steel pipe | APOS, U</t>
  </si>
  <si>
    <t>Industrial value (Jost, Products for Container Equipment and Intermodal transports, http://www.jost-world.com/workflow/pdfanleitungen/kataloge/JOST_CT_ZDE180000039E_0910.pdf, accessed 20141014). 
There are 4 locking bars on the container.</t>
  </si>
  <si>
    <t>chromium steel removed by milling, average</t>
  </si>
  <si>
    <t>market for chromium steel removed by milling, average | chromium steel removed by milling, average | APOS, U</t>
  </si>
  <si>
    <t>Process of milling chromesteel. 0</t>
  </si>
  <si>
    <t>chromium steel removed by turning, average, conventional</t>
  </si>
  <si>
    <t>chromium steel turning, average, conventional | chromium steel removed by turning, average, conventional | APOS, U</t>
  </si>
  <si>
    <t>(4;2;4;1;4)</t>
  </si>
  <si>
    <t>Assumption</t>
  </si>
  <si>
    <t>market for chromium steel removed by turning, average, conventional | chromium steel removed by turning, average, conventional | APOS, U</t>
  </si>
  <si>
    <t>(4;2;4;5;4)</t>
  </si>
  <si>
    <t>Chromium, in ground</t>
  </si>
  <si>
    <t>citric acid</t>
  </si>
  <si>
    <t>market for citric acid | citric acid | APOS, U</t>
  </si>
  <si>
    <t>(3;4;4;1;2)</t>
  </si>
  <si>
    <t>Literature value. Sum of chemical use for pretreatment and reverse osmosis based on Biswas, W. K. (2009).</t>
  </si>
  <si>
    <t>clay brick</t>
  </si>
  <si>
    <t>market for clay brick | clay brick | APOS, U</t>
  </si>
  <si>
    <t>Estimation, based on literature.</t>
  </si>
  <si>
    <t>clay pit infrastructure</t>
  </si>
  <si>
    <t>clay pit construction | clay pit infrastructure | APOS, U</t>
  </si>
  <si>
    <t xml:space="preserve">estimated
This exchange has an activity link directly to the producing activity because the product is primarily consumed in the same geographical area where it is produced. </t>
  </si>
  <si>
    <t>market for clay pit infrastructure | clay pit infrastructure | APOS, U</t>
  </si>
  <si>
    <t>Clay, bentonite, in ground</t>
  </si>
  <si>
    <t>Clay, unspecified, in ground</t>
  </si>
  <si>
    <t>cleaning consumables, without water, in 13.6% solution state</t>
  </si>
  <si>
    <t>market for cleaning consumables, without water, in 13.6% solution state | cleaning consumables, without water, in 13.6% solution state | APOS, U</t>
  </si>
  <si>
    <t>Calculated value. The amount of exchange is calculated as: amount of input product * (lifetime of the hotel) / (number of guests during the lifetime of the hotel * hotel occupancy rate). Combined of all instances of use across the hotel operations. In terms of outputs assumed to have gone to wastewater. As the product "cleaning consumables" is expressed as 100% active substance, the amount of cleaning consumables is multiplied by the average concentration of active substance. According to Golsteijn (2015) the average water content of cleaning consumables is 86.4%, the necessary water input is accounted for with the flow "water, compeltely softened, from decarbonised water, at user". For more information on how the cleaning consumables dataset was created please refer to the relevant dataset in ecoinvent.
2015, Laura Golsteijn, A compilation of life cycle studies for six household detergent product categories in Europe: the basis for product-specific A.I.S.E. Charter Advanced Sustainability Profiles</t>
  </si>
  <si>
    <t>clinker</t>
  </si>
  <si>
    <t>market for clinker | clinker | APOS, U</t>
  </si>
  <si>
    <t>Coal, brown, in ground</t>
  </si>
  <si>
    <t>Coal, hard, unspecified, in ground</t>
  </si>
  <si>
    <t>Proxy with estimation, to represent Ti, Co, Sb, Zr, Ni, Zn, Ce compounds, Cobalt, Nickel and Zinc is used.</t>
  </si>
  <si>
    <t>cocoa bean</t>
  </si>
  <si>
    <t>A:Agriculture, forestry and fishing/01:Crop and animal production, hunting and related service activities/012:Growing of perennial crops/0127:Growing of beverage crops</t>
  </si>
  <si>
    <t>cocoa bean production, sun-dried | cocoa bean | APOS, U</t>
  </si>
  <si>
    <t>market for cocoa bean | cocoa bean | APOS, U</t>
  </si>
  <si>
    <t>coconut oil, crude</t>
  </si>
  <si>
    <t>C:Manufacturing/10:Manufacture of food products/104:Manufacture of vegetable and animal oils and fats/1040:Manufacture of vegetable and animal oils and fats</t>
  </si>
  <si>
    <t>market for coconut oil, crude | coconut oil, crude | APOS, U</t>
  </si>
  <si>
    <t>Data from ECOSOL study (Literature)</t>
  </si>
  <si>
    <t>cocoons</t>
  </si>
  <si>
    <t>A:Agriculture, forestry and fishing/01:Crop and animal production, hunting and related service activities/014:Animal production/0149:Raising of other animals</t>
  </si>
  <si>
    <t>market for cocoons | cocoons | APOS, U</t>
  </si>
  <si>
    <t>(4;4;3;5;1)</t>
  </si>
  <si>
    <t>(4;4;3;1;1)</t>
  </si>
  <si>
    <t>Primary data collected from the Silk Reeling Centre</t>
  </si>
  <si>
    <t>coffee maker</t>
  </si>
  <si>
    <t>C:Manufacturing/27:Manufacture of electrical equipment/275:Manufacture of domestic appliances/2750:Manufacture of domestic appliances</t>
  </si>
  <si>
    <t>market for coffee maker | coffee maker | APOS, U</t>
  </si>
  <si>
    <t>Calculated value. The amount of exchange is calculated as: amount of input product * (lifetime of the hotel/lifetime of the product) / (number of guests during the lifetime of the hotel * hotel occupancy rate). Assumed average service life of a coffee maker is 5 years. Source: Ashby 2009. Materials and the Environment: Eco-Informed Material Choice. Elsevier, Burlington, USA</t>
  </si>
  <si>
    <t>coffee, green bean</t>
  </si>
  <si>
    <t>coffee green bean production, arabica | coffee, green bean | APOS, U</t>
  </si>
  <si>
    <t>coffee green bean production, robusta | coffee, green bean | APOS, U</t>
  </si>
  <si>
    <t>market for coffee, green bean | coffee, green bean | APOS, U</t>
  </si>
  <si>
    <t>compact fluorescent lamp</t>
  </si>
  <si>
    <t>C:Manufacturing/27:Manufacture of electrical equipment/274:Manufacture of electric lighting equipment/2740:Manufacture of electric lighting equipment</t>
  </si>
  <si>
    <t>market for compact fluorescent lamp | compact fluorescent lamp | APOS, U</t>
  </si>
  <si>
    <t xml:space="preserve">Calculated value. The amount of exchange is calculated as: amount of input product * (lifetime of the hotel/lifetime of the product) / (number of guests during the lifetime of the hotel * hotel occupancy rate). Average service life of a bulb is assumed to be equal to 1.1 year. Source: Elijošiutė et al. 2012. Life Cycle Assessment of Compact Fluorescent and Incandescent Lamps: Comparative Analysis. Environmental Research, Engineering and Management, 3(61), 65-72. 
</t>
  </si>
  <si>
    <t>compost</t>
  </si>
  <si>
    <t>market for compost | compost | APOS, U</t>
  </si>
  <si>
    <t>Literature value or expert estimation (Personal written communication, FNC., 2015). Corresponds to 91.0 kg/ha</t>
  </si>
  <si>
    <t>compressed air, 1000 kPa gauge</t>
  </si>
  <si>
    <t>market for compressed air, 1000 kPa gauge | compressed air, 1000 kPa gauge | APOS, U</t>
  </si>
  <si>
    <t>(2;2;2;5;1)</t>
  </si>
  <si>
    <t>compressed air, 600 kPa gauge</t>
  </si>
  <si>
    <t>market for compressed air, 600 kPa gauge | compressed air, 600 kPa gauge | APOS, U</t>
  </si>
  <si>
    <t>(3;3;3;5;3)</t>
  </si>
  <si>
    <t>Weighted average of reported input</t>
  </si>
  <si>
    <t>compressed air, 800 kPa gauge</t>
  </si>
  <si>
    <t>market for compressed air, 800 kPa gauge | compressed air, 800 kPa gauge | APOS, U</t>
  </si>
  <si>
    <t>Data from Xiao et al. 2015.</t>
  </si>
  <si>
    <t>computer, laptop</t>
  </si>
  <si>
    <t>C:Manufacturing/26:Manufacture of computer, electronic and optical products/262:Manufacture of computers and peripheral equipment/2620:Manufacture of computers and peripheral equipment</t>
  </si>
  <si>
    <t>market for computer, laptop | computer, laptop | APOS, U</t>
  </si>
  <si>
    <t>Calculated value. The amount of exchange is calculated as: amount of input product * (lifetime of the hotel) / (number of guests during the lifetime of the hotel * hotel occupancy rate). Assumed a service life of 10 years.</t>
  </si>
  <si>
    <t>concrete block</t>
  </si>
  <si>
    <t>C:Manufacturing/23:Manufacture of other non-metallic mineral products/239:Manufacture of non-metallic mineral products n.e.c./2395:Manufacture of articles of concrete, cement and plaster</t>
  </si>
  <si>
    <t>market for concrete block | concrete block | APOS, U</t>
  </si>
  <si>
    <t>Literature data and primary data from French manufacturers (Boulard et al, 2011). Mechanical room part of for the storage system.</t>
  </si>
  <si>
    <t>concrete mixing factory</t>
  </si>
  <si>
    <t>concrete mixing factory construction | concrete mixing factory | APOS, U</t>
  </si>
  <si>
    <t>(2;1;5;5;1)</t>
  </si>
  <si>
    <t xml:space="preserve">Calculated value. 0.00042017 m3 is the amount of concrete, normal needed for production of 1 kg of cement tile.
This exchange has an activity link directly to the producing activity because the product is primarily consumed in the same geographical area where it is produced. </t>
  </si>
  <si>
    <t>market for concrete mixing factory | concrete mixing factory | APOS, U</t>
  </si>
  <si>
    <t>Calculated value. 0.00042017 m3 is the amount of concrete, normal needed for production of 1 kg of cement tile.</t>
  </si>
  <si>
    <t>concrete, 35MPa</t>
  </si>
  <si>
    <t>market for concrete, 35MPa | concrete, 35MPa | APOS, U</t>
  </si>
  <si>
    <t>concrete, medium strength</t>
  </si>
  <si>
    <t>market group for concrete, medium strength | concrete, medium strength | APOS, U</t>
  </si>
  <si>
    <t>concrete, normal</t>
  </si>
  <si>
    <t>market for concrete, normal | concrete, normal | APOS, U</t>
  </si>
  <si>
    <t>(3;4;3;3;2)</t>
  </si>
  <si>
    <t>Calculated Value. 3.79E+06 kg of concrete from literature converted to m3 with wet mass property (2380 kg/m3)</t>
  </si>
  <si>
    <t xml:space="preserve">Calculated value. 
Combined of all instances of use across the building structure, walls and floor (5.4E+05m3). Assumed thickness of floor concrete of 225 mm, Insulation 2011. Thermafloor TF70. INSULATION FOR SOLID CONCRETE AND SUSPENDED GROUND FLOORS. Available from http://kingspaninsulation.co.uk/getattachment/5fdd04b2-e58e-4622-97bb-5861799ab02a/Thermafloor-TF70-pdf.pdf Accessed 23 March 2018. Assumed service life of 75 years which is equal to the service life of the hotel building with minor refurbishments throughout.
Additionally the concrete for foundations is account for (5868m3). Estimated value based on the hotel area. In terms of outputs assumed to have gone to waste concrete. </t>
  </si>
  <si>
    <t>(2;4;2;2;5)</t>
  </si>
  <si>
    <t xml:space="preserve">Calculated value. 
Combined of all instances of use across the building structure, walls and floor (14450m3). Assumed thickness of concrete of 225 mm, Insulation 2011. Thermafloor TF70. INSULATION FOR SOLID CONCRETE AND SUSPENDED GROUND FLOORS. Available from http://kingspaninsulation.co.uk/getattachment/5fdd04b2-e58e-4622-97bb-5861799ab02a/Thermafloor-TF70-pdf.pdf Accessed 23 March 2018. Assumed service life of 75 years which is equal to the service life of the hotel building with minor refurbishments throughout.
Additionally the concrete for foundations is accounted for (30840m3). Estimated value based on the hotel area and construction practices in Peru. The case study hotel has 4 floors of underground parking that occupy 2570 m2 of area and have 3 m of height each. Hotel foundation is then calculated as 2570 m2 x 3 m x 4 = 30840 m3. In terms of outputs assumed to have gone to waste concrete. </t>
  </si>
  <si>
    <t>(3;3;5;5;4)</t>
  </si>
  <si>
    <t>Literature data and primary data from French manufacturers (Boulard et al, 2011). Walls and mechanical room.</t>
  </si>
  <si>
    <t>market group for concrete, normal | concrete, normal | APOS, U</t>
  </si>
  <si>
    <t>concrete, sole plate and foundation</t>
  </si>
  <si>
    <t>market for concrete, sole plate and foundation | concrete, sole plate and foundation | APOS, U</t>
  </si>
  <si>
    <t>Literature value. The inventory for the heat and power cogenerating unit is basically taken from Bauer 2007, with some extrapolations. 
Bauer, C. (2007) Holzenergie. In: Dones, R. (Ed.) et al., Sachbilanzen von Energiesystemen: Grundlagen für den ökologischen Vergleich von Energiesystemen und den Einbezug von Energiesystemen in Ökobilanzen für die Schweiz. Final report ecoinvent No. 6-IX, Paul Scherrer Institut Villigen, Swiss Centre for Life Cycle Inventories, Dübendorf, CH.
The original value of 34'000kg concrete for the foundation was divided by a density of 2380 kg/m3.</t>
  </si>
  <si>
    <t>containerboard, fluting medium</t>
  </si>
  <si>
    <t>market for containerboard, fluting medium | containerboard, fluting medium | APOS, U</t>
  </si>
  <si>
    <t>(1;3;1;5;1)</t>
  </si>
  <si>
    <t>containerboard, linerboard</t>
  </si>
  <si>
    <t>market for containerboard, linerboard | containerboard, linerboard | APOS, U</t>
  </si>
  <si>
    <t>control cabinet, heat and power co-generation unit, 160kW electrical</t>
  </si>
  <si>
    <t>C:Manufacturing/28:Manufacture of machinery and equipment n.e.c./281:Manufacture of general-purpose machinery/2811:Manufacture of engines and turbines, except aircraft, vehicle and cycle eng</t>
  </si>
  <si>
    <t>market for control cabinet, heat and power co-generation unit, 160kW electrical | control cabinet, heat and power co-generation unit, 160kW electrical | APOS, U</t>
  </si>
  <si>
    <t>Used in gears, motors and auxillary parts of equipment</t>
  </si>
  <si>
    <t>controller, for electric scooter</t>
  </si>
  <si>
    <t>market for controller, for electric scooter | controller, for electric scooter | APOS, U</t>
  </si>
  <si>
    <t>converter, for electric passenger car</t>
  </si>
  <si>
    <t>C:Manufacturing/29:Manufacture of motor vehicles, trailers and semi-trailers/293:Manufacture of parts and accessories for motor vehicles/2930:Manufacture of parts and accessories for motor vehicles</t>
  </si>
  <si>
    <t>market for converter, for electric passenger car | converter, for electric passenger car | APOS, U</t>
  </si>
  <si>
    <t>conveyor belt</t>
  </si>
  <si>
    <t>C:Manufacturing/28:Manufacture of machinery and equipment n.e.c./281:Manufacture of general-purpose machinery/2816:Manufacture of lifting and handling equipment</t>
  </si>
  <si>
    <t>market for conveyor belt | conveyor belt | APOS, U</t>
  </si>
  <si>
    <t>(4;4;5;3;3)</t>
  </si>
  <si>
    <t>Estimation from author of "zinc mine operation, GLO, 1994-2003" dataset: 2000 m conveyor belts are assumed to have a capacity of 2000 t/h which yields 2*10-5 m conveyor belt required per tonne mined raw ore. No primary data on infrastructure included.</t>
  </si>
  <si>
    <t>cookstove</t>
  </si>
  <si>
    <t>market for cookstove | cookstove | APOS, U</t>
  </si>
  <si>
    <t>Calculated value. The amount of exchange is calculated as: amount of input product * (lifetime of the hotel/lifetime of the product) / (number of guests during the lifetime of the hotel * hotel occupancy rate). Assumed average service life of a cookstove is 15 years. Source: Jungbluth 1997. Life-Cycle-Assessment for Stoves and Ovens. UNS Working Paper No. 16, August 1997.</t>
  </si>
  <si>
    <t>copper carbonate</t>
  </si>
  <si>
    <t>market for copper carbonate | copper carbonate | APOS, U</t>
  </si>
  <si>
    <t>copper oxide</t>
  </si>
  <si>
    <t>market for copper oxide | copper oxide | APOS, U</t>
  </si>
  <si>
    <t>Literature value or expert estimation ().</t>
  </si>
  <si>
    <t>(2;3;5;1;1)</t>
  </si>
  <si>
    <t>Copper, in ground</t>
  </si>
  <si>
    <t>core board</t>
  </si>
  <si>
    <t>market for core board | core board | APOS, U</t>
  </si>
  <si>
    <t>(1;3;3;1;3)</t>
  </si>
  <si>
    <t>Reported as paper consumption for corrugated board production. Cores and core plugs summed.</t>
  </si>
  <si>
    <t>corrugated board box</t>
  </si>
  <si>
    <t>market for corrugated board box | corrugated board box | APOS, U</t>
  </si>
  <si>
    <t>The</t>
  </si>
  <si>
    <t>cottonseed</t>
  </si>
  <si>
    <t>A:Agriculture, forestry and fishing/01:Crop and animal production, hunting and related service activities/016:Support activities to agriculture and post-harvest crop activities/0163:Post-harvest crop activities</t>
  </si>
  <si>
    <t>market for cottonseed | cottonseed | APOS, U</t>
  </si>
  <si>
    <t>(4;3;5;1;1)</t>
  </si>
  <si>
    <t>Literature data from FAO (Animal Feed Resources Information System, http://www.fao.org/ag/aGa/agap/FRG/afris/Data/541.HTM).</t>
  </si>
  <si>
    <t>cow milk</t>
  </si>
  <si>
    <t>A:Agriculture, forestry and fishing/01:Crop and animal production, hunting and related service activities/014:Animal production/0141:Raising of cattle and buffaloes</t>
  </si>
  <si>
    <t>market for cow milk | cow milk | APOS, U</t>
  </si>
  <si>
    <t>(3;4;5;4;2)</t>
  </si>
  <si>
    <t>Literature value (Kim, D., et.al., 2013, Life cycle assessment of cheese and whey production in the USA).
kg of Fat and Protein Corrected Milk. FPCM is 4.0% fat and 3.3% true protein content. Conversion to FPCM is as follow, according to the International Dairy Federation: FPCM (kg/yr) = Production (kg/yr) x [0.1226 x Fat% + 0.0776 x Protein% + 0.2534]</t>
  </si>
  <si>
    <t>cream, from cow milk</t>
  </si>
  <si>
    <t>C:Manufacturing/10:Manufacture of food products/105:Manufacture of dairy products/1050:Manufacture of dairy products</t>
  </si>
  <si>
    <t>market for cream, from cow milk | cream, from cow milk | APOS, U</t>
  </si>
  <si>
    <t>Literature value (Kim, D., et.al., 2013, Life cycle assessment of cheese and whey production in the USA).</t>
  </si>
  <si>
    <t>cucumber</t>
  </si>
  <si>
    <t>cucumber production, in heated greenhouse | cucumber | APOS, U</t>
  </si>
  <si>
    <t>market for cucumber | cucumber | APOS, U</t>
  </si>
  <si>
    <t>cyclic N-compound</t>
  </si>
  <si>
    <t>market for cyclic N-compound | cyclic N-compound | APOS, U</t>
  </si>
  <si>
    <t>cyclohexane</t>
  </si>
  <si>
    <t>market for cyclohexane | cyclohexane | APOS, U</t>
  </si>
  <si>
    <t>cyclohexanol</t>
  </si>
  <si>
    <t>market for cyclohexanol | cyclohexanol | APOS, U</t>
  </si>
  <si>
    <t>dairy</t>
  </si>
  <si>
    <t>market for dairy | dairy | APOS, U</t>
  </si>
  <si>
    <t>Calculated based on literature data (Schmid, A.; 2010, Bachelor-Thesis; Carbon Footprint von Schweizer Käse, supervised by T.Nemecek, Agroscope).
20 years is the lifetime of a dairy
(18*10*3=) 540m3 is the volume of the dairy
2.2E6 kg/year is the amount of milk proccessed annually in the dairy of volume of 540m3.</t>
  </si>
  <si>
    <t>deinked pulp, wet lap</t>
  </si>
  <si>
    <t>market for deinked pulp, wet lap | deinked pulp, wet lap | APOS, U</t>
  </si>
  <si>
    <t>Adaptation of GLO dataset to reflect Quebec particularity. Calculated value = value of Quebec dataset * production volume of Quebec / production volume of GLO.</t>
  </si>
  <si>
    <t>deinking emulsion, in paper production</t>
  </si>
  <si>
    <t>market for deinking emulsion, in paper production | deinking emulsion, in paper production | APOS, U</t>
  </si>
  <si>
    <t>average data from finnish database</t>
  </si>
  <si>
    <t>Diatomite, in ground</t>
  </si>
  <si>
    <t>dichloromethane</t>
  </si>
  <si>
    <t>market for dichloromethane | dichloromethane | APOS, U</t>
  </si>
  <si>
    <t>diesel</t>
  </si>
  <si>
    <t>diesel production, petroleum refinery operation | diesel | APOS, U</t>
  </si>
  <si>
    <t>petroleum refinery operation | diesel | APOS, U</t>
  </si>
  <si>
    <t>diesel, import from RoW | diesel | APOS, U</t>
  </si>
  <si>
    <t>market for diesel | diesel | APOS, U</t>
  </si>
  <si>
    <t>Amount based on primary data collected from participating companies. Emissions from diesel combustion included in dataset.</t>
  </si>
  <si>
    <t>market group for diesel | diesel | APOS, U</t>
  </si>
  <si>
    <t>Amount and activity link based on primary data collected from participating companies. Emissions from diesel combustion included in dataset.</t>
  </si>
  <si>
    <t>(1;1;5;5;3)</t>
  </si>
  <si>
    <t>Environmental report, aggregation of different processes</t>
  </si>
  <si>
    <t>diesel, burned in agricultural machinery</t>
  </si>
  <si>
    <t>market for diesel, burned in agricultural machinery | diesel, burned in agricultural machinery | APOS, U</t>
  </si>
  <si>
    <t>Calculated value. Assuming that 1.39 kWh/m3 of diesel is necessary to construct a building. Source: Zabalza et al. 2013. Use of LCA as a Tool for Building Ecodesign. A Case Study of a Low Energy Building in Spain. Energies, 6(8), 3901-3921. Assuming 1 kWh = 3.6 MJ</t>
  </si>
  <si>
    <t>diesel, burned in diesel-electric generating set, 18.5kW</t>
  </si>
  <si>
    <t>market for diesel, burned in diesel-electric generating set, 18.5kW | diesel, burned in diesel-electric generating set, 18.5kW | APOS, U</t>
  </si>
  <si>
    <t>(2;5;4;5;1)</t>
  </si>
  <si>
    <t>Calculated value. The value derived from the average of the three pieces of furniture from González-García et al. 2011 is 0.001kg diesel. The amount of MJ has been calculated by multiplying by the energy content of diesel 42.735 MJ/kg (see comment of parameter: diesel generator efficiency).</t>
  </si>
  <si>
    <t>diesel, low-sulfur</t>
  </si>
  <si>
    <t>market for diesel, low-sulfur | diesel, low-sulfur | APOS, U</t>
  </si>
  <si>
    <t>(2;2;3;4;1)</t>
  </si>
  <si>
    <t>Average for 36 European paper sack converters</t>
  </si>
  <si>
    <t>diesel production, low-sulfur | diesel, low-sulfur | APOS, U</t>
  </si>
  <si>
    <t>diesel production, low-sulfur, petroleum refinery operation | diesel, low-sulfur | APOS, U</t>
  </si>
  <si>
    <t>diesel, low-sulfur, import from RoW | diesel, low-sulfur | APOS, U</t>
  </si>
  <si>
    <t>diesel, low-sulfur, import from Europe | diesel, low-sulfur | APOS, U</t>
  </si>
  <si>
    <t>market group for diesel, low-sulfur | diesel, low-sulfur | APOS, U</t>
  </si>
  <si>
    <t>synthetic fuel production, from coal, high temperature Fisher-Tropsch operations | diesel, low-sulfur | APOS, U</t>
  </si>
  <si>
    <t>diethanolamine</t>
  </si>
  <si>
    <t>market for diethanolamine | diethanolamine | APOS, U</t>
  </si>
  <si>
    <t>diethylene glycol</t>
  </si>
  <si>
    <t>market for diethylene glycol | diethylene glycol | APOS, U</t>
  </si>
  <si>
    <t>dimethyl sulfoxide</t>
  </si>
  <si>
    <t>market for dimethyl sulfoxide | dimethyl sulfoxide | APOS, U</t>
  </si>
  <si>
    <t>dimethylamine</t>
  </si>
  <si>
    <t>market for dimethylamine | dimethylamine | APOS, U</t>
  </si>
  <si>
    <t>Chemicals used for the water treatment in a typical Brazilian sugarcane processing plant (LDC Bioenergia, 2010). Treatment of captured water and recycled water in closed circuits (parameterized by water catchment) were considered.</t>
  </si>
  <si>
    <t>dimethyldichlorosilane</t>
  </si>
  <si>
    <t>market for dimethyldichlorosilane | dimethyldichlorosilane | APOS, U</t>
  </si>
  <si>
    <t>Data from Xiao et al. 2015. In terms of outputs, assumed to have gone to waste water.</t>
  </si>
  <si>
    <t>diode, glass-, for surface-mounting</t>
  </si>
  <si>
    <t>market for diode, glass-, for surface-mounting | diode, glass-, for surface-mounting | APOS, U</t>
  </si>
  <si>
    <t>diphenylether-compound</t>
  </si>
  <si>
    <t>market for diphenylether-compound | diphenylether-compound | APOS, U</t>
  </si>
  <si>
    <t>Approximation of the material composition of the used heat transfer fluid. The synthetic oil is an eutectic mixture of 73.5% diphenyl oxide (approximated with "diphenylether-compounds" and 26.5% biphenyl (approximated with "benzene").</t>
  </si>
  <si>
    <t>dipropylene glycol monomethyl ether</t>
  </si>
  <si>
    <t>market for dipropylene glycol monomethyl ether | dipropylene glycol monomethyl ether | APOS, U</t>
  </si>
  <si>
    <t>dishwasher</t>
  </si>
  <si>
    <t>market for dishwasher | dishwasher | APOS, U</t>
  </si>
  <si>
    <t>Calculated value. The amount of exchange is calculated as: amount of input product * (lifetime of the hotel/lifetime of the product) / (number of guests during the lifetime of the hotel * hotel occupancy rate). Assumed average service life of a dishwasher is 12.5 years. Source: Fulvio and Peiró 2015.  Environmental Footprint and Material Efficiency Support for Product Policy.  Report on benefits and impacts/costs of options for different potential material efficiency requirements for Dishwashers. JRC Science and Policy Report, March 2015.</t>
  </si>
  <si>
    <t>disk drive, CD/DVD, ROM, for desktop computer</t>
  </si>
  <si>
    <t>market for disk drive, CD/DVD, ROM, for desktop computer | disk drive, CD/DVD, ROM, for desktop computer | APOS, U</t>
  </si>
  <si>
    <t>dithiocarbamate-compound</t>
  </si>
  <si>
    <t>market for dithiocarbamate-compound | dithiocarbamate-compound | APOS, U</t>
  </si>
  <si>
    <t>dolomite</t>
  </si>
  <si>
    <t>market for dolomite | dolomite | APOS, U</t>
  </si>
  <si>
    <t>Dolomite, in ground</t>
  </si>
  <si>
    <t>door, inner, glass-wood</t>
  </si>
  <si>
    <t>C:Manufacturing/16:Manufacture of wood and of products of wood and cork, except furniture; manufacture of articles of straw and plaiting materials/162:Manufacture of products of wood, cork, straw and plaiting materials/1622:Manufacture of builders' carpentry and joinery</t>
  </si>
  <si>
    <t>market for door, inner, glass-wood | door, inner, glass-wood | APOS, U</t>
  </si>
  <si>
    <t xml:space="preserve">Calculated value. The amount of exchange is calculated as: amount of input product * (lifetime of the hotel / lifetime of the product). Assumed service life of 40 years. Source: Cobut et al. 2015. The environmental footprint of interior wood doors in non-residential buildings - part 1: life cycle assessment. Journal of Cleaner Production, 109, 232-246. In terms of outputs, assumed to have gone to used door, inner, glass-wood. </t>
  </si>
  <si>
    <t>door, inner, wood</t>
  </si>
  <si>
    <t>market for door, inner, wood | door, inner, wood | APOS, U</t>
  </si>
  <si>
    <t xml:space="preserve">Estimated value. No data but based on 500 apartments and a number of administrative rooms, an approximation of 550 doors is used. Dimensions of a standar assumed to be 1,981 x 0,610 m and include wooden door frame. Souce: https://www.jbkind.com/info-centre/standard-door-sizes. Assumed service life of 40 years. Source: Cobut et al. 2015. The environmental footprint of interior wood doors in non-residential buildings - part 1: life cycle assessment. Journal of Cleaner Production, 109, 232-246. In terms of outputs, assumed to have gone to used door, inner, wood. </t>
  </si>
  <si>
    <t>door, outer, wood-aluminium</t>
  </si>
  <si>
    <t>C:Manufacturing/25:Manufacture of fabricated metal products, except machinery and equipment/251:Manufacture of structural metal products, tanks, reservoirs and steam generators/2511:Manufacture of structural metal products</t>
  </si>
  <si>
    <t>market for door, outer, wood-aluminium | door, outer, wood-aluminium | APOS, U</t>
  </si>
  <si>
    <t xml:space="preserve">Calculated value. The amount of exchange is calculated as: amount of input product * (lifetime of the hotel / lifetime of the product). Assumed service life of 40 years. Source: Cobut et al. 2015. The environmental footprint of interior wood doors in non-residential buildings - part 1: life cycle assessment. Journal of Cleaner Production, 109, 232-246. In terms of outputs, assumed to have gone to used door, outer, wood-alunimium. </t>
  </si>
  <si>
    <t>door, outer, wood-glass</t>
  </si>
  <si>
    <t>market for door, outer, wood-glass | door, outer, wood-glass | APOS, U</t>
  </si>
  <si>
    <t xml:space="preserve">Calculated value. The amount of exchange is calculated as: amount of input product * (lifetime of the hotel / lifetime of the product). Assumed service life of 40 years. Source: Cobut et al. 2015. The environmental footprint of interior wood doors in non-residential buildings - part 1: life cycle assessment. Journal of Cleaner Production, 109, 232-246. In terms of outputs, assumed to have gone to used door, outer, wood-glass. </t>
  </si>
  <si>
    <t>drawing of pipe, steel</t>
  </si>
  <si>
    <t>drawing of pipe, steel | drawing of pipe, steel | APOS, U</t>
  </si>
  <si>
    <t>Literature data and primary data from French manufacturers (Boulard et al, 2011). Tubes and siphons for the heating system.</t>
  </si>
  <si>
    <t>market for drawing of pipe, steel | drawing of pipe, steel | APOS, U</t>
  </si>
  <si>
    <t>dryer</t>
  </si>
  <si>
    <t>market for dryer | dryer | APOS, U</t>
  </si>
  <si>
    <t>Calculated value. Assumed average service life of a dryer is 12.5 years. The amount of exchange is calculated as: amount of input product * (lifetime of the hotel/lifetime of the product) / (lifetime capacity). Source: Ardente F., and Talens Peiró L. 2015. Environmental Footprint and Material Efficiency Support for Product Policy - Report on Benefits and Impacts/costs of Options for Different Potential Material Efficiency Requirements for Dishwashers. JRC Science and Policy Report EUR27200EN. European Commission, March 2015. Available from: http://publications.jrc.ec.europa.eu/repository/bitstream/JRC95187/lb-na-27200-en-n.pdf Accessed 14 January 2018</t>
  </si>
  <si>
    <t>drying, natural gas</t>
  </si>
  <si>
    <t>D:Electricity, gas, steam and air conditioning supply/35:Electricity, gas, steam and air conditioning supply/352:Manufacture of gas; distribution of gaseous fuels through mains/3520:Manufacture of gas; distribution of gaseous fuels through mains</t>
  </si>
  <si>
    <t>drying, natural gas | drying, natural gas | APOS, U</t>
  </si>
  <si>
    <t>environmental report for the total Norwegian production.</t>
  </si>
  <si>
    <t>market for drying, natural gas | drying, natural gas | APOS, U</t>
  </si>
  <si>
    <t>(4;1;5;5;3)</t>
  </si>
  <si>
    <t>DTPA, diethylenetriaminepentaacetic acid</t>
  </si>
  <si>
    <t>market for DTPA, diethylenetriaminepentaacetic acid | DTPA, diethylenetriaminepentaacetic acid | APOS, U</t>
  </si>
  <si>
    <t>Value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and 0.02 kg of samarium-europium-gadolinium oxide. Proxy for D2EHPA.</t>
  </si>
  <si>
    <t>dust collector, electrostatic precipitator, for industrial use</t>
  </si>
  <si>
    <t>market for dust collector, electrostatic precipitator, for industrial use | dust collector, electrostatic precipitator, for industrial use | APOS, U</t>
  </si>
  <si>
    <t>(1;5;4;5;1)</t>
  </si>
  <si>
    <t>Weighted average from local production datasets. RER: 97.9%, CA-QC: 2.1%</t>
  </si>
  <si>
    <t>EDTA, ethylenediaminetetraacetic acid</t>
  </si>
  <si>
    <t>market for EDTA, ethylenediaminetetraacetic acid | EDTA, ethylenediaminetetraacetic acid | APOS, U</t>
  </si>
  <si>
    <t>electric bicycle</t>
  </si>
  <si>
    <t>C:Manufacturing/30:Manufacture of other transport equipment/309:Manufacture of transport equipment n.e.c./3091:Manufacture of motorcycles</t>
  </si>
  <si>
    <t>market for electric bicycle | electric bicycle | APOS, U</t>
  </si>
  <si>
    <t>Estimation: eBike 15'000km</t>
  </si>
  <si>
    <t>electric connector, peripheral type buss</t>
  </si>
  <si>
    <t>market for electric connector, peripheral type buss | electric connector, peripheral type buss | APOS, U</t>
  </si>
  <si>
    <t>Literature Value. Represents data connector.</t>
  </si>
  <si>
    <t>electric kettle</t>
  </si>
  <si>
    <t>market for electric kettle | electric kettle | APOS, U</t>
  </si>
  <si>
    <t xml:space="preserve">Calculated value. The amount of exchange is calculated as: amount of input product * (lifetime of the hotel/lifetime of the product) / (number of guests during the lifetime of the hotel * hotel occupancy rate). Assumed average service life of a kettle is 4 years. Source: Marcinkowski and Zych 2017. ENVIRONMENTAL PERFORMANCE OF KETTLE PRODUCTION: PRODUCT LIFE CYCLE ASSESSMENT. Management Systems  in  Production Engineering, 25, 4, 255-261.	
</t>
  </si>
  <si>
    <t>electric motor, electric passenger car</t>
  </si>
  <si>
    <t>market for electric motor, electric passenger car | electric motor, electric passenger car | APOS, U</t>
  </si>
  <si>
    <t>electric motor, for electric scooter</t>
  </si>
  <si>
    <t>market for electric motor, for electric scooter | electric motor, for electric scooter | APOS, U</t>
  </si>
  <si>
    <t>electric motor, vehicle</t>
  </si>
  <si>
    <t>market for electric motor, vehicle | electric motor, vehicle | APOS, U</t>
  </si>
  <si>
    <t>(2;1;4;5;1)</t>
  </si>
  <si>
    <t>Literature, Biketec</t>
  </si>
  <si>
    <t>Electrical energy</t>
  </si>
  <si>
    <t>market group for electricity, high voltage | electricity, high voltage | APOS, U</t>
  </si>
  <si>
    <t>Data from Yuan et al. 2016.</t>
  </si>
  <si>
    <t>electricity production, hydro, reservoir, non-alpine region | electricity, high voltage | APOS, U</t>
  </si>
  <si>
    <t>own estimation after one source. Electricity from non-alpine reservoir hydropower plants. As a simplifying assumption, only non-alpine reservoir plants are considered in this dataset. Alpine and tropical reservoir plants are neglected.</t>
  </si>
  <si>
    <t>(1;2;2;5;1)</t>
  </si>
  <si>
    <t>electricity production, natural gas, conventional power plant | electricity, high voltage | APOS, U</t>
  </si>
  <si>
    <t>Literature data and primary data from French manufacturers (Boulard et al, 2011). Electricity for manufacturing of the greenhouse structure.</t>
  </si>
  <si>
    <t>Electricity at the packhouse stage is used for the operation of conveyor belts, lighting and other machinery. The amount of electricity used was calculated to 55.5 kWh grid electricity/ ton of soft citrus marketed and then scaled to the reference flow of 1 kg. Data came from different packhouse from different subregions in WC province.</t>
  </si>
  <si>
    <t>Calculated value. Assuming that 0.30 kWh/m3 of electricity is necessary to construct a building. Source: Zabalza et al. 2013. Use of LCA as a Tool for Building Ecodesign. A Case Study of a Low Energy Building in Spain. Energies, 6(8), 3901-3921.</t>
  </si>
  <si>
    <t xml:space="preserve">sum of electricity used for heaters and lighting. Utilities considred here as the process is dependent on it. Heaters are only used during winters to maintain the temprature at aorund 23-25 degree C. This is primary data collected through interview. </t>
  </si>
  <si>
    <t>(4;5;5;5;3)</t>
  </si>
  <si>
    <t>Comment found in the corresponding dataset for Switzerland in ecoinvent v3.4 (2017): At the filling station</t>
  </si>
  <si>
    <t>(2;3;3;3;1)</t>
  </si>
  <si>
    <t>Measured value. Usage of electricity low voltage ranging from at 600V and 120V.</t>
  </si>
  <si>
    <t>see parameter</t>
  </si>
  <si>
    <t>Calculated value. Assuming that 0.30 kWh/m3 of electricity is necessary to construct a building. Source: Zabalza et al. 2013. Use of LCA as a Tool for Building Ecodesign. A Case Study of a Low Energy Building in Spain. Energies, 6 (8), 3901-3921.</t>
  </si>
  <si>
    <t>Own calculations</t>
  </si>
  <si>
    <t>(3;3;3;3;1)</t>
  </si>
  <si>
    <t>(2;2;5;5;3)</t>
  </si>
  <si>
    <t>Calculated value. Electricity used in natural gas production (estimated value from german dataset) and drying process (estimated from ecoinvent 2.0 dataset "drying, natural gas")</t>
  </si>
  <si>
    <t>Environmental report for 50% market share in Germany, standard energy type</t>
  </si>
  <si>
    <t>(2;2;5;2;1)</t>
  </si>
  <si>
    <t>The exchange has been scaled to represent the production of potassium chloride instead of a pure form of K2O. The exchange has been divided with the scaling key of circa 1.58 kg of potassium chloride per kg of K2O. Original amount of the exchange was: 0.12 kWh.
Original comment: Literature value. Electricity is used for powering mining machines, hoisting, conveying, ventilation, lighting, dewatering, mill operations, tailings management and office facilities (Natural Resources Canada, 2004).</t>
  </si>
  <si>
    <t>Electricity use along the whole process, including processing, maturing and cold storage</t>
  </si>
  <si>
    <t>EcoSpold01Location=JP</t>
  </si>
  <si>
    <t xml:space="preserve">Consumption of electricity in the packing house, according to electricity bills provided by producers. </t>
  </si>
  <si>
    <t>(1;1;4;5;1)</t>
  </si>
  <si>
    <t>Average from 1 Swiss producer</t>
  </si>
  <si>
    <t>(2;1;4;5;5)</t>
  </si>
  <si>
    <t>Estimated based on rape oil mill operation activity.</t>
  </si>
  <si>
    <t>(3;5;5;5;3)</t>
  </si>
  <si>
    <t>estimated from personal communication technician ORC turbine company (annual consumption/production)</t>
  </si>
  <si>
    <t>Extrapolated value from 2MW GLO dataset
Literature value / calculation: Additional to energy requirements for material processing, a factor of 0.5 kWh/kg material (except of concrete for the foundation) after is included.Total wind turbine weight is about 2243554 kg (see Technology comment for details). This should also cover the energy required for mounting and removal of the turbine.</t>
  </si>
  <si>
    <t>EcoSpold01Location=NO</t>
  </si>
  <si>
    <t>electricity, medium voltage, renewable energy products</t>
  </si>
  <si>
    <t>market for electricity, medium voltage, renewable energy products | electricity, medium voltage, renewable energy products | APOS, U</t>
  </si>
  <si>
    <t>electricity consumed during production</t>
  </si>
  <si>
    <t>electrode, negative, Ni</t>
  </si>
  <si>
    <t>market for electrode, negative, Ni | electrode, negative, Ni | APOS, U</t>
  </si>
  <si>
    <t>Value from literature: Ramroth, L. 2008. Comparison of Life-Cycle Analyses of Compact Fluorescent and Incandescent Lamps Based on Rated Life of Compact Fluorescent Lamp. Retrieved from: http://infohouse.p2ric.org/ref/47/46011.pdf, accessed 20180614</t>
  </si>
  <si>
    <t>electronic component factory</t>
  </si>
  <si>
    <t>market for electronic component factory | electronic component factory | APOS, U</t>
  </si>
  <si>
    <t>(4;5;5;3;5)</t>
  </si>
  <si>
    <t>electronic component machinery, unspecified</t>
  </si>
  <si>
    <t>C:Manufacturing/28:Manufacture of machinery and equipment n.e.c./282:Manufacture of special-purpose machinery/2829:Manufacture of other special-purpose machinery</t>
  </si>
  <si>
    <t>market for electronic component machinery, unspecified | electronic component machinery, unspecified | APOS, U</t>
  </si>
  <si>
    <t>(4;4;5;3;1)</t>
  </si>
  <si>
    <t>Estimation, conservative estimation based on literature. For the  process steps in the production chain of semiconductors and other electronic components100 units are requested with a life-span of 10 years - i.e. 2.5 times the amount  estimated is needed. Hence, an input of 250 times is taken into account per Fab.</t>
  </si>
  <si>
    <t>electronic component, passive, mobile, earpiece and speaker</t>
  </si>
  <si>
    <t>market for electronic component, passive, mobile, earpiece and speaker | electronic component, passive, mobile, earpiece and speaker | APOS, U</t>
  </si>
  <si>
    <t>electronic component, passive, unspecified</t>
  </si>
  <si>
    <t>market for electronic component, passive, unspecified | electronic component, passive, unspecified | APOS, U</t>
  </si>
  <si>
    <t>Literature Value. Unspecified Parts(0.000375kg)+Front Camera(0.00016kg) + Vibration Motor(0.00072kg) + Camera(0.00092kg)</t>
  </si>
  <si>
    <t>electronics, for control units</t>
  </si>
  <si>
    <t>market for electronics, for control units | electronics, for control units | APOS, U</t>
  </si>
  <si>
    <t>(4;5;4;5;1)</t>
  </si>
  <si>
    <t>elevator, hydraulic</t>
  </si>
  <si>
    <t>market for elevator, hydraulic | elevator, hydraulic | APOS, U</t>
  </si>
  <si>
    <t xml:space="preserve">Calculated value. The amount of exchange is calculated as: amount of input product * (lifetime of the hotel / lifetime of the product). Assumed service life of elevator unit is 20 years. Source: Miljögiraff 2015. LCA of elevator lifting service in property. Miljögiraff Report 56. Available from: https://www.researchgate.net/profile/Marcus_Wendin/publication/301295772_Elevators_towards_a_circular_economy/links/5717790f08ae2679a8c772db/Elevators-towards-a-circular-economy.pdf Accessed 23 March 2018. </t>
  </si>
  <si>
    <t>energy and auxilliary inputs, metal working factory</t>
  </si>
  <si>
    <t>market for energy and auxilliary inputs, metal working factory | energy and auxilliary inputs, metal working factory | APOS, U</t>
  </si>
  <si>
    <t xml:space="preserve">Estimated value.The input of infrastructure is approximated with the exchange 'metal working factory', this was chosen as metal is the main material constituting the final product. The general comment for the activity 'metal working faculty, GLO' [accessed 19.01.2018] specifies: '4.58E-10 units of this process are needed to produce 1 kg of final product. Additionally, the dataset for 'metal working factory' needs to be used together with the 'energy and auxilliary inputs, metal working factory', 1 kg of this exchange is required per 1 kg of final product. </t>
  </si>
  <si>
    <t>energy use and operation emissions, electric bicycle</t>
  </si>
  <si>
    <t>market for energy use and operation emissions, electric bicycle | energy use and operation emissions, electric bicycle | APOS, U</t>
  </si>
  <si>
    <t>Defined by laws and physics</t>
  </si>
  <si>
    <t>energy use and operation emissions, electric bicycle | energy use and operation emissions, electric bicycle | APOS, U</t>
  </si>
  <si>
    <t>Defined by laws and physics;activityLink introduced to establish a direct link to the corresponding regional supply of this product</t>
  </si>
  <si>
    <t>energy use and operation emissions, electric bicycle, electricity from renewable energy products</t>
  </si>
  <si>
    <t>energy use and operation emissions, electric bicycle, electricity from renewable energy products | energy use and operation emissions, electric bicycle, electricity from renewable energy products | APOS, U</t>
  </si>
  <si>
    <t>market for energy use and operation emissions, electric bicycle, electricity from renewable energy products | energy use and operation emissions, electric bicycle, electricity from renewable energy products | APOS, U</t>
  </si>
  <si>
    <t>Energy, gross calorific value, in biomass</t>
  </si>
  <si>
    <t>Elementary flows/Resource/biotic</t>
  </si>
  <si>
    <t>Energy, potential (in hydropower reservoir), converted</t>
  </si>
  <si>
    <t>enzymes</t>
  </si>
  <si>
    <t>market for enzymes | enzymes | APOS, U</t>
  </si>
  <si>
    <t>(5;4;3;1;1)</t>
  </si>
  <si>
    <t xml:space="preserve">Detergent, Ultra Clean, as enzymes. </t>
  </si>
  <si>
    <t>establishing orchard</t>
  </si>
  <si>
    <t>market for establishing orchard | establishing orchard | APOS, U</t>
  </si>
  <si>
    <t>Literature value or expert estimation (). This is the number of trees per ha divided by the lifetime years of the orchard.</t>
  </si>
  <si>
    <t>esterquat</t>
  </si>
  <si>
    <t>market for esterquat | esterquat | APOS, U</t>
  </si>
  <si>
    <t>esters of versatic acid</t>
  </si>
  <si>
    <t>market for esters of versatic acid | esters of versatic acid | APOS, U</t>
  </si>
  <si>
    <t>Value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and 0.02 kg of samarium-europium-gadolinium oxide. Proxy for napthenic acid</t>
  </si>
  <si>
    <t>ethanol fermentation plant</t>
  </si>
  <si>
    <t>market for ethanol fermentation plant | ethanol fermentation plant | APOS, U</t>
  </si>
  <si>
    <t>ethanol fermentation plant construction | ethanol fermentation plant | APOS, U</t>
  </si>
  <si>
    <t>(2;3;5;2;1)</t>
  </si>
  <si>
    <t xml:space="preserve">Etha+ project Alcosuisse, SSCF technology from NREL
This exchange has an activity link directly to the producing activity because the product is primarily consumed in the same geographical area where it is produced. </t>
  </si>
  <si>
    <t>ethanol, without water, in 99.7% solution state, from ethylene</t>
  </si>
  <si>
    <t>market for ethanol, without water, in 99.7% solution state, from ethylene | ethanol, without water, in 99.7% solution state, from ethylene | APOS, U</t>
  </si>
  <si>
    <t>ethanol, without water, in 99.7% solution state, from fermentation, vehicle grade</t>
  </si>
  <si>
    <t>ethanol, from fermentation, to market for ethanol, vehicle grade | ethanol, without water, in 99.7% solution state, from fermentation, vehicle grade | APOS, U</t>
  </si>
  <si>
    <t>market for ethanol, without water, in 99.7% solution state, from fermentation, vehicle grade | ethanol, without water, in 99.7% solution state, from fermentation, vehicle grade | APOS, U</t>
  </si>
  <si>
    <t>Compensation for product loss</t>
  </si>
  <si>
    <t>ethoxylated alcohol (AE11)</t>
  </si>
  <si>
    <t>market for ethoxylated alcohol (AE11) | ethoxylated alcohol (AE11) | APOS, U</t>
  </si>
  <si>
    <t>ethoxylated alcohol (AE3)</t>
  </si>
  <si>
    <t>market for ethoxylated alcohol (AE3) | ethoxylated alcohol (AE3) | APOS, U</t>
  </si>
  <si>
    <t>Calculated value. The value of 0.006 kg of ethoxylated alcohol, production mix has been allocated to the concrete ethoxylated alcohols. The ratio between (AE3) and (AE7) is used the same as in case of the original eiv2 "ethoxylated alcohol, production mix" dataset.</t>
  </si>
  <si>
    <t>Proxy for defoamer, unspecified.</t>
  </si>
  <si>
    <t>ethyl acetate</t>
  </si>
  <si>
    <t>market for ethyl acetate | ethyl acetate | APOS, U</t>
  </si>
  <si>
    <t>ethyl benzene</t>
  </si>
  <si>
    <t>market for ethyl benzene | ethyl benzene | APOS, U</t>
  </si>
  <si>
    <t>Data from two producers</t>
  </si>
  <si>
    <t>ethylene carbonate</t>
  </si>
  <si>
    <t>market for ethylene carbonate | ethylene carbonate | APOS, U</t>
  </si>
  <si>
    <t>ethylene dichloride</t>
  </si>
  <si>
    <t>market for ethylene dichloride | ethylene dichloride | APOS, U</t>
  </si>
  <si>
    <t>ethylene glycol monoethyl ether</t>
  </si>
  <si>
    <t>market for ethylene glycol monoethyl ether | ethylene glycol monoethyl ether | APOS, U</t>
  </si>
  <si>
    <t>Calculated value: Average consumption of three companies</t>
  </si>
  <si>
    <t>ethylene vinyl acetate copolymer</t>
  </si>
  <si>
    <t>market for ethylene vinyl acetate copolymer | ethylene vinyl acetate copolymer | APOS, U</t>
  </si>
  <si>
    <t>Literature data and primary data from French manufacturers (Boulard et al, 2011). Plastic covers for the greenhouse structure.</t>
  </si>
  <si>
    <t>ethylvinylacetate, foil</t>
  </si>
  <si>
    <t>market for ethylvinylacetate, foil | ethylvinylacetate, foil | APOS, U</t>
  </si>
  <si>
    <t>Fthenakis, literature</t>
  </si>
  <si>
    <t>EUR-flat pallet</t>
  </si>
  <si>
    <t>C:Manufacturing/16:Manufacture of wood and of products of wood and cork, except furniture; manufacture of articles of straw and plaiting materials/162:Manufacture of products of wood, cork, straw and plaiting materials/1623:Manufacture of wooden containers</t>
  </si>
  <si>
    <t>market for EUR-flat pallet | EUR-flat pallet | APOS, U</t>
  </si>
  <si>
    <t>Disposable and reusable wooden pallets have a  lifespan of 10 years (Jumbo Bin in the fruit growing industry; Mpac Plastic Continers).</t>
  </si>
  <si>
    <t>evaporation of milk</t>
  </si>
  <si>
    <t>market for evaporation of milk | evaporation of milk | APOS, U</t>
  </si>
  <si>
    <t>(1;4;4;5;1)</t>
  </si>
  <si>
    <t>Calculated Value. This flow represents the production of concentrated milk and milk powder used as input. Concentrated milk and milk powder are expressed in cow milk equivalent and their production is approximated with the "evaporation of milk" and "spary-drying of milk" flows.</t>
  </si>
  <si>
    <t>excavation, hydraulic digger</t>
  </si>
  <si>
    <t>market for excavation, hydraulic digger | excavation, hydraulic digger | APOS, U</t>
  </si>
  <si>
    <t>Estimated value. Same amount than the concrete in foundation</t>
  </si>
  <si>
    <t>excavation, hydraulic digger | excavation, hydraulic digger | APOS, U</t>
  </si>
  <si>
    <t>(4;4;5;1;1)</t>
  </si>
  <si>
    <t>exhaust air outlet, steel/aluminium, 85x365 mm</t>
  </si>
  <si>
    <t>market for exhaust air outlet, steel/aluminium, 85x365 mm | exhaust air outlet, steel/aluminium, 85x365 mm | APOS, U</t>
  </si>
  <si>
    <t>exhaust air roof hood, steel, DN 400</t>
  </si>
  <si>
    <t>market for exhaust air roof hood, steel, DN 400 | exhaust air roof hood, steel, DN 400 | APOS, U</t>
  </si>
  <si>
    <t>exhaust air valve, in-wall housing, plastic/steel, DN 125</t>
  </si>
  <si>
    <t>market for exhaust air valve, in-wall housing, plastic/steel, DN 125 | exhaust air valve, in-wall housing, plastic/steel, DN 125 | APOS, U</t>
  </si>
  <si>
    <t>expanded clay</t>
  </si>
  <si>
    <t>market for expanded clay | expanded clay | APOS, U</t>
  </si>
  <si>
    <t>expanded perlite</t>
  </si>
  <si>
    <t>market for expanded perlite | expanded perlite | APOS, U</t>
  </si>
  <si>
    <t>expanded vermiculite</t>
  </si>
  <si>
    <t>market for expanded vermiculite | expanded vermiculite | APOS, U</t>
  </si>
  <si>
    <t>explosives factory</t>
  </si>
  <si>
    <t>market for explosives factory | explosives factory | APOS, U</t>
  </si>
  <si>
    <t>explosives factory construction | explosives factory | APOS, U</t>
  </si>
  <si>
    <t>(5;5;5;1;5)</t>
  </si>
  <si>
    <t>extrusion of plastic sheets and thermoforming, inline</t>
  </si>
  <si>
    <t>market for extrusion of plastic sheets and thermoforming, inline | extrusion of plastic sheets and thermoforming, inline | APOS, U</t>
  </si>
  <si>
    <t xml:space="preserve">Calculated value. The value derived from the average of the three pieces of furniture from González-García et al. 2011 of "Plastics" (0.022kg) and .  "Fabrics" (0.006kg). PET is here used as a proxy for "Fabrics", which in the description for "textiles" are mentioned as "polyester and polyurethane". Polypropylene is here used as a proxy as a plastic often used in the produciton of furniture (information retrieved from FurnitureLink https://www.furniturelinkca.com/plastics.htm, accessed 20171207). </t>
  </si>
  <si>
    <t>extrusion, plastic film</t>
  </si>
  <si>
    <t>market for extrusion, plastic film | extrusion, plastic film | APOS, U</t>
  </si>
  <si>
    <t>extrusion, plastic film | extrusion, plastic film | APOS, U</t>
  </si>
  <si>
    <t>Measured value: represents the foaming of the plastic caps</t>
  </si>
  <si>
    <t>extrusion, plastic pipes</t>
  </si>
  <si>
    <t>extrusion, plastic pipes | extrusion, plastic pipes | APOS, U</t>
  </si>
  <si>
    <t>Measured value: represents the working of the tetrafluorethylene based auxilliaries</t>
  </si>
  <si>
    <t>market for extrusion, plastic pipes | extrusion, plastic pipes | APOS, U</t>
  </si>
  <si>
    <t>Service representing the processing ABS (0.3001kg) and PC (0.163167kg).</t>
  </si>
  <si>
    <t>Used as proxy for laptop fan.</t>
  </si>
  <si>
    <t>fatty acid</t>
  </si>
  <si>
    <t>market for fatty acid | fatty acid | APOS, U</t>
  </si>
  <si>
    <t>fatty alcohol</t>
  </si>
  <si>
    <t>market for fatty alcohol | fatty alcohol | APOS, U</t>
  </si>
  <si>
    <t>feldspar</t>
  </si>
  <si>
    <t>market for feldspar | feldspar | APOS, U</t>
  </si>
  <si>
    <t>Feldspar, in ground</t>
  </si>
  <si>
    <t>fennel</t>
  </si>
  <si>
    <t>fennel production | fennel | APOS, U</t>
  </si>
  <si>
    <t>market for fennel | fennel | APOS, U</t>
  </si>
  <si>
    <t>Literature Value. Represents magnetic beads</t>
  </si>
  <si>
    <t>fertilising, by broadcaster</t>
  </si>
  <si>
    <t>fertilising, by broadcaster | fertilising, by broadcaster | APOS, U</t>
  </si>
  <si>
    <t>market for fertilising, by broadcaster | fertilising, by broadcaster | APOS, U</t>
  </si>
  <si>
    <t>Proxy: Extrapolated using a modified MEXALCA-approach (Roches et al. 2010; Nemecek et al. 2012). See supporting documentation 'WFLDB-Documentation.pdf' chapter 'Machinery processes' for L1 data (https://ecoquery.ecoinvent.org/File/Reports).</t>
  </si>
  <si>
    <t>Proxy: Extrapolated using a modified MEXALCA-approach (Roches et al. 2010; Nemecek et al. 2012). See supporting documentation 'WFLDB-Documentation.pdf' chapter 'Machinery processes' for L1 data (https://ecoquery.ecoinvent.org/File/Reports).;activityLink introduced to establish a direct link to the corresponding regional supply of this product</t>
  </si>
  <si>
    <t>fibreboard, hard</t>
  </si>
  <si>
    <t>C:Manufacturing/16:Manufacture of wood and of products of wood and cork, except furniture; manufacture of articles of straw and plaiting materials/162:Manufacture of products of wood, cork, straw and plaiting materials/1621:Manufacture of veneer sheets and wood-based panels</t>
  </si>
  <si>
    <t>market for fibreboard, hard | fibreboard, hard | APOS, U</t>
  </si>
  <si>
    <t>fish canning plant</t>
  </si>
  <si>
    <t>market for fish canning plant | fish canning plant | APOS, U</t>
  </si>
  <si>
    <t>One unit of plant represents the installed capacity required to process 1 t of raw material</t>
  </si>
  <si>
    <t>fish curing plant</t>
  </si>
  <si>
    <t>fish curing plant construction and maintenance | fish curing plant | APOS, U</t>
  </si>
  <si>
    <t>One unit of plant represents the installed capacity required to process 1 t of raw material;activityLink introduced to establish a direct link to the corresponding regional supply of this product</t>
  </si>
  <si>
    <t>market for fish curing plant | fish curing plant | APOS, U</t>
  </si>
  <si>
    <t>fish freezing plant</t>
  </si>
  <si>
    <t>market for fish freezing plant | fish freezing plant | APOS, U</t>
  </si>
  <si>
    <t>flat glass factory</t>
  </si>
  <si>
    <t>market for flat glass factory | flat glass factory | APOS, U</t>
  </si>
  <si>
    <t>Estimation of standard deviation</t>
  </si>
  <si>
    <t>flat glass, coated</t>
  </si>
  <si>
    <t>market for flat glass, coated | flat glass, coated | APOS, U</t>
  </si>
  <si>
    <t>fleece, polyethylene</t>
  </si>
  <si>
    <t>C:Manufacturing/13:Manufacture of textiles/139:Manufacture of other textiles/1399:Manufacture of other textiles n.e.c.</t>
  </si>
  <si>
    <t>market for fleece, polyethylene | fleece, polyethylene | APOS, U</t>
  </si>
  <si>
    <t>flexible duct, aluminium/PET, DN of 125</t>
  </si>
  <si>
    <t>market for flexible duct, aluminium/PET, DN of 125 | flexible duct, aluminium/PET, DN of 125 | APOS, U</t>
  </si>
  <si>
    <t>fluorspar production, 97% purity | fluorspar, 97% purity | APOS, U</t>
  </si>
  <si>
    <t>Fluorspar, in ground</t>
  </si>
  <si>
    <t>92% CaF2 in ore; Uncertainty for LCI results cannot be determined</t>
  </si>
  <si>
    <t>Silicic acid</t>
  </si>
  <si>
    <t>foam glass</t>
  </si>
  <si>
    <t>market for foam glass | foam glass | APOS, U</t>
  </si>
  <si>
    <t>fodder loading, by self-loading trailer</t>
  </si>
  <si>
    <t>fodder loading, by self-loading trailer | fodder loading, by self-loading trailer | APOS, U</t>
  </si>
  <si>
    <t>(2;1;5;1;4)</t>
  </si>
  <si>
    <t>market for fodder loading, by self-loading trailer | fodder loading, by self-loading trailer | APOS, U</t>
  </si>
  <si>
    <t>See chapter 'Yields and Inputs of Arable Crop Production' in "01_crop production - yields &amp; inputs CH &amp; Europe_v1.0.pdf", section "AGRICULTURAL PRODUCTION IN SWITZERLAND" - pdf-document on the dedicated talk page of ecoinvent (www.ecoinvent.org/documentation)</t>
  </si>
  <si>
    <t>formaldehyde</t>
  </si>
  <si>
    <t>market for formaldehyde | formaldehyde | APOS, U</t>
  </si>
  <si>
    <t>formic acid</t>
  </si>
  <si>
    <t>formic acid production, methyl formate route | formic acid | APOS, U</t>
  </si>
  <si>
    <t>fruit tree seedling, for planting</t>
  </si>
  <si>
    <t>A:Agriculture, forestry and fishing/01:Crop and animal production, hunting and related service activities/013:Plant propagation/0130:Plant propagation</t>
  </si>
  <si>
    <t>market for fruit tree seedling, for planting | fruit tree seedling, for planting | APOS, U</t>
  </si>
  <si>
    <t>furnace, wood chips, hardwood storage area, 300kW</t>
  </si>
  <si>
    <t>C:Manufacturing/28:Manufacture of machinery and equipment n.e.c./281:Manufacture of general-purpose machinery/2815:Manufacture of ovens, furnaces and furnace burners</t>
  </si>
  <si>
    <t>market for furnace, wood chips, hardwood storage area, 300kW | furnace, wood chips, hardwood storage area, 300kW | APOS, U</t>
  </si>
  <si>
    <t>furnace, wood chips, softwood storage area, 1000kW</t>
  </si>
  <si>
    <t>market for furnace, wood chips, softwood storage area, 1000kW | furnace, wood chips, softwood storage area, 1000kW | APOS, U</t>
  </si>
  <si>
    <t>furnace, wood chips, with silo, 1000kW</t>
  </si>
  <si>
    <t>furnace production, wood chips, with silo, 1000kW | furnace, wood chips, with silo, 1000kW | APOS, U</t>
  </si>
  <si>
    <t>(3;2;5;1;2)</t>
  </si>
  <si>
    <t>calculated value, assuming 4000h/a operation time, 20a lifetime, 2000kW (fuel input) capacity</t>
  </si>
  <si>
    <t>market for furnace, wood chips, with silo, 1000kW | furnace, wood chips, with silo, 1000kW | APOS, U</t>
  </si>
  <si>
    <t>Infrastructure factor from DS 'Heat, district or industrial, other than natural gas {CH}| heat production, wood chips from industry, at furnace 1000kW | Cut-off, U',  multiplied by the input of wood fuel (direct wood fuel plus production residues); correction for assumed efficiency as original value refers to heat output</t>
  </si>
  <si>
    <t>furnace, wood chips, with silo, 300kW</t>
  </si>
  <si>
    <t>market for furnace, wood chips, with silo, 300kW | furnace, wood chips, with silo, 300kW | APOS, U</t>
  </si>
  <si>
    <t>Infrastructure factor from DS "Heat, district or industrial, other than natural gas {CH}| heat production, wood chips from industry, at furnace 5000kW | Cut-off, U",  multiplied by the input of wood fuel (direct wood fuel plus production residues); correction for assumed efficiency as original value refers to heat output</t>
  </si>
  <si>
    <t>furnace, wood chips, with silo, 5000kW</t>
  </si>
  <si>
    <t>market for furnace, wood chips, with silo, 5000kW | furnace, wood chips, with silo, 5000kW | APOS, U</t>
  </si>
  <si>
    <t>furnace production, wood chips, with silo, 5000kW | furnace, wood chips, with silo, 5000kW | APOS, U</t>
  </si>
  <si>
    <t>calculated value, assuming 4000h/a operation time, 20a lifetime, 6667kW (fuel input) capacity</t>
  </si>
  <si>
    <t>furniture, wooden</t>
  </si>
  <si>
    <t>C:Manufacturing/31:Manufacture of furniture/310:Manufacture of furniture/3100:Manufacture of furniture</t>
  </si>
  <si>
    <t>market for furniture, wooden | furniture, wooden | APOS, U</t>
  </si>
  <si>
    <t>Estimated value. The amount of exchange is calculated as: amount of input product * (lifetime of the hotel/lifetime of the product) / (number of guests during the lifetime of the hotel * hotel occupancy rate). Assumed average service life of all pieces of furniture is 15 years. This represents service life of an average piece of furniture. Source: European Commission 2013. BACKGROUND REPORT. Revision of Ecolabel and Green Public Procurement criteria for the product group Wooden Furniture. September 2013. Available from: http://susproc.jrc.ec.europa.eu/furniture/docs/Background_report_Furniture_September_2013.pdf Accessed 19 March 2018. 
This exchange represents the following: Double bed (unit) is assumed to have a weight of 25 kg, no headboard, Furniture re-use Network, 2009. Average weights. Available from: http://democracy.york.gov.uk/documents/s2116/Annex%20C%20REcycling%20Report%20frnweights2005.pdf Accessed 13 January 2018. Sofas (unit) Sofa is assumed to have a weight of 37 kg, two seater, Furniture re-use Network, 2009. Average weights. Available from: http://democracy.york.gov.uk/documents/s2116/Annex%20C%20REcycling%20Report%20frnweights2005.pdf Accessed 13 January 2018. Tables/Desks (unit) Table is assumed to have a weight of 23 kg, medium, Furniture re-use Network, 2009. Average weights. Available from: http://democracy.york.gov.uk/documents/s2116/Annex%20C%20REcycling%20Report%20frnweights2005.pdf Accessed 13 January 2018. Chairs (unit) Chair is assumed to have a weight of 7 kg, Furniture re-use Network, 2009. Average weights. Available from: http://democracy.york.gov.uk/documents/s2116/Annex%20C%20REcycling%20Report%20frnweights2005.pdf Accessed 13 January 2018. Wardrobe (unit) is assumed to have a weight of 55 kg (double wardrobe), Furniture re-use Network, 2009. Average weights. Available from: http://democracy.york.gov.uk/documents/s2116/Annex%20C%20REcycling%20Report%20frnweights2005.pdf Accessed 13 January 2018</t>
  </si>
  <si>
    <t>Gangue, in ground</t>
  </si>
  <si>
    <t>gas motor, 206kW</t>
  </si>
  <si>
    <t>market for gas motor, 206kW | gas motor, 206kW | APOS, U</t>
  </si>
  <si>
    <t xml:space="preserve">Literature data and primary data from French manufacturers (Boulard et al, 2011). Generating set for the heating system.
</t>
  </si>
  <si>
    <t>gas turbine, 80MW, for compressed air energy storage</t>
  </si>
  <si>
    <t>market for gas turbine, 80MW, for compressed air energy storage | gas turbine, 80MW, for compressed air energy storage | APOS, U</t>
  </si>
  <si>
    <t>(3;3;3;3;3)</t>
  </si>
  <si>
    <t>Literature Value. Power rating: 80 MW</t>
  </si>
  <si>
    <t>Gas, natural, in ground</t>
  </si>
  <si>
    <t>Literature value, Natural gas needed+ losses during production</t>
  </si>
  <si>
    <t>glass cullet, for Saint-Gobain ISOVER SA</t>
  </si>
  <si>
    <t>E:Water supply; sewerage, waste management and remediation activities/38:Waste collection, treatment and disposal activities; materials recovery/381:Waste collection/3811:Collection of non-hazardous waste</t>
  </si>
  <si>
    <t>glass cullet supply, for Saint-Gobain ISOVER SA | glass cullet, for Saint-Gobain ISOVER SA | APOS, U</t>
  </si>
  <si>
    <t>glass cullet, sorted</t>
  </si>
  <si>
    <t>market for glass cullet, sorted | glass cullet, sorted | APOS, U</t>
  </si>
  <si>
    <t>glass fibre</t>
  </si>
  <si>
    <t>market for glass fibre | glass fibre | APOS, U</t>
  </si>
  <si>
    <t>Literature data and primary data from French manufacturers (Boulard et al, 2011). Electrical gear.</t>
  </si>
  <si>
    <t>glass tube factory</t>
  </si>
  <si>
    <t>glass tube factory construction | glass tube factory | APOS, U</t>
  </si>
  <si>
    <t>market for glass tube factory | glass tube factory | APOS, U</t>
  </si>
  <si>
    <t>Questionnaire</t>
  </si>
  <si>
    <t>glass tube, borosilicate</t>
  </si>
  <si>
    <t>market for glass tube, borosilicate | glass tube, borosilicate | APOS, U</t>
  </si>
  <si>
    <t>glass wool mat</t>
  </si>
  <si>
    <t>market for glass wool mat | glass wool mat | APOS, U</t>
  </si>
  <si>
    <t>Calculated value. Used here in place of acustic tile as a more conventional product. The amount of exchange is calculated as: amount of input product * (lifetime of the hotel / lifetime of the product). Combined of all instances of use across the building structure, walls and ceiling. Assumed service life of 75 years which is equal to the service life of the hotel building with minor refurbishments throughout. Assumed thickiness of glass wool 100 mm. Source: Knauf Insulation 2018. Knauf Insulation. Available from: http://www.knaufinsulation.co.uk/products/glass-mineral-wool-rolls/loft-insulation-rolls/earthwool-loft-roll-44 Accessed 16 March 2018. The density of glass wool is assumed to be 40 kg/m3 based on the specifications in ecoinvent dataset "glass wool mat production, CH 2000" accessed 22 Janaury 2018. In terms of outputs, assumed to have gone to waste glass.</t>
  </si>
  <si>
    <t>glazing, double, U&lt;1.1 W/m2K, laminated safety glass</t>
  </si>
  <si>
    <t>market for glazing, double, U&lt;1.1 W/m2K, laminated safety glass | glazing, double, U&lt;1.1 W/m2K, laminated safety glass | APOS, U</t>
  </si>
  <si>
    <t>glazing, triple, U&lt;0.5 W/m2K</t>
  </si>
  <si>
    <t>market for glazing, triple, U&lt;0.5 W/m2K | glazing, triple, U&lt;0.5 W/m2K | APOS, U</t>
  </si>
  <si>
    <t>glucose</t>
  </si>
  <si>
    <t>C:Manufacturing/10:Manufacture of food products/106:Manufacture of grain mill products, starches and starch products/1062:Manufacture of starches and starch products</t>
  </si>
  <si>
    <t>market for glucose | glucose | APOS, U</t>
  </si>
  <si>
    <t>glued laminated timber, average glue mix</t>
  </si>
  <si>
    <t>market for glued laminated timber, average glue mix | glued laminated timber, average glue mix | APOS, U</t>
  </si>
  <si>
    <t>Calculated value. The value derived from the average of the three pieces of furniture from González-García et al. 2011 is 0.17kg (proxy for high pressure laminate board). This is multiplied by the product density (see the properties section).</t>
  </si>
  <si>
    <t>glycerine</t>
  </si>
  <si>
    <t>market for glycerine | glycerine | APOS, U</t>
  </si>
  <si>
    <t>glyphosate</t>
  </si>
  <si>
    <t>market for glyphosate | glyphosate | APOS, U</t>
  </si>
  <si>
    <t>Literature value or expert estimation (ECLAC 2014).</t>
  </si>
  <si>
    <t>gold</t>
  </si>
  <si>
    <t>market for gold | gold | APOS, U</t>
  </si>
  <si>
    <t>Gold, in ground</t>
  </si>
  <si>
    <t>Granite, in ground</t>
  </si>
  <si>
    <t>grape</t>
  </si>
  <si>
    <t>A:Agriculture, forestry and fishing/01:Crop and animal production, hunting and related service activities/012:Growing of perennial crops/0121:Growing of grapes</t>
  </si>
  <si>
    <t>grape production | grape | APOS, U</t>
  </si>
  <si>
    <t>market for grape | grape | APOS, U</t>
  </si>
  <si>
    <t>graphite</t>
  </si>
  <si>
    <t>market for graphite | graphite | APOS, U</t>
  </si>
  <si>
    <t>gravel, crushed</t>
  </si>
  <si>
    <t>market for gravel, crushed | gravel, crushed | APOS, U</t>
  </si>
  <si>
    <t>Literature value. Based on Al-sarkal, T. et al. 2013.</t>
  </si>
  <si>
    <t>Gravel, in ground</t>
  </si>
  <si>
    <t>gravel, round</t>
  </si>
  <si>
    <t>market for gravel, round | gravel, round | APOS, U</t>
  </si>
  <si>
    <t>(4;2;5;5;1)</t>
  </si>
  <si>
    <t>gravel/sand quarry infrastructure</t>
  </si>
  <si>
    <t>gravel/sand quarry construction | gravel/sand quarry infrastructure | APOS, U</t>
  </si>
  <si>
    <t>(1;3;4;1;1)</t>
  </si>
  <si>
    <t>Literature value. The 15% of the total unit mine is considered for crushed gravel.</t>
  </si>
  <si>
    <t>market for gravel/sand quarry infrastructure | gravel/sand quarry infrastructure | APOS, U</t>
  </si>
  <si>
    <t>green asparagus</t>
  </si>
  <si>
    <t>market for green asparagus | green asparagus | APOS, U</t>
  </si>
  <si>
    <t>green asparagus production | green asparagus | APOS, U</t>
  </si>
  <si>
    <t>green manure, organic, until February</t>
  </si>
  <si>
    <t>market for green manure, organic, until February | green manure, organic, until February | APOS, U</t>
  </si>
  <si>
    <t>green manure, Swiss integrated production, until February</t>
  </si>
  <si>
    <t>green manure growing, Swiss integrated production, until February | green manure, Swiss integrated production, until February | APOS, U</t>
  </si>
  <si>
    <t>See chapter 'Yields and Inputs of Arable Crop Production' in '01_crop production - yields &amp; inputs CH &amp; Europe_v1.0.pdf', section 'AGRICULTURAL PRODUCTION IN SWITZERLAND' - pdf-document on the dedicated talk page of ecoinvent (www.ecoinvent.org/documentation)
See chapter 'Yields and Inputs of Arable Crop Production' in '01_crop production - yields &amp; inputs CH &amp; Europe_v1.0.pdf', section 'AGRICULTURAL PRODUCTION IN SWITZERLAND' - pdf-document on the dedicated talk page of ecoinvent (www.ecoinvent.org/documentation)</t>
  </si>
  <si>
    <t>gypsum plasterboard</t>
  </si>
  <si>
    <t>market for gypsum plasterboard | gypsum plasterboard | APOS, U</t>
  </si>
  <si>
    <t xml:space="preserve">Calculated value. Combined of all instances of all across the building walls, ceiling and roof. Assumed thickness of roof plasterboard 12.5 mm. Source: Practical DYI 2018. Types of plasterboard. Available from: https://www.practicaldiy.com/general-building/plasterboard/plasterboard.php Accessed 23 March 2018. Assumed density of plasterboard 640 kg/m3. Source: British Gypsum 2018. What is the density of Gyproc plasterboards? Available from: http://www.british-gypsum.com/technical-advice/faqs/114-what-is-the-density-of-gyproc-plasterboards Accessed 23 March 2018. Assumed service life of 75 years with minor refurbishments throughout. In terms of outputs assumed to have gone to waste gypsum plasterboard. </t>
  </si>
  <si>
    <t>gypsum, mineral</t>
  </si>
  <si>
    <t>market for gypsum, mineral | gypsum, mineral | APOS, U</t>
  </si>
  <si>
    <t>Calculated based on literature values or expert estimation: The total amount of nutrient (Coltro et al. 2006) multiplied by the share of fertiliser type (Coltro et al. 2006). See supporting documentation 'WFLDB-Documentation.pdf' chapter 'Fertiliser application' for L3 and L4 data  (https://ecoquery.ecoinvent.org/File/Reports).</t>
  </si>
  <si>
    <t>hair dryer</t>
  </si>
  <si>
    <t>market for hair dryer | hair dryer | APOS, U</t>
  </si>
  <si>
    <t>Calculated value. The amount of exchange is calculated as: amount of input product * (lifetime of the hotel) / (number of guests during the lifetime of the hotel * hotel occupancy rate). Assumed average service life of a hair dryer is 3 years. Source: Ashby 2009. Materials and the Environment: Eco-Informed Material Choice. Elsevier, Burlington, USA</t>
  </si>
  <si>
    <t>(2;3;3;1;3)</t>
  </si>
  <si>
    <t>Reported as 0.43 GJ /ton net saleable product.  Converted to kg using the lower heating value (28.6 MJ/kg) reported in "Röder A., Bauer C. and Dones R. (2007) Kohle. In: Sachbilanzen von Energiesystemen: Grundlagen für den ökologischen Vergleich von Energiesystemen und den Einbezug von Energiesystemen in Ökobilanzen für die Schweiz (ed. Dones R.). Swiss Centre for Life Cycle Inventories, Dübendorf, CH."</t>
  </si>
  <si>
    <t>hard disk drive, for desktop computer</t>
  </si>
  <si>
    <t>market for hard disk drive, for desktop computer | hard disk drive, for desktop computer | APOS, U</t>
  </si>
  <si>
    <t>harvesting, by complete harvester, beets</t>
  </si>
  <si>
    <t>harvesting, by complete harvester, beets | harvesting, by complete harvester, beets | APOS, U</t>
  </si>
  <si>
    <t>market for harvesting, by complete harvester, beets | harvesting, by complete harvester, beets | APOS, U</t>
  </si>
  <si>
    <t>heat and power co-generation unit, 200kW electrical, diesel SCR, components for electricity only</t>
  </si>
  <si>
    <t>F:Construction/42:Civil engineering/422:Construction of utility projects/4220:Construction of utility projects</t>
  </si>
  <si>
    <t>market for heat and power co-generation unit, 200kW electrical, diesel SCR, components for electricity only | heat and power co-generation unit, 200kW electrical, diesel SCR, components for electricity only | APOS, U</t>
  </si>
  <si>
    <t>heat and power co-generation unit construction, 200kW electrical, diesel SCR, components for electricity only | heat and power co-generation unit, 200kW electrical, diesel SCR, components for electricity only | APOS, U</t>
  </si>
  <si>
    <t>heat and power co-generation unit, 6400kW thermal, building</t>
  </si>
  <si>
    <t>market for heat and power co-generation unit, 6400kW thermal, building | heat and power co-generation unit, 6400kW thermal, building | APOS, U</t>
  </si>
  <si>
    <t>(4;4;5;5;1)</t>
  </si>
  <si>
    <t>The demanded infrastructure is calculated as:
demanded infrastrucutre (unit/MJend) = MJend energy (MJ)/(capacity utilzation rate * Lifetime (y) * capacity (MJ/unit*y)
The capacity for the cogen unit is 4,67E7 MJ/y. The lifetime is 80 years. The capacity utilization rate is 0.85.</t>
  </si>
  <si>
    <t>heat and power co-generation unit construction, 6400kW thermal, building | heat and power co-generation unit, 6400kW thermal, building | APOS, U</t>
  </si>
  <si>
    <t xml:space="preserve">Adapted from the dataset 'wood chips, in cogen 6400kWth, wood, emission control', according to actual water, carbon and energy content of the fuel (unconverted solids, mainly lignin)
This exchange has an activity link directly to the producing activity because the product is primarily consumed in the same geographical area where it is produced. </t>
  </si>
  <si>
    <t>heat and power co-generation unit, 6400kW thermal, common components for heat+electricity</t>
  </si>
  <si>
    <t>heat and power co-generation unit construction, 6400kW thermal, common components for heat+electricity | heat and power co-generation unit, 6400kW thermal, common components for heat+electricity | APOS, U</t>
  </si>
  <si>
    <t>market for heat and power co-generation unit, 6400kW thermal, common components for heat+electricity | heat and power co-generation unit, 6400kW thermal, common components for heat+electricity | APOS, U</t>
  </si>
  <si>
    <t>heat and power co-generation unit, 6400kW thermal, components for electricity only</t>
  </si>
  <si>
    <t>market for heat and power co-generation unit, 6400kW thermal, components for electricity only | heat and power co-generation unit, 6400kW thermal, components for electricity only | APOS, U</t>
  </si>
  <si>
    <t>heat and power co-generation unit construction, 6400kW thermal, components for electricity only | heat and power co-generation unit, 6400kW thermal, components for electricity only | APOS, U</t>
  </si>
  <si>
    <t>heat and power co-generation unit, organic Rankine cycle, 1000kW electrical</t>
  </si>
  <si>
    <t>market for heat and power co-generation unit, organic Rankine cycle, 1000kW electrical | heat and power co-generation unit, organic Rankine cycle, 1000kW electrical | APOS, U</t>
  </si>
  <si>
    <t>heat and power co-generation unit, organic Rankine cycle, 200kW electrical</t>
  </si>
  <si>
    <t>market for heat and power co-generation unit, organic Rankine cycle, 200kW electrical | heat and power co-generation unit, organic Rankine cycle, 200kW electrical | APOS, U</t>
  </si>
  <si>
    <t>heat, central or small-scale, natural gas</t>
  </si>
  <si>
    <t>market for heat, central or small-scale, natural gas | heat, central or small-scale, natural gas | APOS, U</t>
  </si>
  <si>
    <t>(2;3;3;1;2)</t>
  </si>
  <si>
    <t>Measured value: represents the amount of heat required for the buildings.</t>
  </si>
  <si>
    <t>market group for heat, central or small-scale, natural gas | heat, central or small-scale, natural gas | APOS, U</t>
  </si>
  <si>
    <t>(1;4;2;4;2)</t>
  </si>
  <si>
    <t xml:space="preserve"> Data from Gallego-Schmid et al. 2016.</t>
  </si>
  <si>
    <t>market for heat, central or small-scale, other than natural gas | heat, central or small-scale, other than natural gas | APOS, U</t>
  </si>
  <si>
    <t>heat production, mixed logs, at furnace 30kW | heat, central or small-scale, other than natural gas | APOS, U</t>
  </si>
  <si>
    <t xml:space="preserve">16 kg of firewood used for cooking/ kg reference product multiplied by the calorific value of Acacia tereticornis used (firewood). Primary data collected from Silk reeling centre.  </t>
  </si>
  <si>
    <t>Comment found in the corresponding dataset for Europe without Switzerland in ecoinvent v3.4 (2017): Environmental report</t>
  </si>
  <si>
    <t>(3;3;5;2;3)</t>
  </si>
  <si>
    <t>estimation - comparison between two producer companies G&amp;M E-Filter (CH) and Coral Engineering (IT)</t>
  </si>
  <si>
    <t>heat production, lignite briquette, at stove 5-15kW | heat, central or small-scale, other than natural gas | APOS, U</t>
  </si>
  <si>
    <t>(1;2;5;5;3)</t>
  </si>
  <si>
    <t>Heat input as reported by Hischier 2007. Activity Link set to the respective heat supplying activity.</t>
  </si>
  <si>
    <t>Industry data</t>
  </si>
  <si>
    <t>heat production, natural gas, at boiler condensing modulating &gt;100kW | heat, district or industrial, natural gas | APOS, U</t>
  </si>
  <si>
    <t>Input of natural gas plus liquified petrolium gas, converted to heat output</t>
  </si>
  <si>
    <t>heat production, natural gas, at industrial furnace low-NOx &gt;100kW | heat, district or industrial, natural gas | APOS, U</t>
  </si>
  <si>
    <t>Based on a calorific value of 10.5 kWh/m3. Activity link has been defined as the ratio between heat from natural gas and heavy fuel oil iw known.</t>
  </si>
  <si>
    <t>heat production, natural gas, at industrial furnace &gt;100kW | heat, district or industrial, natural gas | APOS, U</t>
  </si>
  <si>
    <t>(3;4;5;1;1)</t>
  </si>
  <si>
    <t>Data from Fertilizer Europe (2016).</t>
  </si>
  <si>
    <t>(4;4;4;3;1)</t>
  </si>
  <si>
    <t>heat production, wood chips from post-consumer wood, at furnace 300kW | heat, district or industrial, other than natural gas | APOS, U</t>
  </si>
  <si>
    <t>Fuel input, converted to heat output; proxy for animal grease</t>
  </si>
  <si>
    <t>Fuel input, converted to heat output</t>
  </si>
  <si>
    <t>heat production, wood chips from industry, at furnace 300kW, state-of-the-art 2014 | heat, district or industrial, other than natural gas | APOS, U</t>
  </si>
  <si>
    <t>heat production, at coal coke industrial furnace 1-10MW | heat, district or industrial, other than natural gas | APOS, U</t>
  </si>
  <si>
    <t>heat production with heavy fuel oil</t>
  </si>
  <si>
    <t>(3;4;4;2;1)</t>
  </si>
  <si>
    <t>activity link specifies fuel accoring to survey</t>
  </si>
  <si>
    <t>Reported as kg input of heavy fuel oil (for combustion). Conversion to heat supplied by the combustion of fuel oil based on lower heating value of heavy fuel oil and boiler efficiency (expressed as 1/fuel_use), both taken from ecoinvent reports.</t>
  </si>
  <si>
    <t>(1;3;4;5;2)</t>
  </si>
  <si>
    <t>Heat used for tar impragnation of wooden poles. Corresponds to 371 MJ/ha related to the life time (20 years)</t>
  </si>
  <si>
    <t>(4;3;4;1;3)</t>
  </si>
  <si>
    <t>heat production, wood chips from industry, at furnace 300kW | heat, district or industrial, other than natural gas | APOS, U</t>
  </si>
  <si>
    <t>heat from wood chips</t>
  </si>
  <si>
    <t>heat, from steam, in chemical industry</t>
  </si>
  <si>
    <t>market for heat, from steam, in chemical industry | heat, from steam, in chemical industry | APOS, U</t>
  </si>
  <si>
    <t>The quantity of heat related to1 kg of organic soybean. The mathematical relationship is to put the value in regards to a reference flow of 1kg of tofu.</t>
  </si>
  <si>
    <t>heavy fuel oil</t>
  </si>
  <si>
    <t>heavy fuel oil, import from RoW | heavy fuel oil | APOS, U</t>
  </si>
  <si>
    <t>heavy fuel oil production, petroleum refinery operation | heavy fuel oil | APOS, U</t>
  </si>
  <si>
    <t>market for heavy fuel oil | heavy fuel oil | APOS, U</t>
  </si>
  <si>
    <t>petroleum refinery operation | heavy fuel oil | APOS, U</t>
  </si>
  <si>
    <t>estimation</t>
  </si>
  <si>
    <t>synthetic fuel production, from coal, high temperature Fisher-Tropsch operations | heavy fuel oil | APOS, U</t>
  </si>
  <si>
    <t>market group for heavy fuel oil | heavy fuel oil | APOS, U</t>
  </si>
  <si>
    <t>Amount and activity link based on primary data collected from participating companies. Emissions from fuel combustion included in dataset.</t>
  </si>
  <si>
    <t>heavy water</t>
  </si>
  <si>
    <t>market for heavy water | heavy water | APOS, U</t>
  </si>
  <si>
    <t>helium</t>
  </si>
  <si>
    <t>market for helium | helium | APOS, U</t>
  </si>
  <si>
    <t>heptane</t>
  </si>
  <si>
    <t>market for heptane | heptane | APOS, U</t>
  </si>
  <si>
    <t>hexafluoroethane</t>
  </si>
  <si>
    <t>market for hexafluoroethane | hexafluoroethane | APOS, U</t>
  </si>
  <si>
    <t>(2;4;5;3;3)</t>
  </si>
  <si>
    <t>hexamethyldisilazane</t>
  </si>
  <si>
    <t>market for hexamethyldisilazane | hexamethyldisilazane | APOS, U</t>
  </si>
  <si>
    <t>hexane</t>
  </si>
  <si>
    <t>market for hexane | hexane | APOS, U</t>
  </si>
  <si>
    <t>(2;2;4;5;5)</t>
  </si>
  <si>
    <t>hoeing</t>
  </si>
  <si>
    <t>hoeing | hoeing | APOS, U</t>
  </si>
  <si>
    <t>market for hoeing | hoeing | APOS, U</t>
  </si>
  <si>
    <t>One pass.</t>
  </si>
  <si>
    <t>hot water tank factory</t>
  </si>
  <si>
    <t>market for hot water tank factory | hot water tank factory | APOS, U</t>
  </si>
  <si>
    <t>(5;5;4;5;5)</t>
  </si>
  <si>
    <t>Value copied from the dataset "pump production, 40W, CH" (accessed on the 2017-11-14).</t>
  </si>
  <si>
    <t>hydrazine</t>
  </si>
  <si>
    <t>market for hydrazine | hydrazine | APOS, U</t>
  </si>
  <si>
    <t>hydrogen cyanide</t>
  </si>
  <si>
    <t>market for hydrogen cyanide | hydrogen cyanide | APOS, U</t>
  </si>
  <si>
    <t>iceberg lettuce</t>
  </si>
  <si>
    <t>market for iceberg lettuce | iceberg lettuce | APOS, U</t>
  </si>
  <si>
    <t>iceberg lettuce production | iceberg lettuce | APOS, U</t>
  </si>
  <si>
    <t>indium</t>
  </si>
  <si>
    <t>market for indium | indium | APOS, U</t>
  </si>
  <si>
    <t>Indium tin oxide, amount less than 0.05%</t>
  </si>
  <si>
    <t>Literature Value. Represents coils.</t>
  </si>
  <si>
    <t>industrial furnace, 1MW, oil</t>
  </si>
  <si>
    <t>market for industrial furnace, 1MW, oil | industrial furnace, 1MW, oil | APOS, U</t>
  </si>
  <si>
    <t>industrial furnace, natural gas</t>
  </si>
  <si>
    <t>market for industrial furnace, natural gas | industrial furnace, natural gas | APOS, U</t>
  </si>
  <si>
    <t>industrial machine, heavy, unspecified</t>
  </si>
  <si>
    <t>C:Manufacturing/28:Manufacture of machinery and equipment n.e.c./282:Manufacture of special-purpose machinery/2824:Manufacture of machinery for mining, quarrying and construction</t>
  </si>
  <si>
    <t>market for industrial machine, heavy, unspecified | industrial machine, heavy, unspecified | APOS, U</t>
  </si>
  <si>
    <t>Estimate value: Weight of offset printing equipment given by one of the companies indicating main material steal and furhter materials aluminium, rubber and electronics. Assumption comparable equipment weight in other companies and similar production as for industrial machines.</t>
  </si>
  <si>
    <t>(5;3;4;3;1)</t>
  </si>
  <si>
    <t>infrastructure, for regional distribution of oil product</t>
  </si>
  <si>
    <t>infrastructure construction, for regional distribution of oil product | infrastructure, for regional distribution of oil product | APOS, U</t>
  </si>
  <si>
    <t>Calculation;activityLink introduced to establish a direct link to the corresponding regional supply of this product</t>
  </si>
  <si>
    <t>market for infrastructure, for regional distribution of oil product | infrastructure, for regional distribution of oil product | APOS, U</t>
  </si>
  <si>
    <t>Comment found in the corresponding dataset for Europe without Switzerland in ecoinvent v3.4 (2017): Calculation</t>
  </si>
  <si>
    <t>injection moulding | injection moulding | APOS, U</t>
  </si>
  <si>
    <t xml:space="preserve">Literature Value. Service representing the processing of plastic. </t>
  </si>
  <si>
    <t>inorganic nitrogen fertiliser, as N</t>
  </si>
  <si>
    <t>market for inorganic nitrogen fertiliser, as N | inorganic nitrogen fertiliser, as N | APOS, U</t>
  </si>
  <si>
    <t>Calculated based on literature values or expert estimation: The total amount of nutrient (Personal written communication, FNC., 2015) multiplied by the share of fertiliser type (Personal written communication, FNC., 2015). See supporting documentation 'WFLDB-Documentation.pdf' chapter 'Fertiliser application' for L3 and L4 data  (https://ecoquery.ecoinvent.org/File/Reports).
Corresponds to 24.2 kg/ha</t>
  </si>
  <si>
    <t>Calculated based on literature values or expert estimation: The total amount of nutrient (Personal written communication, Herma Mulder, Nedcoffee., 2014) multiplied by the share of fertiliser type (Personal written communication, Herma Mulder, Nedcoffee., 2014). See supporting documentation 'WFLDB-Documentation.pdf' chapter 'Fertiliser application' for L3 and L4 data  (https://ecoquery.ecoinvent.org/File/Reports).
Corresponds to 300.0 kg/ha</t>
  </si>
  <si>
    <t>Calculated based on literature values or expert estimation: The total amount of nutrient (Personal written communication, Herma Mulder, Nedcoffee., 2014) multiplied by the share of fertiliser type (Personal written communication, Herma Mulder, Nedcoffee., 2014). See supporting documentation 'WFLDB-Documentation.pdf' chapter 'Fertiliser application' for L3 and L4 data  (https://ecoquery.ecoinvent.org/File/Reports).
Corresponds to 116.0 kg/ha</t>
  </si>
  <si>
    <t>Calculated based on literature values or expert estimation: The total amount of nutrient (Personal written communication, Ms. Namy Espinoza Orias, Nestle., 2015) multiplied by the country-share of fertiliser type (IFA 2014). See supporting documentation 'WFLDB-Documentation.pdf' chapter 'Fertiliser application' for L3 and L4 data  (https://ecoquery.ecoinvent.org/File/Reports).
Corresponds to 5.82 kg/ha</t>
  </si>
  <si>
    <t>market group for inorganic nitrogen fertiliser, as N | inorganic nitrogen fertiliser, as N | APOS, U</t>
  </si>
  <si>
    <t>inorganic phosphorus fertiliser, as P2O5</t>
  </si>
  <si>
    <t>market for inorganic phosphorus fertiliser, as P2O5 | inorganic phosphorus fertiliser, as P2O5 | APOS, U</t>
  </si>
  <si>
    <t>Calculated based on literature values or expert estimation: The total amount of nutrient (Personal written communication, Ms. Namy Espinoza Orias, Nestle., 2015) multiplied by the country-share of fertiliser type (IFA 2014). See supporting documentation 'WFLDB-Documentation.pdf' chapter 'Fertiliser application' for L3 and L4 data  (https://ecoquery.ecoinvent.org/File/Reports).
Corresponds to 1.34 kg/ha</t>
  </si>
  <si>
    <t>market group for inorganic phosphorus fertiliser, as P2O5 | inorganic phosphorus fertiliser, as P2O5 | APOS, U</t>
  </si>
  <si>
    <t>Calculated based on literature values or expert estimation: The total amount of nutrient (Personal written communication, FNC., 2015) multiplied by the country-share of fertiliser type (IFA 2014). See supporting documentation 'WFLDB-Documentation.pdf' chapter 'Fertiliser application' for L3 and L4 data  (https://ecoquery.ecoinvent.org/File/Reports).
Corresponds to 0.685 kg/ha</t>
  </si>
  <si>
    <t>Calculated based on literature values or expert estimation: The total amount of nutrient (Personal written communication, Herma Mulder, Nedcoffee., 2014) multiplied by the share of fertiliser type (Personal written communication, Herma Mulder, Nedcoffee., 2014). See supporting documentation 'WFLDB-Documentation.pdf' chapter 'Fertiliser application' for L3 and L4 data  (https://ecoquery.ecoinvent.org/File/Reports).
Corresponds to 200.0 kg/ha</t>
  </si>
  <si>
    <t>Calculated based on literature values or expert estimation: The total amount of nutrient (Personal written communication, Herma Mulder, Nedcoffee., 2014) multiplied by the share of fertiliser type (Personal written communication, Herma Mulder, Nedcoffee., 2014). See supporting documentation 'WFLDB-Documentation.pdf' chapter 'Fertiliser application' for L3 and L4 data  (https://ecoquery.ecoinvent.org/File/Reports).
Corresponds to 92.7 kg/ha</t>
  </si>
  <si>
    <t>inorganic potassium fertiliser, as K2O</t>
  </si>
  <si>
    <t>market for inorganic potassium fertiliser, as K2O | inorganic potassium fertiliser, as K2O | APOS, U</t>
  </si>
  <si>
    <t>Calculated based on literature values or expert estimation: The total amount of nutrient (Personal written communication, FNC., 2015) multiplied by the share of fertiliser type (Personal written communication, FNC., 2015). See supporting documentation 'WFLDB-Documentation.pdf' chapter 'Fertiliser application' for L3 and L4 data  (https://ecoquery.ecoinvent.org/File/Reports).
Corresponds to 22.7 kg/ha</t>
  </si>
  <si>
    <t>Calculated based on literature values or expert estimation: The total amount of nutrient (Personal written communication, Ms. Namy Espinoza Orias, Nestle., 2015) multiplied by the country-share of fertiliser type (IFA 2014). See supporting documentation 'WFLDB-Documentation.pdf' chapter 'Fertiliser application' for L3 and L4 data  (https://ecoquery.ecoinvent.org/File/Reports).
Corresponds to 8.38 kg/ha</t>
  </si>
  <si>
    <t>market group for inorganic potassium fertiliser, as K2O | inorganic potassium fertiliser, as K2O | APOS, U</t>
  </si>
  <si>
    <t>Calculated based on literature values or expert estimation: The total amount of nutrient (Personal written communication, Herma Mulder, Nedcoffee., 2014) multiplied by the share of fertiliser type (Personal written communication, Herma Mulder, Nedcoffee., 2014). See supporting documentation 'WFLDB-Documentation.pdf' chapter 'Fertiliser application' for L3 and L4 data  (https://ecoquery.ecoinvent.org/File/Reports).
Corresponds to 50.0 kg/ha</t>
  </si>
  <si>
    <t>insulation spiral-seam duct, rockwool, DN 400, 30 mm</t>
  </si>
  <si>
    <t>market for insulation spiral-seam duct, rockwool, DN 400, 30 mm | insulation spiral-seam duct, rockwool, DN 400, 30 mm | APOS, U</t>
  </si>
  <si>
    <t>Additional Integrated Circuits not accounted for in printed wiring board exchange. Total amount of integrated circuit is scaled to fit the amount of wafer as in US, Q. (2018). Life Cycle Assessment of the HP Pro x2 612 G2 Tablet in the United States.</t>
  </si>
  <si>
    <t>integrated circuit, memory type</t>
  </si>
  <si>
    <t>market for integrated circuit, memory type | integrated circuit, memory type | APOS, U</t>
  </si>
  <si>
    <t>The SSD is here approximated with the exchange "integrated circuit, memory type". This choice is justified based on literature information reporting that more than 90% of LCIA Impact of SSD is due to the integrated circuit. Source: Seagate Life Cycle Assessments &amp; Corporate Sustainability, LCA of Enterprise SSD (https://www.seagate.com/global)
Scaled to result in 228mm2 of wafer as in 
US, Q. (2018). Life Cycle Assessment of the HP Pro x2 612 G2 Tablet in the United States.</t>
  </si>
  <si>
    <t>inverter, for electric passenger car</t>
  </si>
  <si>
    <t>market for inverter, for electric passenger car | inverter, for electric passenger car | APOS, U</t>
  </si>
  <si>
    <t>iron (III) chloride, without water, in 40% solution state</t>
  </si>
  <si>
    <t>market for iron (III) chloride, without water, in 40% solution state | iron (III) chloride, without water, in 40% solution state | APOS, U</t>
  </si>
  <si>
    <t>Auxilliary inputs for the wastewater treatment stage of the incinerator plant.</t>
  </si>
  <si>
    <t>iron ore, crude ore, 46% Fe</t>
  </si>
  <si>
    <t>B:Mining and quarrying/07:Mining of metal ores/071:Mining of iron ores/0710:Mining of iron ores</t>
  </si>
  <si>
    <t>market for iron ore, crude ore, 46% Fe | iron ore, crude ore, 46% Fe | APOS, U</t>
  </si>
  <si>
    <t>iron(III) chloride, without water, in 14% iron solution state</t>
  </si>
  <si>
    <t>market for iron(III) chloride, without water, in 14% iron solution state | iron(III) chloride, without water, in 14% iron solution state | APOS, U</t>
  </si>
  <si>
    <t>iron(III) chloride, without water, in a 12% iron solution state</t>
  </si>
  <si>
    <t>market for iron(III) chloride, without water, in a 12% iron solution state | iron(III) chloride, without water, in a 12% iron solution state | APOS, U</t>
  </si>
  <si>
    <t>Literature value.Chemical use for water pretreatment based on  Al-sarkal, T. et al. 2013.</t>
  </si>
  <si>
    <t>iron(III) sulfate, without water, in 12.5% iron solution state</t>
  </si>
  <si>
    <t>market for iron(III) sulfate, without water, in 12.5% iron solution state | iron(III) sulfate, without water, in 12.5% iron solution state | APOS, U</t>
  </si>
  <si>
    <t>Iron, in ground</t>
  </si>
  <si>
    <t>iron-nickel-chromium alloy</t>
  </si>
  <si>
    <t>market for iron-nickel-chromium alloy | iron-nickel-chromium alloy | APOS, U</t>
  </si>
  <si>
    <t>(1;4;4;4;2)</t>
  </si>
  <si>
    <t xml:space="preserve">Used here in place of nickel chromium alloy. In terms of outputs, assumed to have gone to scrap steel. Data are from Ashby 2009. </t>
  </si>
  <si>
    <t>iron-nickel-chromium alloy production | iron-nickel-chromium alloy | APOS, U</t>
  </si>
  <si>
    <t>Wearing parts; activity link set as transport is modelled with producer-specific transport distances and transport mean</t>
  </si>
  <si>
    <t>irrigation</t>
  </si>
  <si>
    <t>market for irrigation | irrigation | APOS, U</t>
  </si>
  <si>
    <t>Calculated value: The total amount of water used for irrigation (Personal written communication, Herma Mulder, Nedcoffee., 2014) multiplied by the country-share of irrigation technique (Personal written communication, Herma Mulder, Nedcoffee., 2014). See supporting documentation 'WFLDB-Documentation.pdf' chapter 'Water use for irrigation' (https://ecoquery.ecoinvent.org/File/Reports).</t>
  </si>
  <si>
    <t>Calculated value: The total amount of water used for irrigation (Personal written communication, FNC., 2015) multiplied by the country-share of irrigation technique (Personal written communication, FNC., 2015). See supporting documentation 'WFLDB-Documentation.pdf' chapter 'Water use for irrigation' (https://ecoquery.ecoinvent.org/File/Reports).</t>
  </si>
  <si>
    <t>Calculated value: The total amount of water used for irrigation (Coltro et al. 2006) multiplied by the country-share of irrigation technique (Coltro et al. 2006). See supporting documentation 'WFLDB-Documentation.pdf' chapter 'Water use for irrigation' (https://ecoquery.ecoinvent.org/File/Reports).</t>
  </si>
  <si>
    <t>Calculated based on literature values (Döll, 2010) and partially modelled at ETH (Pfister, S.).</t>
  </si>
  <si>
    <t>Calculated value: average Ispopropanol use of three companies (with low VOC consumption)</t>
  </si>
  <si>
    <t>(3;4;4;5;1)</t>
  </si>
  <si>
    <t>Proxy for Mullite (3Al2O32SiO2) (Kaolinite Al2Si2O5(OH)4). Calculated value. Based on Mullite content of different ceramic ingredients used to make ceramic casting mold, with a 1-to-1 kaolin/Mullite ratio.</t>
  </si>
  <si>
    <t>kerosene</t>
  </si>
  <si>
    <t>kerosene, import from RoW | kerosene | APOS, U</t>
  </si>
  <si>
    <t>kerosene production, petroleum refinery operation | kerosene | APOS, U</t>
  </si>
  <si>
    <t>market for kerosene | kerosene | APOS, U</t>
  </si>
  <si>
    <t>Value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and 0.02 kg of samarium-europium-gadolinium oxide. Proxy for sulfonated kerosene.</t>
  </si>
  <si>
    <t>(3;3;3;3;2)</t>
  </si>
  <si>
    <t>Jet fuel used for testing. Extrapolated value from literature: Total energy use at Airbus" European sites (Airbus Blue5, 2017), with the breakdown into electricity, stationary fuel and mobile fuel using Airbus group data (Airbus AR, 2016). Jet fuel makes up 97% of mobile fuel use (Airbus AR, 2016). Scaled to average long-haul plane by applying a per seat calculation using Airbus plane production data (Airbus AR, 2016) and maximum number of seats per aircraft type (Cox, Jemiolo &amp; Mutel, 2018). Weighting and types of planes making up the long-haul distance class from global flight data for 2016 (OAG 2016).</t>
  </si>
  <si>
    <t>petroleum refinery operation | kerosene | APOS, U</t>
  </si>
  <si>
    <t>kerosene, import from Europe | kerosene | APOS, U</t>
  </si>
  <si>
    <t>kiwi</t>
  </si>
  <si>
    <t>kiwi production | kiwi | APOS, U</t>
  </si>
  <si>
    <t>market for kiwi | kiwi | APOS, U</t>
  </si>
  <si>
    <t>kraft paper</t>
  </si>
  <si>
    <t>market for kraft paper | kraft paper | APOS, U</t>
  </si>
  <si>
    <t>land use change, perennial crop</t>
  </si>
  <si>
    <t>market for land use change, perennial crop | land use change, perennial crop | APOS, U</t>
  </si>
  <si>
    <t>Calculated value. Land use change (LUC) combines land transformation areas calculated with the adapted 'Direct Land Use Change Assessment Tool' version 2014 developed by Blonk Consultants and the carbon losses from soil organic carbon (SOC) and vegetation (VEG) as calculated in ecoinvent v3. See 'WFLDB-Guidelines.pdf', available at https://ecoquery.ecoinvent.org/File/Reports.</t>
  </si>
  <si>
    <t>latex</t>
  </si>
  <si>
    <t>market for latex | latex | APOS, U</t>
  </si>
  <si>
    <t>(4;2;4;1;3)</t>
  </si>
  <si>
    <t>lead concentrate</t>
  </si>
  <si>
    <t>market for lead concentrate | lead concentrate | APOS, U</t>
  </si>
  <si>
    <t>Lead, in ground</t>
  </si>
  <si>
    <t>lemon</t>
  </si>
  <si>
    <t>A:Agriculture, forestry and fishing/01:Crop and animal production, hunting and related service activities/012:Growing of perennial crops/0123:Growing of citrus fruits</t>
  </si>
  <si>
    <t>lemon production | lemon | APOS, U</t>
  </si>
  <si>
    <t>market for lemon | lemon | APOS, U</t>
  </si>
  <si>
    <t>lettuce</t>
  </si>
  <si>
    <t>lettuce360 production, in heated greenhouse | lettuce | APOS, U</t>
  </si>
  <si>
    <t>lettuce361 production | lettuce | APOS, U</t>
  </si>
  <si>
    <t>market for lettuce | lettuce | APOS, U</t>
  </si>
  <si>
    <t>light fuel oil</t>
  </si>
  <si>
    <t>light fuel oil, import from RoW | light fuel oil | APOS, U</t>
  </si>
  <si>
    <t>market for light fuel oil | light fuel oil | APOS, U</t>
  </si>
  <si>
    <t>light fuel oil production, from waste polyethylene | light fuel oil | APOS, U</t>
  </si>
  <si>
    <t>light fuel oil production, petroleum refinery operation | light fuel oil | APOS, U</t>
  </si>
  <si>
    <t>light fuel oil, import from Europe | light fuel oil | APOS, U</t>
  </si>
  <si>
    <t>petroleum refinery operation | light fuel oil | APOS, U</t>
  </si>
  <si>
    <t>market group for light fuel oil | light fuel oil | APOS, U</t>
  </si>
  <si>
    <t>lignite briquettes</t>
  </si>
  <si>
    <t>market for lignite briquettes | lignite briquettes | APOS, U</t>
  </si>
  <si>
    <t>FEFCO 2015</t>
  </si>
  <si>
    <t>lime</t>
  </si>
  <si>
    <t>market for lime | lime | APOS, U</t>
  </si>
  <si>
    <t>lime, hydrated, loose weight</t>
  </si>
  <si>
    <t>market for lime, hydrated, loose weight | lime, hydrated, loose weight | APOS, U</t>
  </si>
  <si>
    <t>calculated from max value assuming lognormal distribution</t>
  </si>
  <si>
    <t>lime production, hydrated, loose weight | lime, hydrated, loose weight | APOS, U</t>
  </si>
  <si>
    <t>Reported as lime, for emission treatment</t>
  </si>
  <si>
    <t>lime, packed</t>
  </si>
  <si>
    <t>market for lime, packed | lime, packed | APOS, U</t>
  </si>
  <si>
    <t>Calculated to correspond to give same composition of glass wool as glass wool with cullet from packaging glass. Molar mass of lime (CaCO3) to CaO:100 to 56.</t>
  </si>
  <si>
    <t>limestone quarry infrastructure</t>
  </si>
  <si>
    <t>market for limestone quarry infrastructure | limestone quarry infrastructure | APOS, U</t>
  </si>
  <si>
    <t>(5;4;5;5;3)</t>
  </si>
  <si>
    <t>limestone, crushed, for mill</t>
  </si>
  <si>
    <t>market for limestone, crushed, for mill | limestone, crushed, for mill | APOS, U</t>
  </si>
  <si>
    <t>(3;2;3;5;1)</t>
  </si>
  <si>
    <t>limestone, crushed, washed</t>
  </si>
  <si>
    <t>market for limestone, crushed, washed | limestone, crushed, washed | APOS, U</t>
  </si>
  <si>
    <t>limestone, unprocessed</t>
  </si>
  <si>
    <t>market for limestone, unprocessed | limestone, unprocessed | APOS, U</t>
  </si>
  <si>
    <t>liquefied petroleum gas</t>
  </si>
  <si>
    <t>liquefied petroleum gas, import from RoW | liquefied petroleum gas | APOS, U</t>
  </si>
  <si>
    <t>market for liquefied petroleum gas | liquefied petroleum gas | APOS, U</t>
  </si>
  <si>
    <t>liquefied petroleum gas production, petroleum refinery operation | liquefied petroleum gas | APOS, U</t>
  </si>
  <si>
    <t>petroleum refinery operation | liquefied petroleum gas | APOS, U</t>
  </si>
  <si>
    <t>synthetic fuel production, from coal, high temperature Fisher-Tropsch operations | liquefied petroleum gas | APOS, U</t>
  </si>
  <si>
    <t>liquefied petroleum gas, import from Europe | liquefied petroleum gas | APOS, U</t>
  </si>
  <si>
    <t>liquid crystal display, unmounted, mobile device</t>
  </si>
  <si>
    <t>market for liquid crystal display, unmounted, mobile device | liquid crystal display, unmounted, mobile device | APOS, U</t>
  </si>
  <si>
    <t>liquid manure spreading, by vacuum tanker</t>
  </si>
  <si>
    <t>market for liquid manure spreading, by vacuum tanker | liquid manure spreading, by vacuum tanker | APOS, U</t>
  </si>
  <si>
    <t>liquid manure spreading, by vacuum tanker | liquid manure spreading, by vacuum tanker | APOS, U</t>
  </si>
  <si>
    <t>lithium fluoride</t>
  </si>
  <si>
    <t>market for lithium fluoride | lithium fluoride | APOS, U</t>
  </si>
  <si>
    <t>Used here in place of fluorozirconate. In terms of output, assumed to have gone to wastewater. Data from Xiao et al. 2015.</t>
  </si>
  <si>
    <t>lithium hexafluorophosphate</t>
  </si>
  <si>
    <t>market for lithium hexafluorophosphate | lithium hexafluorophosphate | APOS, U</t>
  </si>
  <si>
    <t>lithium manganese oxide</t>
  </si>
  <si>
    <t>market for lithium manganese oxide | lithium manganese oxide | APOS, U</t>
  </si>
  <si>
    <t>lubricating oil production | lubricating oil | APOS, U</t>
  </si>
  <si>
    <t>machine, for treatment of waste electric and electronic equipment</t>
  </si>
  <si>
    <t>market for machine, for treatment of waste electric and electronic equipment | machine, for treatment of waste electric and electronic equipment | APOS, U</t>
  </si>
  <si>
    <t>Magnesite, in ground</t>
  </si>
  <si>
    <t>60% Magnesite in ore; Uncertainty for LCI results cannot be determined</t>
  </si>
  <si>
    <t>magnesium oxide</t>
  </si>
  <si>
    <t>market for magnesium oxide | magnesium oxide | APOS, U</t>
  </si>
  <si>
    <t xml:space="preserve">Value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and 0.02 kg of samarium-europium-gadolinium oxide. </t>
  </si>
  <si>
    <t>magnesium sulfate</t>
  </si>
  <si>
    <t>market for magnesium sulfate | magnesium sulfate | APOS, U</t>
  </si>
  <si>
    <t>Magnesium, in ground</t>
  </si>
  <si>
    <t>magnesium-alloy, AZ91, diecast</t>
  </si>
  <si>
    <t>market for magnesium-alloy, AZ91, diecast | magnesium-alloy, AZ91, diecast | APOS, U</t>
  </si>
  <si>
    <t>maintenance, electric bicycle</t>
  </si>
  <si>
    <t>G:Wholesale and retail trade; repair of motor vehicles and motorcycles/45:Wholesale and retail trade and repair of motor vehicles and motorcycles/454:Sale, maintenance and repair of motorcycles and related parts and accessories/4540:Sale, maintenance and repair of motorcycles and related parts and accessori</t>
  </si>
  <si>
    <t>maintenance, electric bicycle | maintenance, electric bicycle | APOS, U</t>
  </si>
  <si>
    <t>market for maintenance, electric bicycle | maintenance, electric bicycle | APOS, U</t>
  </si>
  <si>
    <t>maintenance, refrigeration machine</t>
  </si>
  <si>
    <t>C:Manufacturing/33:Repair and installation of machinery and equipment/331:Repair of fabricated metal products, machinery and equipment/3315:Repair of transport equipment, except motor vehicles</t>
  </si>
  <si>
    <t>market for maintenance, refrigeration machine | maintenance, refrigeration machine | APOS, U</t>
  </si>
  <si>
    <t>Calculated value.</t>
  </si>
  <si>
    <t>maize starch</t>
  </si>
  <si>
    <t>maize starch production | maize starch | APOS, U</t>
  </si>
  <si>
    <t>market for maize starch | maize starch | APOS, U</t>
  </si>
  <si>
    <t>maleic anhydride</t>
  </si>
  <si>
    <t>market for maleic anhydride | maleic anhydride | APOS, U</t>
  </si>
  <si>
    <t>malusil</t>
  </si>
  <si>
    <t>market for malusil | malusil | APOS, U</t>
  </si>
  <si>
    <t>Data provided by industry (EPIS) 2017. Represents Talc or talcum (H2Mg3(SiO3)4 or Mg3Si4O10(OH)2)</t>
  </si>
  <si>
    <t>mandarin</t>
  </si>
  <si>
    <t>mandarin production | mandarin | APOS, U</t>
  </si>
  <si>
    <t>market for mandarin | mandarin | APOS, U</t>
  </si>
  <si>
    <t>Compensation for product losses: 0.048 value from FAO.</t>
  </si>
  <si>
    <t>manganese</t>
  </si>
  <si>
    <t>market for manganese | manganese | APOS, U</t>
  </si>
  <si>
    <t>manganese production | manganese | APOS, U</t>
  </si>
  <si>
    <t>manganese sulfate</t>
  </si>
  <si>
    <t>market for manganese sulfate | manganese sulfate | APOS, U</t>
  </si>
  <si>
    <t>manganese(III) oxide</t>
  </si>
  <si>
    <t>market for manganese(III) oxide | manganese(III) oxide | APOS, U</t>
  </si>
  <si>
    <t>Manganese, in ground</t>
  </si>
  <si>
    <t>mango</t>
  </si>
  <si>
    <t>market for mango | mango | APOS, U</t>
  </si>
  <si>
    <t>5% of all mangos that enter in the packing house are not selected, according to quality criteria and become waste</t>
  </si>
  <si>
    <t>(1;4;3;5;1)</t>
  </si>
  <si>
    <t>manure, solid, cattle</t>
  </si>
  <si>
    <t>market for manure, solid, cattle | manure, solid, cattle | APOS, U</t>
  </si>
  <si>
    <t>Calculated based on literature values: The total amount of manure (Personal written communication, Herma Mulder, Nedcoffee., 2014) multiplied by the country-share of manure per animal category (FAOSTAT 2015). See supporting documentation 'WFLDB-Documentation.pdf' chapter 'Fertiliser application' (https://ecoquery.ecoinvent.org/File/Reports).
Corresponds to 856.0 kg/ha</t>
  </si>
  <si>
    <t>marine engine</t>
  </si>
  <si>
    <t>market for marine engine | marine engine | APOS, U</t>
  </si>
  <si>
    <t>(3;3;2;1;1)</t>
  </si>
  <si>
    <t>Marine diesel engine maintenance, 1 replacement over lifetime</t>
  </si>
  <si>
    <t>mastic asphalt</t>
  </si>
  <si>
    <t>market for mastic asphalt | mastic asphalt | APOS, U</t>
  </si>
  <si>
    <t>(3;5;5;4;2)</t>
  </si>
  <si>
    <t>This flow is considered as a regional specificity of Quebec. The flow is scaled using the production volumes (Quebec and GLO) to avoid its accounting of this specificity in the other regions."</t>
  </si>
  <si>
    <t>mattress</t>
  </si>
  <si>
    <t>market for mattress | mattress | APOS, U</t>
  </si>
  <si>
    <t xml:space="preserve">Calculated value. The amount of exchange is calculated as: amount of input product * (lifetime of the hotel/lifetime of the product) / (number of guests during the lifetime of the hotel * hotel occupancy rate). The hotel reports 56 double matresses, the input represents a single mattress. Average service life of a mattress is assumed to be equal to 5 years. Source: Traveller 2017. How often do hotels change their mattresses? Available from: http://www.traveller.com.au/everyone-asks-how-often-do-hotels-change-their-mattresses-guv2kt Accessed 16 March 2018. </t>
  </si>
  <si>
    <t>meat and bone meal</t>
  </si>
  <si>
    <t>C:Manufacturing/10:Manufacture of food products/101:Processing and preserving of meat/1010:Processing and preserving of meat</t>
  </si>
  <si>
    <t>market for meat and bone meal | meat and bone meal | APOS, U</t>
  </si>
  <si>
    <t>medium density fibreboard</t>
  </si>
  <si>
    <t>market for medium density fibreboard | medium density fibreboard | APOS, U</t>
  </si>
  <si>
    <t>Calculated value. The value derived from the average of the three pieces of furniture from González-García et al. 2011 is 0.15kg. This is multiplied by the product density (see the properties section).</t>
  </si>
  <si>
    <t>melamine</t>
  </si>
  <si>
    <t>market for melamine | melamine | APOS, U</t>
  </si>
  <si>
    <t>melamine formaldehyde resin</t>
  </si>
  <si>
    <t>market for melamine formaldehyde resin | melamine formaldehyde resin | APOS, U</t>
  </si>
  <si>
    <t>part of glueing system (inventoried as averaged production average in Europe)</t>
  </si>
  <si>
    <t>melamine urea formaldehyde adhesive</t>
  </si>
  <si>
    <t>market for melamine urea formaldehyde adhesive | melamine urea formaldehyde adhesive | APOS, U</t>
  </si>
  <si>
    <t>Literature value; sample from Germany</t>
  </si>
  <si>
    <t>melon</t>
  </si>
  <si>
    <t>melon production | melon | APOS, U</t>
  </si>
  <si>
    <t>market for melon | melon | APOS, U</t>
  </si>
  <si>
    <t>mercury</t>
  </si>
  <si>
    <t>market for mercury | mercury | APOS, U</t>
  </si>
  <si>
    <t>Mercury, in ground</t>
  </si>
  <si>
    <t>metal coating facility</t>
  </si>
  <si>
    <t>metal coating facility construction | metal coating facility | APOS, U</t>
  </si>
  <si>
    <t>This flow is issued during the process "selective coating, copper sheet, sputtering" which is used as an input in bitumen seal production.  The ecoinvent dataset with the same name has been merged into this activity. This flow refers to 1 m2 of selective coat, copper sheet, sputter deposition. 0.2 m2 are used as an input for bitumen seal production.</t>
  </si>
  <si>
    <t>market for metal coating facility | metal coating facility | APOS, U</t>
  </si>
  <si>
    <t>metal working factory</t>
  </si>
  <si>
    <t>market for metal working factory | metal working factory | APOS, U</t>
  </si>
  <si>
    <t>(5;5;5;3;3)</t>
  </si>
  <si>
    <t>metal working factory construction | metal working factory | APOS, U</t>
  </si>
  <si>
    <t>metal working, average for aluminium product manufacturing | metal working, average for aluminium product manufacturing | APOS, U</t>
  </si>
  <si>
    <t>Measured value: represent the working of the aluminium required for the copensation of the deterioration of the moulds</t>
  </si>
  <si>
    <t>Calculated.</t>
  </si>
  <si>
    <t>metal working, average for chromium steel product manufacturing</t>
  </si>
  <si>
    <t>metal working, average for chromium steel product manufacturing | metal working, average for chromium steel product manufacturing | APOS, U</t>
  </si>
  <si>
    <t>calculated value</t>
  </si>
  <si>
    <t>market for metal working, average for chromium steel product manufacturing | metal working, average for chromium steel product manufacturing | APOS, U</t>
  </si>
  <si>
    <t>Tinplate can</t>
  </si>
  <si>
    <t>metal working, average for copper product manufacturing</t>
  </si>
  <si>
    <t>market for metal working, average for copper product manufacturing | metal working, average for copper product manufacturing | APOS, U</t>
  </si>
  <si>
    <t xml:space="preserve">Literature Value. Service representing the processing of copper. </t>
  </si>
  <si>
    <t>metal working, average for metal product manufacturing</t>
  </si>
  <si>
    <t>market for metal working, average for metal product manufacturing | metal working, average for metal product manufacturing | APOS, U</t>
  </si>
  <si>
    <t>metal working, average for metal product manufacturing | metal working, average for metal product manufacturing | APOS, U</t>
  </si>
  <si>
    <t>metal working, average for steel product manufacturing</t>
  </si>
  <si>
    <t>market for metal working, average for steel product manufacturing | metal working, average for steel product manufacturing | APOS, U</t>
  </si>
  <si>
    <t>metal working, average for steel product manufacturing | metal working, average for steel product manufacturing | APOS, U</t>
  </si>
  <si>
    <t>Measured value: represent the working of the steel-based auxiliaries</t>
  </si>
  <si>
    <t>methacrylic acid</t>
  </si>
  <si>
    <t>market for methacrylic acid | methacrylic acid | APOS, U</t>
  </si>
  <si>
    <t>methanol</t>
  </si>
  <si>
    <t>market for methanol | methanol | APOS, U</t>
  </si>
  <si>
    <t>methanol, from biomass</t>
  </si>
  <si>
    <t>market for methanol, from biomass | methanol, from biomass | APOS, U</t>
  </si>
  <si>
    <t>Data provided by industry (EPIS) 2017. Represents biofuel from bark and tall oil pitch. Calculated from energetic value with conversion factor 23 MJ/kg</t>
  </si>
  <si>
    <t>methanol production, from synthetic gas | methanol, from biomass | APOS, U</t>
  </si>
  <si>
    <t>methylchloride</t>
  </si>
  <si>
    <t>market for methylchloride | methylchloride | APOS, U</t>
  </si>
  <si>
    <t>methylcyclopentane</t>
  </si>
  <si>
    <t>market for methylcyclopentane | methylcyclopentane | APOS, U</t>
  </si>
  <si>
    <t>methylene diphenyl diisocyanate</t>
  </si>
  <si>
    <t>market for methylene diphenyl diisocyanate | methylene diphenyl diisocyanate | APOS, U</t>
  </si>
  <si>
    <t>microwave oven</t>
  </si>
  <si>
    <t>market for microwave oven | microwave oven | APOS, U</t>
  </si>
  <si>
    <t>Calculated value. Assumed average service life of a microwave oven is 8 years. Source: Gallego-Schmid et al. 2018. Environmental assessment of microwaves and the effect of European energy efficiency and waste management legislation. Science of the Total Environment, 618, 487-499.</t>
  </si>
  <si>
    <t>mine infrastructure, gold-silver-zinc-lead-copper</t>
  </si>
  <si>
    <t>mine construction, gold-silver-zinc-lead-copper | mine infrastructure, gold-silver-zinc-lead-copper | APOS, U</t>
  </si>
  <si>
    <t>Literature value. 3.93E-07 kg is the amount of the exchange needed when producing 1 kg of gold. 6.72E-09 kg is the amount of the exchange needed when producing 1 kg of silver. 1.12E-10 kg is the amount of the exchange needed when producing 1 kg of copper. 3.08E-11 kg is the amount of the exchange needed when producing 1 kg of lead. 4.7E-11 kg is the amount of the exchange needed when producing 1 kg of zinc.</t>
  </si>
  <si>
    <t>mine infrastructure, underground, non-ferrous metal</t>
  </si>
  <si>
    <t>market for mine infrastructure, underground, non-ferrous metal | mine infrastructure, underground, non-ferrous metal | APOS, U</t>
  </si>
  <si>
    <t>(5;5;5;3;1)</t>
  </si>
  <si>
    <t>Estimation from author of "zinc mine operation, GLO, 1994-2003" dataset. No primary data on infrastructure included.</t>
  </si>
  <si>
    <t>mint</t>
  </si>
  <si>
    <t>mint production | mint | APOS, U</t>
  </si>
  <si>
    <t>market for mint | mint | APOS, U</t>
  </si>
  <si>
    <t>molasses, from sugar beet</t>
  </si>
  <si>
    <t>C:Manufacturing/10:Manufacture of food products/107:Manufacture of other food products/1072:Manufacture of sugar</t>
  </si>
  <si>
    <t>market for molasses, from sugar beet | molasses, from sugar beet | APOS, U</t>
  </si>
  <si>
    <t>Activity link set as transport is modelled with producer-specific transport distances and transport mean. Originally reported as molasses. The destiny of the molasse is not known for certain, but it is assumed to form a complex polymer with the phenol resin and thus form a part of the product.</t>
  </si>
  <si>
    <t>molybdenum</t>
  </si>
  <si>
    <t>market for molybdenum | molybdenum | APOS, U</t>
  </si>
  <si>
    <t>molybdenum production | molybdenum | APOS, U</t>
  </si>
  <si>
    <t>monochloropentafluoroethane</t>
  </si>
  <si>
    <t>market for monochloropentafluoroethane | monochloropentafluoroethane | APOS, U</t>
  </si>
  <si>
    <t>Proxy with literature value, to represent HCFC-225ca and HCFC-225cb, monochloropentafluoroethane is used.</t>
  </si>
  <si>
    <t>monoethanolamine</t>
  </si>
  <si>
    <t>market for monoethanolamine | monoethanolamine | APOS, U</t>
  </si>
  <si>
    <t>mounting, surface mount technology, Pb-free solder</t>
  </si>
  <si>
    <t>market for mounting, surface mount technology, Pb-free solder | mounting, surface mount technology, Pb-free solder | APOS, U</t>
  </si>
  <si>
    <t>Service representing the mounting of components on the printed wiring board.</t>
  </si>
  <si>
    <t>mulberry leaves</t>
  </si>
  <si>
    <t>market for mulberry leaves | mulberry leaves | APOS, U</t>
  </si>
  <si>
    <t>Amount originate from primary data collection.</t>
  </si>
  <si>
    <t>municipal waste collection service by 21 metric ton lorry</t>
  </si>
  <si>
    <t>market for municipal waste collection service by 21 metric ton lorry | municipal waste collection service by 21 metric ton lorry | APOS, U</t>
  </si>
  <si>
    <t>municipal waste collection service by 21 metric ton lorry | municipal waste collection service by 21 metric ton lorry | APOS, U</t>
  </si>
  <si>
    <t>(5;5;5;1;1)</t>
  </si>
  <si>
    <t>N-methyl-2-pyrrolidone</t>
  </si>
  <si>
    <t>market for N-methyl-2-pyrrolidone | N-methyl-2-pyrrolidone | APOS, U</t>
  </si>
  <si>
    <t>n-olefins</t>
  </si>
  <si>
    <t>market for n-olefins | n-olefins | APOS, U</t>
  </si>
  <si>
    <t>naphtha</t>
  </si>
  <si>
    <t>naphtha production, petroleum refinery operation | naphtha | APOS, U</t>
  </si>
  <si>
    <t>market for naphtha | naphtha | APOS, U</t>
  </si>
  <si>
    <t>(2;2;5;5;4)</t>
  </si>
  <si>
    <t>natural gas processing plant</t>
  </si>
  <si>
    <t>B:Mining and quarrying/06:Extraction of crude petroleum and natural gas/062:Extraction of natural gas/0620:Extraction of natural gas</t>
  </si>
  <si>
    <t>market for natural gas processing plant | natural gas processing plant | APOS, U</t>
  </si>
  <si>
    <t>Estimated value. As in original dataset (natural gas production, DE)</t>
  </si>
  <si>
    <t>(1;2;5;1;3)</t>
  </si>
  <si>
    <t>Estimation: reported total amount of energy required per glass melted from literature source. Average european mix of 50% fuel oil and 50% natural gas estimated based on literature source.</t>
  </si>
  <si>
    <t>Amount based on primary data collected from participating companies. Emissions from fuel combustion included in dataset.</t>
  </si>
  <si>
    <t>(1;2;2;4;1)</t>
  </si>
  <si>
    <t xml:space="preserve">Average data from four European producers of SUB/SSB and thirty three carton converting facilities, weighted according to production volumes </t>
  </si>
  <si>
    <t>Calculated based on data from another activity. 
The amount of natural gas (NG) needed in order to be able to produce 1kg of natural gas liquids (NGL) is ((1/0.8)/0.35=) 3.562 m3, i.e. (3.562*0.8=) 2.86 kg.
The amount of natural gas on the output (after the natural gas liquids are removed) is thus (2.86 - 1=) 1.86 kg. When taking into account changed density of the natural gas between input and output this 1.86 kg is equal to (1.86/0.7=) 2.65 m3. This amount could be either entered into this activity as a by-product or deducted from the imput amount of natural gas. The later is applied. The amount of natural gas on the input is thus (3.57-2.65=) 0.92 m3. 
0.8 kg/m3 is the density of natural gas on the input.
0.7 kg/m3 is the density of natural gas on the output (after natural gas liquids are removed).</t>
  </si>
  <si>
    <t>natural gas, low pressure</t>
  </si>
  <si>
    <t>market for natural gas, low pressure | natural gas, low pressure | APOS, U</t>
  </si>
  <si>
    <t>Reported as 4.67 GJ /tonnene net saleable product.  Converted to Nm3 using the lower heating value (36.8 MJ/m3) reported in "Dones R. et al.(2007) Life Cycle Inventories of Energy Systems: Results for Current Systems in Switzerland and other UCTE Countries. Final report ecoinvent data v2.0, No. 5. Swiss Centre for Life Cycle Inventories, Dübendorf, CH.</t>
  </si>
  <si>
    <t>natural gas, unprocessed, at extraction</t>
  </si>
  <si>
    <t>market for natural gas, unprocessed, at extraction | natural gas, unprocessed, at extraction | APOS, U</t>
  </si>
  <si>
    <t>Value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0.05 kg of praseodymium oxide and 0.02 kg of samarium-europium-gadolinium oxide.</t>
  </si>
  <si>
    <t>natural gas, vented</t>
  </si>
  <si>
    <t>market for natural gas, vented | natural gas, vented | APOS, U</t>
  </si>
  <si>
    <t>natural stone plate, cut</t>
  </si>
  <si>
    <t>C:Manufacturing/23:Manufacture of other non-metallic mineral products/239:Manufacture of non-metallic mineral products n.e.c./2396:Cutting, shaping and finishing of stone</t>
  </si>
  <si>
    <t>market for natural stone plate, cut | natural stone plate, cut | APOS, U</t>
  </si>
  <si>
    <t xml:space="preserve">Calculated value. Used here in place of marble. Combined of all instances of use across the building. Assumed thickness of marble is 22 mm. Source: Erdly and Schwartz 2004. Building facade maintenance, repair, and inspection. ASTM International, West Conshohocken, USA. Assumed density of marble is 2.7 kg/m3. Source: The Engineering Toolbox 2018. Densities of common solids. Available from: https://www.engineeringtoolbox.com/density-solids-d_1265.html Accessed 25 March 2018. Assumed service life of 75 years which is equal to the service life of the hotel building with minor refurbishments throughout. In terms of outputs assumed to have gone to inert waste. </t>
  </si>
  <si>
    <t>Nickel, in ground</t>
  </si>
  <si>
    <t>nitrate salts, for solar power application</t>
  </si>
  <si>
    <t>nitrate salts production, for solar power application | nitrate salts, for solar power application | APOS, U</t>
  </si>
  <si>
    <t>Used as molten salt with 60% (by weight) contribution of technical grade sodium nitrate, and 40% (by weight) technical grade potassium nitrate.</t>
  </si>
  <si>
    <t>nitrile-compound</t>
  </si>
  <si>
    <t>market for nitrile-compound | nitrile-compound | APOS, U</t>
  </si>
  <si>
    <t>Reported as nitrogen</t>
  </si>
  <si>
    <t>air separation, cryogenic | nitrogen, liquid | APOS, U</t>
  </si>
  <si>
    <t>non-ionic surfactant</t>
  </si>
  <si>
    <t>market for non-ionic surfactant | non-ionic surfactant | APOS, U</t>
  </si>
  <si>
    <t xml:space="preserve">Calculated value. Represents here laundry detergent. In terms of outputs assumed to have gone to wastewater. </t>
  </si>
  <si>
    <t>NOx retained, by selective catalytic reduction</t>
  </si>
  <si>
    <t>market for NOx retained, by selective catalytic reduction | NOx retained, by selective catalytic reduction | APOS, U</t>
  </si>
  <si>
    <t>(2;2;2;4;2)</t>
  </si>
  <si>
    <t>expert estimation (see source)</t>
  </si>
  <si>
    <t>nuclear fuel element, for boiling water reactor, UO2 4.0% &amp; MOX</t>
  </si>
  <si>
    <t>market for nuclear fuel element, for boiling water reactor, UO2 4.0% &amp; MOX | nuclear fuel element, for boiling water reactor, UO2 4.0% &amp; MOX | APOS, U</t>
  </si>
  <si>
    <t>nuclear fuel element, for pressure water reactor, UO2 3.8% &amp; MOX</t>
  </si>
  <si>
    <t>market for nuclear fuel element, for pressure water reactor, UO2 3.8% &amp; MOX | nuclear fuel element, for pressure water reactor, UO2 3.8% &amp; MOX | APOS, U</t>
  </si>
  <si>
    <t>estimated variation over lifetime</t>
  </si>
  <si>
    <t>nuclear fuel element, for pressure water reactor, UO2 4.0% &amp; MOX</t>
  </si>
  <si>
    <t>market for nuclear fuel element, for pressure water reactor, UO2 4.0% &amp; MOX | nuclear fuel element, for pressure water reactor, UO2 4.0% &amp; MOX | APOS, U</t>
  </si>
  <si>
    <t>nuclear fuel element, for pressure water reactor, UO2 4.2% &amp; MOX</t>
  </si>
  <si>
    <t>market for nuclear fuel element, for pressure water reactor, UO2 4.2% &amp; MOX | nuclear fuel element, for pressure water reactor, UO2 4.2% &amp; MOX | APOS, U</t>
  </si>
  <si>
    <t>Literature value</t>
  </si>
  <si>
    <t>nuclear power plant, boiling water reactor 1000MW</t>
  </si>
  <si>
    <t>nuclear power plant construction, boiling water reactor 1000MW | nuclear power plant, boiling water reactor 1000MW | APOS, U</t>
  </si>
  <si>
    <t>market for nuclear power plant, boiling water reactor 1000MW | nuclear power plant, boiling water reactor 1000MW | APOS, U</t>
  </si>
  <si>
    <t>Estimation. Total net electricity over a lifetime: 3.46E11 kWh</t>
  </si>
  <si>
    <t>nuclear power plant, pressure water reactor, 1000MW</t>
  </si>
  <si>
    <t>nuclear power plant construction, pressure water reactor, 1000MW | nuclear power plant, pressure water reactor, 1000MW | APOS, U</t>
  </si>
  <si>
    <t>Estimation. Total net electricity over a lifetime: 3.11E11 kWh</t>
  </si>
  <si>
    <t>market for nuclear power plant, pressure water reactor, 1000MW | nuclear power plant, pressure water reactor, 1000MW | APOS, U</t>
  </si>
  <si>
    <t>nuclear power plant, pressure water reactor, 650MW</t>
  </si>
  <si>
    <t>nuclear power plant construction, pressure water reactor 650MW | nuclear power plant, pressure water reactor, 650MW | APOS, U</t>
  </si>
  <si>
    <t>Calculated generic value, not country specific.The amount of infrastructure input is calculated based on the assumption of an average lifetime of 30 years for this type of power plant. An average load factor for nuclear power plants of 73% was applied (PRIS database, 2018).
Reference(s): International Atomic Energy Agency. 2018. Power Reactor Information System (PRIS), World Statistics, Load Factor, accessible online athttps://pris.iaea.org/PRIS/WorldStatistics/WorldTrendinAverageLoadFactor.aspx, last accessed February 2018
;activityLink introduced to establish a direct link to the corresponding regional supply of this product</t>
  </si>
  <si>
    <t>market for nuclear power plant, pressure water reactor, 650MW | nuclear power plant, pressure water reactor, 650MW | APOS, U</t>
  </si>
  <si>
    <t xml:space="preserve">Calculated generic value, not country specific.The amount of infrastructure input is calculated based on the assumption of an average lifetime of 30 years for this type of power plant. An average load factor for nuclear power plants of 73% was applied (PRIS database, 2018).
Reference(s): International Atomic Energy Agency. 2018. Power Reactor Information System (PRIS), World Statistics, Load Factor, accessible online athttps://pris.iaea.org/PRIS/WorldStatistics/WorldTrendinAverageLoadFactor.aspx, last accessed February 2018
</t>
  </si>
  <si>
    <t>nylon 6-6</t>
  </si>
  <si>
    <t>market for nylon 6-6 | nylon 6-6 | APOS, U</t>
  </si>
  <si>
    <t>(2;3;2;1;1)</t>
  </si>
  <si>
    <t>Fishing net maintenance, 10% replacement every 2 years</t>
  </si>
  <si>
    <t>Occupation, annual crop, non-irrigated, intensive</t>
  </si>
  <si>
    <t>Modelled, see chapter 'Land use' in "01_crop production_direct field emissions and natural resources_v1.0.pdf" - pdf-document on the dedicated talk page of ecoinvent (www.ecoinvent.org/documentation)</t>
  </si>
  <si>
    <t>Occupation, grassland, natural (non-use)</t>
  </si>
  <si>
    <t>Occupation, lake, artificial</t>
  </si>
  <si>
    <t>(4;4;5;5;3)</t>
  </si>
  <si>
    <t>Occupation, permanent crop, irrigated</t>
  </si>
  <si>
    <t>Related to the duration from harvest date of previous crop to harvest date of main crop.</t>
  </si>
  <si>
    <t>Occupation, seabed, infrastructure</t>
  </si>
  <si>
    <t>Estimates</t>
  </si>
  <si>
    <t>Occupation, urban, continuously built</t>
  </si>
  <si>
    <t>Calculated value. Based on survey data, the gross floor area multiplied by the lifetime of the building.</t>
  </si>
  <si>
    <t>offshore platform, natural gas</t>
  </si>
  <si>
    <t>C:Manufacturing/30:Manufacture of other transport equipment/301:Building of ships and boats/3011:Building of ships and floating structures</t>
  </si>
  <si>
    <t>market for offshore platform, natural gas | offshore platform, natural gas | APOS, U</t>
  </si>
  <si>
    <t>(2;4;5;5;4)</t>
  </si>
  <si>
    <t>environmental report for the total Norwegian production, standard module. Scaled according to energy content of reference products.</t>
  </si>
  <si>
    <t>offshore platform, petroleum</t>
  </si>
  <si>
    <t>market for offshore platform, petroleum | offshore platform, petroleum | APOS, U</t>
  </si>
  <si>
    <t>(3;1;5;5;3)</t>
  </si>
  <si>
    <t>EcoSpold01Location=OCE</t>
  </si>
  <si>
    <t>offshore well, oil/gas</t>
  </si>
  <si>
    <t>B:Mining and quarrying/09:Mining support service activities/091:Support activities for petroleum and natural gas extraction/0910:Support activities for petroleum and natural gas extraction</t>
  </si>
  <si>
    <t>market for offshore well, oil/gas | offshore well, oil/gas | APOS, U</t>
  </si>
  <si>
    <t>oil boiler, 100kW</t>
  </si>
  <si>
    <t>market for oil boiler, 100kW | oil boiler, 100kW | APOS, U</t>
  </si>
  <si>
    <t xml:space="preserve">Literature data and primary data from French manufacturers (Boulard et al, 2011). Boiler for the heating system.
</t>
  </si>
  <si>
    <t>oil mill</t>
  </si>
  <si>
    <t>market for oil mill | oil mill | APOS, U</t>
  </si>
  <si>
    <t>(1;4;4;5;5)</t>
  </si>
  <si>
    <t>Calculated from the utilization rate of the oil mill using 90% utilization rate.</t>
  </si>
  <si>
    <t>oil power plant, 500MW</t>
  </si>
  <si>
    <t>oil power plant construction, 500MW | oil power plant, 500MW | APOS, U</t>
  </si>
  <si>
    <t>Estimation based on case study</t>
  </si>
  <si>
    <t>market for oil power plant, 500MW | oil power plant, 500MW | APOS, U</t>
  </si>
  <si>
    <t>Estimation, adapted from the GLO 2008 dataset using the mathematical relation taken from the original dataset and adapted for Argentina with the "efficiency_oil_global/ efficiency_oil_country" parameter. 
For details see comment for parameter 'average efficiency of oil power plants, global'. The efficiency is based on CAMMESA statistics and calculated with own assumptions (see comment on the "efficiency_oi_l country" parameter for more information. 
Source: CAMMESA "COMPAÑÍA ADMINISTRADORA DEL MERCADO MAYORISTA ELÉCTRICO SOCIEDAD ANÓNIMA". Supporting documentation available at: &lt;http://portalweb.cammesa.com/Memnet1/default.aspx&gt; Additional information can be obtained from CAMMESA under request
Child exchanges are put into relation to the parent exchanges by means of average efficiency of oil power plants in the country and global average efficiency of oil power plants.".</t>
  </si>
  <si>
    <t>oil storage, 3000l</t>
  </si>
  <si>
    <t>C:Manufacturing/25:Manufacture of fabricated metal products, except machinery and equipment/251:Manufacture of structural metal products, tanks, reservoirs and steam generators/2512:Manufacture of tanks, reservoirs and containers of metal</t>
  </si>
  <si>
    <t>market for oil storage, 3000l | oil storage, 3000l | APOS, U</t>
  </si>
  <si>
    <t>Oil, crude, in ground</t>
  </si>
  <si>
    <t>Literature</t>
  </si>
  <si>
    <t>olive</t>
  </si>
  <si>
    <t>A:Agriculture, forestry and fishing/01:Crop and animal production, hunting and related service activities/012:Growing of perennial crops/0126:Growing of oleaginous fruits</t>
  </si>
  <si>
    <t>olive production | olive | APOS, U</t>
  </si>
  <si>
    <t>market for olive | olive | APOS, U</t>
  </si>
  <si>
    <t>Olivine, in ground</t>
  </si>
  <si>
    <t>onion</t>
  </si>
  <si>
    <t>onion production | onion | APOS, U</t>
  </si>
  <si>
    <t>market for onion | onion | APOS, U</t>
  </si>
  <si>
    <t>onshore natural gas field infrastructure</t>
  </si>
  <si>
    <t>market for onshore natural gas field infrastructure | onshore natural gas field infrastructure | APOS, U</t>
  </si>
  <si>
    <t>onshore petroleum field infrastructure</t>
  </si>
  <si>
    <t>market for onshore petroleum field infrastructure | onshore petroleum field infrastructure | APOS, U</t>
  </si>
  <si>
    <t>(3;4;5;3;1)</t>
  </si>
  <si>
    <t>Data for RU</t>
  </si>
  <si>
    <t>onshore well, oil/gas</t>
  </si>
  <si>
    <t>market for onshore well, oil/gas | onshore well, oil/gas | APOS, U</t>
  </si>
  <si>
    <t>operation, reefer, cooling</t>
  </si>
  <si>
    <t>H:Transportation and storage/52:Warehousing and support activities for transportation/522:Support activities for transportation/5229:Other transportation support activities</t>
  </si>
  <si>
    <t>kg*d</t>
  </si>
  <si>
    <t>market for operation, reefer, cooling | operation, reefer, cooling | APOS, U</t>
  </si>
  <si>
    <t>Calculated value.
The reefer operates (is cooling or freezing down the goods) no matter if it is being transported or if it is standing in a port or farm and not moving. The amount of operation of reefer needed is connected directly to different modes of transport using default assumptions on the average speed of the infrastructure.
This exchange represents the time, when the reefer is being transferred from one mode of the transport to another. So for example the reefer is taken by a truck to the port, where it is transferred to a transoceanic ship. During this time the transport vehicles are not moving, but the reefer keeps operating and maintaining the required atmosphere.
Based on an estimate 20% of amount of operation, reefer, cooling is added to cover the time when the reefer is transferred between different types of transport.  So, for example, if the goods stay and is being transported by the different modes of transport for 10 days there are 2 more days added that represent the time when the reefer is being transferred from the truck to the ship and from the ship to the train, etc.</t>
  </si>
  <si>
    <t>optical brighteners, for paper production</t>
  </si>
  <si>
    <t>market for optical brighteners, for paper production | optical brighteners, for paper production | APOS, U</t>
  </si>
  <si>
    <t>Average data from finnish database</t>
  </si>
  <si>
    <t>orange, fresh grade</t>
  </si>
  <si>
    <t>orange production, fresh grade | orange, fresh grade | APOS, U</t>
  </si>
  <si>
    <t>market for orange, fresh grade | orange, fresh grade | APOS, U</t>
  </si>
  <si>
    <t>orange, processing grade</t>
  </si>
  <si>
    <t>orange production, processing grade | orange, processing grade | APOS, U</t>
  </si>
  <si>
    <t>market for orange, processing grade | orange, processing grade | APOS, U</t>
  </si>
  <si>
    <t>(4;5;3;2;3)</t>
  </si>
  <si>
    <t>organophosphorus-compound, unspecified</t>
  </si>
  <si>
    <t>market for organophosphorus-compound, unspecified | organophosphorus-compound, unspecified | APOS, U</t>
  </si>
  <si>
    <t>outside air intake, stainless steel, DN 370</t>
  </si>
  <si>
    <t>market for outside air intake, stainless steel, DN 370 | outside air intake, stainless steel, DN 370 | APOS, U</t>
  </si>
  <si>
    <t>ozone, liquid</t>
  </si>
  <si>
    <t>market for ozone, liquid | ozone, liquid | APOS, U</t>
  </si>
  <si>
    <t>packaging box factory</t>
  </si>
  <si>
    <t>market for packaging box factory | packaging box factory | APOS, U</t>
  </si>
  <si>
    <t>(2;3;5;2;2)</t>
  </si>
  <si>
    <t>Measured value: calculated based on the lifetime (50 years) and annual capacity (14000 tons/year) of the packing box factory.</t>
  </si>
  <si>
    <t>packaging box factory construction | packaging box factory | APOS, U</t>
  </si>
  <si>
    <t>packaging film, low density polyethylene</t>
  </si>
  <si>
    <t>market for packaging film, low density polyethylene | packaging film, low density polyethylene | APOS, U</t>
  </si>
  <si>
    <t>packaging glass factory</t>
  </si>
  <si>
    <t>market for packaging glass factory | packaging glass factory | APOS, U</t>
  </si>
  <si>
    <t>(1;5;5;3;4)</t>
  </si>
  <si>
    <t>Estimation,  from packaging glass production based on literature.</t>
  </si>
  <si>
    <t>packaging glass factory construction | packaging glass factory | APOS, U</t>
  </si>
  <si>
    <t>(5;4;5;3;4)</t>
  </si>
  <si>
    <t>Estimation: infrastructure represents an average packaging glass factory in Europe.</t>
  </si>
  <si>
    <t>packaging glass, white</t>
  </si>
  <si>
    <t>market for packaging glass, white | packaging glass, white | APOS, U</t>
  </si>
  <si>
    <t>Glass containers</t>
  </si>
  <si>
    <t>packaging, for fertilisers</t>
  </si>
  <si>
    <t>market for packaging, for fertilisers | packaging, for fertilisers | APOS, U</t>
  </si>
  <si>
    <t>(4;3;4;5;4)</t>
  </si>
  <si>
    <t>Total amount of active substance/s of fertilisers needed for the production of 'coffee, green bean' is calculated to be circa 7.30E-01 kg. Fertiliser/s used in this dataset is/are: 'gypsum, mineral', 'lime', 'phosphate rock, as P2O5, beneficiated, dry', 'potassium sulfate, as K2O', 'urea, as N'. The total amount of active substance/s is doubled in order to account for the packaging of the dilluted product of fertiliser/s that is/are applied. Therefore, 1.46E+00 kg of packaging for fertilisers is justified with this exchange.</t>
  </si>
  <si>
    <t>packaging, for pesticides</t>
  </si>
  <si>
    <t>market for packaging, for pesticides | packaging, for pesticides | APOS, U</t>
  </si>
  <si>
    <t>Total amount of active substance/s of pesticides needed for the production of coffee, green bean is calculated to be circa 2.04E-02 kg. Pesticide/s used in this dataset is/are: 'bipyridylium-compound', 'boric acid, anhydrous, powder', 'copper oxide', 'cyclic N-compound', 'manganese(III) oxide', 'organophosphorus-compound, unspecified', 'portafer', 'sulfite', 'zinc monosulfate'. The total amount of active substance/s is doubled in order to account for the packaging of the dilluted product of pesticide/s that is/are applied. Therefore, 4.08E-02 kg of packaging for pesticides is justified with this exchange.</t>
  </si>
  <si>
    <t>packing, clay product</t>
  </si>
  <si>
    <t>N:Administrative and support service activities/82:Office administrative, office support and other business support activities/829:Business support service activities n.e.c./8292:Packaging activities</t>
  </si>
  <si>
    <t>packing, clay product | packing, clay product | APOS, U</t>
  </si>
  <si>
    <t>market for packing, clay product | packing, clay product | APOS, U</t>
  </si>
  <si>
    <t>palm fruit bunch</t>
  </si>
  <si>
    <t>market for palm fruit bunch | palm fruit bunch | APOS, U</t>
  </si>
  <si>
    <t>Literature and industrial data, cross-checking of various references</t>
  </si>
  <si>
    <t>palm kernel oil, crude</t>
  </si>
  <si>
    <t>market for palm kernel oil, crude | palm kernel oil, crude | APOS, U</t>
  </si>
  <si>
    <t>EcoSpold01Location=MY</t>
  </si>
  <si>
    <t>palm oil, crude</t>
  </si>
  <si>
    <t>market for palm oil, crude | palm oil, crude | APOS, U</t>
  </si>
  <si>
    <t>papaya</t>
  </si>
  <si>
    <t>market for papaya | papaya | APOS, U</t>
  </si>
  <si>
    <t>papaya production | papaya | APOS, U</t>
  </si>
  <si>
    <t>paper mill, integrated</t>
  </si>
  <si>
    <t>market for paper mill, integrated | paper mill, integrated | APOS, U</t>
  </si>
  <si>
    <t>added from the original tissue paper production dataset</t>
  </si>
  <si>
    <t>paper mill construction, integrated | paper mill, integrated | APOS, U</t>
  </si>
  <si>
    <t>(4;5;5;1;4)</t>
  </si>
  <si>
    <t>Own assumption</t>
  </si>
  <si>
    <t>paper mill, non-integrated</t>
  </si>
  <si>
    <t>market for paper mill, non-integrated | paper mill, non-integrated | APOS, U</t>
  </si>
  <si>
    <t>paper, newsprint</t>
  </si>
  <si>
    <t>market for paper, newsprint | paper, newsprint | APOS, U</t>
  </si>
  <si>
    <t xml:space="preserve">Newspaper used for laying </t>
  </si>
  <si>
    <t>paper, woodcontaining, lightweight coated</t>
  </si>
  <si>
    <t>market for paper, woodcontaining, lightweight coated | paper, woodcontaining, lightweight coated | APOS, U</t>
  </si>
  <si>
    <t>paper, woodcontaining, supercalendered</t>
  </si>
  <si>
    <t>market for paper, woodcontaining, supercalendered | paper, woodcontaining, supercalendered | APOS, U</t>
  </si>
  <si>
    <t>paper, woodfree, coated</t>
  </si>
  <si>
    <t>market for paper, woodfree, coated | paper, woodfree, coated | APOS, U</t>
  </si>
  <si>
    <t>Calculated value: Average paper consumption of three companies. Paper, woodfree, coated assumed for printing services.</t>
  </si>
  <si>
    <t>paper, woodfree, uncoated</t>
  </si>
  <si>
    <t>market for paper, woodfree, uncoated | paper, woodfree, uncoated | APOS, U</t>
  </si>
  <si>
    <t>Data from 1 Swiss company</t>
  </si>
  <si>
    <t>paraffin</t>
  </si>
  <si>
    <t>market for paraffin | paraffin | APOS, U</t>
  </si>
  <si>
    <t>paris market carrot</t>
  </si>
  <si>
    <t>paris market carrot production | paris market carrot | APOS, U</t>
  </si>
  <si>
    <t>market for paris market carrot | paris market carrot | APOS, U</t>
  </si>
  <si>
    <t>particleboard, cement bonded</t>
  </si>
  <si>
    <t>market for particleboard, cement bonded | particleboard, cement bonded | APOS, U</t>
  </si>
  <si>
    <t>Used in pumps to ensure no leaks occur</t>
  </si>
  <si>
    <t>particleboard, uncoated</t>
  </si>
  <si>
    <t>market for particleboard, uncoated | particleboard, uncoated | APOS, U</t>
  </si>
  <si>
    <t>Calculated value. The value derived from the average of the three pieces of furniture from González-García et al. 2011 is 0.49kg. This is multiplied by the product density (see the properties section).</t>
  </si>
  <si>
    <t>peach</t>
  </si>
  <si>
    <t>peach production | peach | APOS, U</t>
  </si>
  <si>
    <t>market for peach | peach | APOS, U</t>
  </si>
  <si>
    <t>pear</t>
  </si>
  <si>
    <t>pear production | pear | APOS, U</t>
  </si>
  <si>
    <t>market for pear | pear | APOS, U</t>
  </si>
  <si>
    <t>peat</t>
  </si>
  <si>
    <t>B:Mining and quarrying/08:Other mining and quarrying/089:Mining and quarrying n.e.c./0892:Extraction of peat</t>
  </si>
  <si>
    <t>market for peat | peat | APOS, U</t>
  </si>
  <si>
    <t>Reported as 2 GJ /ton net saleable product.  Converted to kg using the lower heating value (8.8 MJ/kg) reported in "Röder A., Bauer C. and Dones R. (2007) Kohle. In: Sachbilanzen von Energiesystemen: Grundlagen für den ökologischen Vergleich von Energiesystemen und den Einbezug von Energiesystemen in Ökobilanzen für die Schweiz (ed. Dones R.). Swiss Centre for Life Cycle Inventories, Dübendorf, CH."</t>
  </si>
  <si>
    <t>Peat, in ground</t>
  </si>
  <si>
    <t>perfluoropentane</t>
  </si>
  <si>
    <t>market for perfluoropentane | perfluoropentane | APOS, U</t>
  </si>
  <si>
    <t>literature value (organic fluid for the cycle turbine)</t>
  </si>
  <si>
    <t>pesticide, unspecified</t>
  </si>
  <si>
    <t>market for pesticide, unspecified | pesticide, unspecified | APOS, U</t>
  </si>
  <si>
    <t>Fungicide, as Bacillus subtilis linhagem QST 713 (1,37 % m/v), from using the commercial product Serenade, label available from: https://www.agro.bayer.com.br/produtos/serenade</t>
  </si>
  <si>
    <t>petrol, low-sulfur</t>
  </si>
  <si>
    <t>petrol, low-sulfur, import from Europe | petrol, low-sulfur | APOS, U</t>
  </si>
  <si>
    <t>petrol production, low-sulfur | petrol, low-sulfur | APOS, U</t>
  </si>
  <si>
    <t>market for petrol, low-sulfur | petrol, low-sulfur | APOS, U</t>
  </si>
  <si>
    <t>petrol, unleaded</t>
  </si>
  <si>
    <t>petrol production, unleaded, petroleum refinery operation | petrol, unleaded | APOS, U</t>
  </si>
  <si>
    <t>market for petrol, unleaded | petrol, unleaded | APOS, U</t>
  </si>
  <si>
    <t>petrol, unleaded, import from RoW | petrol, unleaded | APOS, U</t>
  </si>
  <si>
    <t>synthetic fuel production, from coal, high temperature Fisher-Tropsch operations | petrol, unleaded | APOS, U</t>
  </si>
  <si>
    <t>petrol, unleaded, burned in machinery</t>
  </si>
  <si>
    <t>market for petrol, unleaded, burned in machinery | petrol, unleaded, burned in machinery | APOS, U</t>
  </si>
  <si>
    <t>phenol</t>
  </si>
  <si>
    <t>market for phenol | phenol | APOS, U</t>
  </si>
  <si>
    <t>phenolic resin</t>
  </si>
  <si>
    <t>market for phenolic resin | phenolic resin | APOS, U</t>
  </si>
  <si>
    <t>Proxy with calculated value, to represent soldermask finishing, phenolic resin is used. Calculation is based on literature assuming a yield of 95% and square weight of 3.26 kg.
Further references:
AT&amp;S AG (2006) Environmental Report 2006. Austria Technologie &amp; Systemtechnik Aktiengesellschaft (AT&amp;S AG), Fehring, Leoben (Austria), Online-Version under: www.ats.net &lt;http://www.ats.net&gt;.</t>
  </si>
  <si>
    <t>phenolic resin production | phenolic resin | APOS, U</t>
  </si>
  <si>
    <t>phenyl isocyanate</t>
  </si>
  <si>
    <t>market for phenyl isocyanate | phenyl isocyanate | APOS, U</t>
  </si>
  <si>
    <t>phosphane</t>
  </si>
  <si>
    <t>market for phosphane | phosphane | APOS, U</t>
  </si>
  <si>
    <t>Phosphine (H3P)</t>
  </si>
  <si>
    <t>The exchange has been updated from 'phosphate rock, as P2O5, beneficiated, dry' into 'phosphate rock, beneficiated' and therefore its amount has been scaled (multiplied) from 0 kg by 3.125 kg of 'phosphate rock, beneficiated' per kg of 'phosphate rock, as P2O5, beneficiated, dry'. Original comment of the exchange is: See chapter 'Yields and Inputs of Arable Crop Production' in '01_crop production - yields &amp; inputs CH &amp; Europe_v1.0.pdf', section 'AGRICULTURAL PRODUCTION IN SWITZERLAND' - pdf-document on the dedicated talk page of ecoinvent (www.ecoinvent.org/documentation)
See chapter 'Yields and Inputs of Arable Crop Production' in '01_crop production - yields &amp; inputs CH &amp; Europe_v1.0.pdf', section 'AGRICULTURAL PRODUCTION IN SWITZERLAND' - pdf-document on the dedicated talk page of ecoinvent (www.ecoinvent.org/documentation)</t>
  </si>
  <si>
    <t>The exchange has been updated from 'phosphate rock, as P2O5, beneficiated, dry' into 'phosphate rock, beneficiated' and therefore its amount has been scaled (multiplied) from 0.0294 kg by 3.125 kg of 'phosphate rock, beneficiated' per kg of 'phosphate rock, as P2O5, beneficiated, dry'. Original comment of the exchange is: Calculated based on literature values or expert estimation: The total amount of nutrient (Personal written communication, FNC., 2015) multiplied by the country-share of fertiliser type (IFA 2014). See supporting documentation 'WFLDB-Documentation.pdf' chapter 'Fertiliser application' for L3 and L4 data  (https://ecoquery.ecoinvent.org/File/Reports).
Corresponds to 0.28 kg/ha</t>
  </si>
  <si>
    <t>The exchange has been updated from 'phosphate rock, as P2O5, beneficiated, dry' into 'phosphate rock, beneficiated' and therefore its amount has been scaled (multiplied) from 0.0192 kg by 3.125 kg of 'phosphate rock, beneficiated' per kg of 'phosphate rock, as P2O5, beneficiated, dry'. Original comment of the exchange is: Calculated based on literature values or expert estimation: The total amount of nutrient (Coltro et al. 2006) multiplied by the share of fertiliser type (Coltro et al. 2006). See supporting documentation 'WFLDB-Documentation.pdf' chapter 'Fertiliser application' for L3 and L4 data  (https://ecoquery.ecoinvent.org/File/Reports).
Corresponds to 34.5 kg/ha</t>
  </si>
  <si>
    <t>The exchange has been updated from 'phosphate rock, as P2O5, beneficiated, dry' into 'phosphate rock, beneficiated' and therefore its amount has been scaled (multiplied) from 0 kg by 3.125 kg of 'phosphate rock, beneficiated' per kg of 'phosphate rock, as P2O5, beneficiated, dry'. Original comment of the exchange is: See chapter 'Yields and Inputs of Arable Crop Production' in "01_crop production - yields &amp; inputs CH &amp; Europe_v1.0.pdf", section "AGRICULTURAL PRODUCTION IN SWITZERLAND" - pdf-document on the dedicated talk page of ecoinvent (www.ecoinvent.org/documentation)</t>
  </si>
  <si>
    <t>own estimation, lack of data</t>
  </si>
  <si>
    <t>phosphoric acid, industrial grade, without water, in 85% solution state</t>
  </si>
  <si>
    <t>market for phosphoric acid, industrial grade, without water, in 85% solution state | phosphoric acid, industrial grade, without water, in 85% solution state | APOS, U</t>
  </si>
  <si>
    <t>Phosphorus, in ground</t>
  </si>
  <si>
    <t>phosphorus, white, liquid</t>
  </si>
  <si>
    <t>market for phosphorus, white, liquid | phosphorus, white, liquid | APOS, U</t>
  </si>
  <si>
    <t>photovoltaic cell factory</t>
  </si>
  <si>
    <t>market for photovoltaic cell factory | photovoltaic cell factory | APOS, U</t>
  </si>
  <si>
    <t>To represent computer production photovoltaic cell factory is used as a proxy. It is based on a annual production of 7.9 mio pieces and life-span of 25 years.</t>
  </si>
  <si>
    <t>photovoltaic cell, multi-Si wafer</t>
  </si>
  <si>
    <t>market for photovoltaic cell, multi-Si wafer | photovoltaic cell, multi-Si wafer | APOS, U</t>
  </si>
  <si>
    <t>photovoltaic cell, ribbon-Si</t>
  </si>
  <si>
    <t>market for photovoltaic cell, ribbon-Si | photovoltaic cell, ribbon-Si | APOS, U</t>
  </si>
  <si>
    <t>photovoltaic cell, single-Si wafer</t>
  </si>
  <si>
    <t>market for photovoltaic cell, single-Si wafer | photovoltaic cell, single-Si wafer | APOS, U</t>
  </si>
  <si>
    <t>photovoltaic panel factory</t>
  </si>
  <si>
    <t>market for photovoltaic panel factory | photovoltaic panel factory | APOS, U</t>
  </si>
  <si>
    <t>phthalic anhydride</t>
  </si>
  <si>
    <t>market for phthalic anhydride | phthalic anhydride | APOS, U</t>
  </si>
  <si>
    <t>pig iron</t>
  </si>
  <si>
    <t>market for pig iron | pig iron | APOS, U</t>
  </si>
  <si>
    <t>pineapple</t>
  </si>
  <si>
    <t>pineapple production | pineapple | APOS, U</t>
  </si>
  <si>
    <t>market for pineapple | pineapple | APOS, U</t>
  </si>
  <si>
    <t>pipeline, petroleum</t>
  </si>
  <si>
    <t>market for pipeline, petroleum | pipeline, petroleum | APOS, U</t>
  </si>
  <si>
    <t>pipeline, petroleum, offshore</t>
  </si>
  <si>
    <t>market for pipeline, petroleum, offshore | pipeline, petroleum, offshore | APOS, U</t>
  </si>
  <si>
    <t>pitch despergents, in paper production</t>
  </si>
  <si>
    <t>market for pitch despergents, in paper production | pitch despergents, in paper production | APOS, U</t>
  </si>
  <si>
    <t>planting tree</t>
  </si>
  <si>
    <t>market for planting tree | planting tree | APOS, U</t>
  </si>
  <si>
    <t>Literature value expert estimation. This is the number of trees per ha (i.e. 7023 trees/ha) divided by the lifetime years of the orchard (i.e. 20 years).</t>
  </si>
  <si>
    <t>plastic processing factory</t>
  </si>
  <si>
    <t>market for plastic processing factory | plastic processing factory | APOS, U</t>
  </si>
  <si>
    <t>Used here in place of infrastructure based on the amount of the largest contributor to the final product mass (polypropylene). This is an estimated value. According to the technology comment of the dataset 'Plastic processing factory construction, GLO' [accessed 19.01.2018], the life time of the tanks is assumed to be 50 years and the annual production is 27000 t/a. Thus, the estimated lifetime output of the factory is 27000 x 50 = 1350000. As the coffee machine mass is 1.9 kg, then the number of coffee machines produced during the lifetime of the factory is 1350000 / 0.0019 = 710526316 units. The calculation of the infrastructure is therefore 1/life time capacity = 1/710526316 unit.</t>
  </si>
  <si>
    <t>plasticiser, for concrete, based on sulfonated melamine formaldehyde</t>
  </si>
  <si>
    <t>market for plasticiser, for concrete, based on sulfonated melamine formaldehyde | plasticiser, for concrete, based on sulfonated melamine formaldehyde | APOS, U</t>
  </si>
  <si>
    <t>Literature Value. Represents the plugs of the power cable.</t>
  </si>
  <si>
    <t>plug, inlet and outlet, for printer cable</t>
  </si>
  <si>
    <t>market for plug, inlet and outlet, for printer cable | plug, inlet and outlet, for printer cable | APOS, U</t>
  </si>
  <si>
    <t>plywood</t>
  </si>
  <si>
    <t>market for plywood | plywood | APOS, U</t>
  </si>
  <si>
    <t xml:space="preserve">Calculated value. Represents here wood used as ceiling material and for decoration. Assumed average thickness of plywood is 19mm. Source: Plymaster 2018. Interior Plywood. Available from: (http://plymaster.com.au/plywood-products-interior.htm#/1) Accessed 25 March 2018. Assumed service life of 75 years with minor refurbishments throughout. In terms of outputs assumed to have gone to waste wood, untreated. </t>
  </si>
  <si>
    <t>Calculated value. This exchange represent the amount of wood needed for the wooden floor of the container.</t>
  </si>
  <si>
    <t>polyacrylamide</t>
  </si>
  <si>
    <t>market for polyacrylamide | polyacrylamide | APOS, U</t>
  </si>
  <si>
    <t>polyaluminium chloride</t>
  </si>
  <si>
    <t>market for polyaluminium chloride | polyaluminium chloride | APOS, U</t>
  </si>
  <si>
    <t>FEFCO 2015.</t>
  </si>
  <si>
    <t>polycarbonate</t>
  </si>
  <si>
    <t>market for polycarbonate | polycarbonate | APOS, U</t>
  </si>
  <si>
    <t>Literature Value. Based on literature, the plastics used for the manifacturing of laptop casing, Keyboard &amp; Trackpad (0.136933kg ABS) are PC and ABS. Based on the weighted average of the sources cited in the general comment, the amount of ABS is (0.100667kg), the amount of PC is (0.100667kg) and the amount of 50/50 ABS/PC mixture is (0.13kg).</t>
  </si>
  <si>
    <t>polycarboxylates, 40% active substance</t>
  </si>
  <si>
    <t>market for polycarboxylates, 40% active substance | polycarboxylates, 40% active substance | APOS, U</t>
  </si>
  <si>
    <t>Literature value. Average and uncertainty based on published amounts by 
Biswas, W. K. (2009).</t>
  </si>
  <si>
    <t>Literature data and primary data from French manufacturers (Boulard et al, 2011). Roofing membrane.</t>
  </si>
  <si>
    <t>polyethylene pipe, corrugated, DN 75</t>
  </si>
  <si>
    <t>market for polyethylene pipe, corrugated, DN 75 | polyethylene pipe, corrugated, DN 75 | APOS, U</t>
  </si>
  <si>
    <t>polyethylene pipe, DN 200, SDR 41</t>
  </si>
  <si>
    <t>market for polyethylene pipe, DN 200, SDR 41 | polyethylene pipe, DN 200, SDR 41 | APOS, U</t>
  </si>
  <si>
    <t>Literature Value. Represents Thin film(0.00031kg) + Plastic tape(0.00024kg)</t>
  </si>
  <si>
    <t>polyethylene, linear low density, granulate</t>
  </si>
  <si>
    <t>market for polyethylene, linear low density, granulate | polyethylene, linear low density, granulate | APOS, U</t>
  </si>
  <si>
    <t>Literature data and primary data from French manufacturers (Boulard et al, 2011). Thermal screen for the cooling system and mulch film.</t>
  </si>
  <si>
    <t>polymer foaming</t>
  </si>
  <si>
    <t>polymer foaming | polymer foaming | APOS, U</t>
  </si>
  <si>
    <t>Literature data and primary data from French manufacturers (Boulard et al, 2011). Plastic bags part of for the support system.</t>
  </si>
  <si>
    <t>market for polymer foaming | polymer foaming | APOS, U</t>
  </si>
  <si>
    <t>polymethyl methacrylate, beads</t>
  </si>
  <si>
    <t>market for polymethyl methacrylate, beads | polymethyl methacrylate, beads | APOS, U</t>
  </si>
  <si>
    <t>(1;5;5;5;1)</t>
  </si>
  <si>
    <t>polyol</t>
  </si>
  <si>
    <t>market for polyol | polyol | APOS, U</t>
  </si>
  <si>
    <t>polystyrene foam slab</t>
  </si>
  <si>
    <t>market for polystyrene foam slab | polystyrene foam slab | APOS, U</t>
  </si>
  <si>
    <t>polystyrene, expandable</t>
  </si>
  <si>
    <t>market for polystyrene, expandable | polystyrene, expandable | APOS, U</t>
  </si>
  <si>
    <t>polystyrene, extruded</t>
  </si>
  <si>
    <t>market for polystyrene, extruded | polystyrene, extruded | APOS, U</t>
  </si>
  <si>
    <t>polystyrene, general purpose</t>
  </si>
  <si>
    <t>market for polystyrene, general purpose | polystyrene, general purpose | APOS, U</t>
  </si>
  <si>
    <t>polyurethane adhesive</t>
  </si>
  <si>
    <t>market for polyurethane adhesive | polyurethane adhesive | APOS, U</t>
  </si>
  <si>
    <t>(2;2;4;5;3)</t>
  </si>
  <si>
    <t>Estimation: saddle once replaced, Scooter: no replacement</t>
  </si>
  <si>
    <t>polyurethane, rigid foam</t>
  </si>
  <si>
    <t>market for polyurethane, rigid foam | polyurethane, rigid foam | APOS, U</t>
  </si>
  <si>
    <t xml:space="preserve">Calculated value. Represents here the floor material. The amount of exchange is calculated as: amount of input product * (lifetime of the hotel / lifetime of the product). No data on the type of flooring was provided by the case study hotel so PVC was used as proxy. This is because PVC flooring is most cost-effective for hotels. Source: Mikulski 2015. TOP HOSPITALITY FLOORING OPTIONS FOR HOTELS. Available from: http://www.businessflooring.net/blog/top-hospitality-flooring-options-for-hotels Accessed 16 March 2018. Combined of all instances of use across the building structure and walls.Assumed density of PVC 2.3 kg/m2. Source: The colour flooring company 2018. VINYL FLOORING TECHNICAL SPECIFICATIONS. Available from: https://www.colourflooring.co.uk/pages/vinyl-flooring-technical-specifications Accessed 16 March 2018. Assumed service life of PVC floors is 40 years. Source: Bowyer et al. 2009. LIFE CYCLE ASSESSMENT OF FLOORING MATERIALS A GUIDE TO INTELLIGENT SELECTION. Doviteil Partners. Available from: http://www.dovetailinc.org/report_pdfs/2009/dovetailfloors0809.pdf Accessed 16 March 2018.  In terms of outputs, assumed to have gone to waste PVC. </t>
  </si>
  <si>
    <t>polyvinylchloride, emulsion polymerised</t>
  </si>
  <si>
    <t>market for polyvinylchloride, emulsion polymerised | polyvinylchloride, emulsion polymerised | APOS, U</t>
  </si>
  <si>
    <t>polyvinylfluoride</t>
  </si>
  <si>
    <t>market for polyvinylfluoride | polyvinylfluoride | APOS, U</t>
  </si>
  <si>
    <t>Literature data and primary data from French manufacturers (Boulard et al, 2011). Cables and wires for the greenhouse structure and the CO2 injection system.</t>
  </si>
  <si>
    <t>polyvinylfluoride, film</t>
  </si>
  <si>
    <t>market for polyvinylfluoride, film | polyvinylfluoride, film | APOS, U</t>
  </si>
  <si>
    <t>Pacca 2006</t>
  </si>
  <si>
    <t>polyvinylidenchloride, granulate</t>
  </si>
  <si>
    <t>market for polyvinylidenchloride, granulate | polyvinylidenchloride, granulate | APOS, U</t>
  </si>
  <si>
    <t>portachrom</t>
  </si>
  <si>
    <t>market for portachrom | portachrom | APOS, U</t>
  </si>
  <si>
    <t>portafer</t>
  </si>
  <si>
    <t>market for portafer | portafer | APOS, U</t>
  </si>
  <si>
    <t>potash salt</t>
  </si>
  <si>
    <t>market for potash salt | potash salt | APOS, U</t>
  </si>
  <si>
    <t>potassium carbonate</t>
  </si>
  <si>
    <t>market for potassium carbonate | potassium carbonate | APOS, U</t>
  </si>
  <si>
    <t>potassium chloride</t>
  </si>
  <si>
    <t>market for potassium chloride | potassium chloride | APOS, U</t>
  </si>
  <si>
    <t>The exchange has been updated from 'potassium chloride, as K2O' into 'potassium chloride' and therefore its amount has been scaled (multiplied) from 0.0808 kg by 1.5829 kg of 'potassium chloride' per kg of 'potassium chloride, as K2O'. Original comment of the exchange is: Calculated based on literature values or expert estimation: The total amount of nutrient (Personal written communication, FNC., 2015) multiplied by the share of fertiliser type (Personal written communication, FNC., 2015). See supporting documentation 'WFLDB-Documentation.pdf' chapter 'Fertiliser application' for L3 and L4 data  (https://ecoquery.ecoinvent.org/File/Reports).
Corresponds to 48.3 kg/ha</t>
  </si>
  <si>
    <t>The exchange has been updated from 'potassium chloride, as K2O' into 'potassium chloride' and therefore its amount has been scaled (multiplied) from 0.0006 kg by 1.5829 kg of 'potassium chloride' per kg of 'potassium chloride, as K2O'. Original comment of the exchange is: See chapter 'Yields and Inputs of Arable Crop Production' in '01_crop production - yields &amp; inputs CH &amp; Europe_v1.0.pdf', section 'AGRICULTURAL PRODUCTION IN SWITZERLAND' - pdf-document on the dedicated talk page of ecoinvent (www.ecoinvent.org/documentation)
See chapter 'Yields and Inputs of Arable Crop Production' in '01_crop production - yields &amp; inputs CH &amp; Europe_v1.0.pdf', section 'AGRICULTURAL PRODUCTION IN SWITZERLAND' - pdf-document on the dedicated talk page of ecoinvent (www.ecoinvent.org/documentation)</t>
  </si>
  <si>
    <t>potassium nitrate</t>
  </si>
  <si>
    <t>market for potassium nitrate | potassium nitrate | APOS, U</t>
  </si>
  <si>
    <t>Proxy with  literature value, to represent potash, potassium nitrate is used. The amount is converted from K2O3 to K2O and from K2O to potassium nitrate (K2O content is 44%)</t>
  </si>
  <si>
    <t>potassium sulfate</t>
  </si>
  <si>
    <t>market for potassium sulfate | potassium sulfate | APOS, U</t>
  </si>
  <si>
    <t>The exchange has been updated from 'potassium sulfate, as K2O' into 'potassium sulfate' and therefore its amount has been scaled (multiplied) from 0 kg by 1.85 kg of 'potassium sulfate' per kg of 'potassium sulfate, as K2O'. Original comment of the exchange is: See chapter 'Yields and Inputs of Arable Crop Production' in '01_crop production - yields &amp; inputs CH &amp; Europe_v1.0.pdf', section 'AGRICULTURAL PRODUCTION IN SWITZERLAND' - pdf-document on the dedicated talk page of ecoinvent (www.ecoinvent.org/documentation)
See chapter 'Yields and Inputs of Arable Crop Production' in '01_crop production - yields &amp; inputs CH &amp; Europe_v1.0.pdf', section 'AGRICULTURAL PRODUCTION IN SWITZERLAND' - pdf-document on the dedicated talk page of ecoinvent (www.ecoinvent.org/documentation)</t>
  </si>
  <si>
    <t>The exchange has been updated from 'potassium sulfate, as K2O' into 'potassium sulfate' and therefore its amount has been scaled (multiplied) from 0.137 kg by 1.85 kg of 'potassium sulfate' per kg of 'potassium sulfate, as K2O'. Original comment of the exchange is: Calculated based on literature values or expert estimation: The total amount of nutrient (Coltro et al. 2006) multiplied by the share of fertiliser type (Coltro et al. 2006). See supporting documentation 'WFLDB-Documentation.pdf' chapter 'Fertiliser application' for L3 and L4 data  (https://ecoquery.ecoinvent.org/File/Reports).
Corresponds to 247.0 kg/ha</t>
  </si>
  <si>
    <t>Potassium, in ground</t>
  </si>
  <si>
    <t>potato</t>
  </si>
  <si>
    <t>potato production | potato | APOS, U</t>
  </si>
  <si>
    <t>market for potato | potato | APOS, U</t>
  </si>
  <si>
    <t>potato planting</t>
  </si>
  <si>
    <t>market for potato planting | potato planting | APOS, U</t>
  </si>
  <si>
    <t>Approximation for planting of willow stem cuttings.</t>
  </si>
  <si>
    <t>potato starch</t>
  </si>
  <si>
    <t>market for potato starch | potato starch | APOS, U</t>
  </si>
  <si>
    <t>additive</t>
  </si>
  <si>
    <t>poultry manure, dried</t>
  </si>
  <si>
    <t>market for poultry manure, dried | poultry manure, dried | APOS, U</t>
  </si>
  <si>
    <t>Calculated based on literature values: The total amount of manure (Personal written communication, Herma Mulder, Nedcoffee., 2014) multiplied by the country-share of manure per animal category (FAOSTAT 2015). See supporting documentation 'WFLDB-Documentation.pdf' chapter 'Fertiliser application' (https://ecoquery.ecoinvent.org/File/Reports).
Corresponds to 344.0 kg/ha</t>
  </si>
  <si>
    <t>powder coat, aluminium sheet</t>
  </si>
  <si>
    <t>powder coating, aluminium sheet | powder coat, aluminium sheet | APOS, U</t>
  </si>
  <si>
    <t>composite</t>
  </si>
  <si>
    <t>market for powder coat, aluminium sheet | powder coat, aluminium sheet | APOS, U</t>
  </si>
  <si>
    <t>(4;1;4;5;4)</t>
  </si>
  <si>
    <t>powder coat, steel</t>
  </si>
  <si>
    <t>market for powder coat, steel | powder coat, steel | APOS, U</t>
  </si>
  <si>
    <t>powder coating, steel | powder coat, steel | APOS, U</t>
  </si>
  <si>
    <t>power adapter, for laptop</t>
  </si>
  <si>
    <t>market for power adapter, for laptop | power adapter, for laptop | APOS, U</t>
  </si>
  <si>
    <t>Calculated value. The product power adaptor in ecoinvent (accessed Jan 2020) has a weight of 0.531kg. According to current literature (see Sources in "General Comment" the weight is of roughly 0.394 kg. 0.742 of a unit of power adaptor is therefore used for this dataset.</t>
  </si>
  <si>
    <t>power adapter, for smartphone</t>
  </si>
  <si>
    <t>market for power adapter, for smartphone | power adapter, for smartphone | APOS, U</t>
  </si>
  <si>
    <t xml:space="preserve">Represents the charger for the smartphone. </t>
  </si>
  <si>
    <t>power distribution unit, for electric passenger car</t>
  </si>
  <si>
    <t>market for power distribution unit, for electric passenger car | power distribution unit, for electric passenger car | APOS, U</t>
  </si>
  <si>
    <t>power supply unit, for desktop computer</t>
  </si>
  <si>
    <t>market for power supply unit, for desktop computer | power supply unit, for desktop computer | APOS, U</t>
  </si>
  <si>
    <t>precious metal refinery construction | precious metal refinery | APOS, U</t>
  </si>
  <si>
    <t>printed paper</t>
  </si>
  <si>
    <t>N:Administrative and support service activities/82:Office administrative, office support and other business support activities/821:Office administrative and support activities/8219:Photocopying, document preparation and other specialized office support act</t>
  </si>
  <si>
    <t>market for printed paper | printed paper | APOS, U</t>
  </si>
  <si>
    <t>printed wiring board mounting facility</t>
  </si>
  <si>
    <t>market for printed wiring board mounting facility | printed wiring board mounting facility | APOS, U</t>
  </si>
  <si>
    <t>printed wiring board mounting facility, surface mounting line</t>
  </si>
  <si>
    <t>market for printed wiring board mounting facility, surface mounting line | printed wiring board mounting facility, surface mounting line | APOS, U</t>
  </si>
  <si>
    <t>(4;5;5;3;1)</t>
  </si>
  <si>
    <t>printed wiring board mounting facility, through-hole mounting line</t>
  </si>
  <si>
    <t>market for printed wiring board mounting facility, through-hole mounting line | printed wiring board mounting facility, through-hole mounting line | APOS, U</t>
  </si>
  <si>
    <t>Estimation, based on the description of several PC motherboard mounting facilities in China, assuming a life-span of 10 years, 2.5 times are taken into account here.</t>
  </si>
  <si>
    <t>printed wiring board, for surface mounting, Pb containing surface</t>
  </si>
  <si>
    <t>market for printed wiring board, for surface mounting, Pb containing surface | printed wiring board, for surface mounting, Pb containing surface | APOS, U</t>
  </si>
  <si>
    <t>Measured Value.
This original value from production mix has been replaced by 2 flows. Each has 50% share in the production mix.</t>
  </si>
  <si>
    <t>printed wiring board, for surface mounting, Pb free surface</t>
  </si>
  <si>
    <t>market for printed wiring board, for surface mounting, Pb free surface | printed wiring board, for surface mounting, Pb free surface | APOS, U</t>
  </si>
  <si>
    <t>printed wiring board, mounted mainboard, desktop computer, Pb containing</t>
  </si>
  <si>
    <t>market for printed wiring board, mounted mainboard, desktop computer, Pb containing | printed wiring board, mounted mainboard, desktop computer, Pb containing | APOS, U</t>
  </si>
  <si>
    <t>printed wiring board, mounted mainboard, laptop computer, Pb free</t>
  </si>
  <si>
    <t>market for printed wiring board, mounted mainboard, laptop computer, Pb free | printed wiring board, mounted mainboard, laptop computer, Pb free | APOS, U</t>
  </si>
  <si>
    <t>Literature value. As of 2007 the use of lead-containing solder is resitricted by RoHs (https://www.rohsguide.com/).</t>
  </si>
  <si>
    <t>printed wiring board, mounted mainboard, mobile device, double-sided, Pb free</t>
  </si>
  <si>
    <t>market for printed wiring board, mounted mainboard, mobile device, double-sided, Pb free | printed wiring board, mounted mainboard, mobile device, double-sided, Pb free | APOS, U</t>
  </si>
  <si>
    <t>Measured Value. Measured PWB of an iPhone 12. Represents mainboard of smartphone.</t>
  </si>
  <si>
    <t>printed wiring board, surface mounted, unspecified, Pb containing</t>
  </si>
  <si>
    <t>market for printed wiring board, surface mounted, unspecified, Pb containing | printed wiring board, surface mounted, unspecified, Pb containing | APOS, U</t>
  </si>
  <si>
    <t>This original value from production mix has been replaced by 2 flows. Pb-containing has a share of 0.3, Pb-free has a share of 0.7.</t>
  </si>
  <si>
    <t>printing ink, offset, without solvent, in 47.5% solution state</t>
  </si>
  <si>
    <t>market for printing ink, offset, without solvent, in 47.5% solution state | printing ink, offset, without solvent, in 47.5% solution state | APOS, U</t>
  </si>
  <si>
    <t>Calculated value: average ink consumption of three companies</t>
  </si>
  <si>
    <t>propane</t>
  </si>
  <si>
    <t>market for propane | propane | APOS, U</t>
  </si>
  <si>
    <t>(1;1;1;5;1)</t>
  </si>
  <si>
    <t>Questionnaire, heat transfer fluid</t>
  </si>
  <si>
    <t>Calculated Value. Ingredient in the composition of cleaning agents. Active agent only, water for dillution is included in the flow "water, deionised, from tap water, at user".</t>
  </si>
  <si>
    <t>pulp factory</t>
  </si>
  <si>
    <t>market for pulp factory | pulp factory | APOS, U</t>
  </si>
  <si>
    <t>pulp factory construction | pulp factory | APOS, U</t>
  </si>
  <si>
    <t>(3;2;2;1;1)</t>
  </si>
  <si>
    <t>Own estimation with yearly production volume and a lifetime of a factory of 50 years;activityLink introduced to establish a direct link to the corresponding regional supply of this product</t>
  </si>
  <si>
    <t>pulpwood, hardwood, measured as solid wood under bark</t>
  </si>
  <si>
    <t>market for pulpwood, hardwood, measured as solid wood under bark | pulpwood, hardwood, measured as solid wood under bark | APOS, U</t>
  </si>
  <si>
    <t>input in kg divided by the basic wood density of 572 kg/m3</t>
  </si>
  <si>
    <t>hardwood forestry, birch, sustainable forest management | pulpwood, hardwood, measured as solid wood under bark | APOS, U</t>
  </si>
  <si>
    <t>Data provided by industry (EPIS) 2017; Represents birch wood</t>
  </si>
  <si>
    <t>pulpwood, softwood, measured as solid wood under bark</t>
  </si>
  <si>
    <t>market for pulpwood, softwood, measured as solid wood under bark | pulpwood, softwood, measured as solid wood under bark | APOS, U</t>
  </si>
  <si>
    <t>input in kg divided by the basic wood density of 378 kg/m3</t>
  </si>
  <si>
    <t>softwood forestry, spruce, sustainable forest management | pulpwood, softwood, measured as solid wood under bark | APOS, U</t>
  </si>
  <si>
    <t>Data provided by industry (EPIS) 2017; Source explicitly spruce wood certified</t>
  </si>
  <si>
    <t>(1;2;2;2;1)</t>
  </si>
  <si>
    <t>Input of softwood, spruce has a direct ActivityLink to the spruce forestry process. Average data from four European producers of SUB/SSB. Reported input has been revised down by 10% based on expert judgement to balance fibre flows and carbon flows. Conversion factors used by data providers considered to be a source of error.</t>
  </si>
  <si>
    <t>softwood forestry, pine, sustainable forest management | pulpwood, softwood, measured as solid wood under bark | APOS, U</t>
  </si>
  <si>
    <t>(2;2;2;4;1)</t>
  </si>
  <si>
    <t>Average data from four European producers of SUB/SSB. Reported input has been revised down by 10% based on expert jusgement to balance fibre flows and carbon flows. Conversion factors used by data providers considered to be a source of error.</t>
  </si>
  <si>
    <t>Data provided by industry (EPIS) 2017; Represents wood sources explicitly: pine wood certified (major part) and pinus contorta certified</t>
  </si>
  <si>
    <t>pumice</t>
  </si>
  <si>
    <t>market for pumice | pumice | APOS, U</t>
  </si>
  <si>
    <t>purified terephthalic acid</t>
  </si>
  <si>
    <t>market for purified terephthalic acid | purified terephthalic acid | APOS, U</t>
  </si>
  <si>
    <t>quicklime, in pieces, loose</t>
  </si>
  <si>
    <t>market for quicklime, in pieces, loose | quicklime, in pieces, loose | APOS, U</t>
  </si>
  <si>
    <t>Auxilliary inputs for the flue gas treatment stage of the incinerator plant.</t>
  </si>
  <si>
    <t>radish</t>
  </si>
  <si>
    <t>market for radish | radish | APOS, U</t>
  </si>
  <si>
    <t>radish production, in heated greenhouse | radish | APOS, U</t>
  </si>
  <si>
    <t>rape oil, crude</t>
  </si>
  <si>
    <t>market for rape oil, crude | rape oil, crude | APOS, U</t>
  </si>
  <si>
    <t>Literature value or expert estimation (Personal written communication, Herma Mulder, Nedcoffee., 2014).</t>
  </si>
  <si>
    <t>rape oil mill operation | rape oil, crude | APOS, U</t>
  </si>
  <si>
    <t>rare earth carbonate concentrate</t>
  </si>
  <si>
    <t>market for rare earth carbonate concentrate | rare earth carbonate concentrate | APOS, U</t>
  </si>
  <si>
    <t>Value taken from the critical materials life cycle assessment tool (CMLCAT) of Arshi et al. (2018), provided by F. Zhao from Purdue university (more information on the sampling procedure) and adjusted to correspond to the production of individual rare earth metals.</t>
  </si>
  <si>
    <t>rare earth oxide concentrate, 50% REO</t>
  </si>
  <si>
    <t>rare earth element mine operation and beneficiation, bastnaesite and monazite ore | rare earth oxide concentrate, 50% REO | APOS, U</t>
  </si>
  <si>
    <t>recultivation, bentonite mine</t>
  </si>
  <si>
    <t>market for recultivation, bentonite mine | recultivation, bentonite mine | APOS, U</t>
  </si>
  <si>
    <t>Literature data.
Reference: 
Süd-Chemie (1997) Umwelterklärung Bentonit 1997, Standort Moosburg. Süd-Chemie AG, München und Moosburg, D-80333 München.</t>
  </si>
  <si>
    <t>recultivation, bentonite mine | recultivation, bentonite mine | APOS, U</t>
  </si>
  <si>
    <t>recultivation, limestone mine</t>
  </si>
  <si>
    <t>recultivation, limestone mine | recultivation, limestone mine | APOS, U</t>
  </si>
  <si>
    <t>(3;3;4;1;1)</t>
  </si>
  <si>
    <t xml:space="preserve">Proxy, based on literature values. 'Recultivation, limestone mine' is used as proxy, an important difference is the amount of transformation to a certain area which is just left to nature.
This exchange has an activity link directly to the producing activity because the product is primarily consumed in the same geographical area where it is produced. </t>
  </si>
  <si>
    <t>market for recultivation, limestone mine | recultivation, limestone mine | APOS, U</t>
  </si>
  <si>
    <t>refractory, basic, packed</t>
  </si>
  <si>
    <t>market for refractory, basic, packed | refractory, basic, packed | APOS, U</t>
  </si>
  <si>
    <t>Reported as Refractory</t>
  </si>
  <si>
    <t>refractory production, fireclay, packed | refractory, fireclay, packed | APOS, U</t>
  </si>
  <si>
    <t>wearing parts; activity link set as transport is modelled with producer-specific transport distances and transport mean</t>
  </si>
  <si>
    <t>Literature value. Auxiliary materials include parts of infrastructure and lubrication oil. The data from clinker production.GLO (accessed on 2018/01/04) is used, since no Peru specific data is available and the relevance of the auxiliary materials is rather low.</t>
  </si>
  <si>
    <t>refractory, high aluminium oxide, packed</t>
  </si>
  <si>
    <t>market for refractory, high aluminium oxide, packed | refractory, high aluminium oxide, packed | APOS, U</t>
  </si>
  <si>
    <t>refrigerant R134a</t>
  </si>
  <si>
    <t>market for refrigerant R134a | refrigerant R134a | APOS, U</t>
  </si>
  <si>
    <t>Calculated Value. This flow is used as proxy and represents input of HCFC-22 refrigerant lossed at plant.</t>
  </si>
  <si>
    <t>refrigeration machine, carbon dioxide, liquid as refrigerant</t>
  </si>
  <si>
    <t>C:Manufacturing/29:Manufacture of motor vehicles, trailers and semi-trailers/292:Manufacture of bodies (coachwork) for motor vehicles; manufacture of trailers and semi-trailers/2920:Manufacture of bodies (coachwork) for motor vehicles; manufacture of traile</t>
  </si>
  <si>
    <t>market for refrigeration machine, carbon dioxide, liquid as refrigerant | refrigeration machine, carbon dioxide, liquid as refrigerant | APOS, U</t>
  </si>
  <si>
    <t>Literature value.
There are different types of refrigeration machines used in refrigerated transport by lorries. The Carrier Supra 560 type of refrigeration machine weight 385 kg (Carrier, http://www.trucktrailer.carrier.com/StaticFiles/Carrier.com/Carrier%20Brand%20Sites%20Content/Carrier%20Transicold%20North%20America%20TruckTrailer/Files/Products/Truck/Diesel/Supra%20560/Supra560.pdf, accessed 20141103).</t>
  </si>
  <si>
    <t>refrigeration machine, R134a as refrigerant</t>
  </si>
  <si>
    <t>market for refrigeration machine, R134a as refrigerant | refrigeration machine, R134a as refrigerant | APOS, U</t>
  </si>
  <si>
    <t>refrigerator</t>
  </si>
  <si>
    <t>market for refrigerator | refrigerator | APOS, U</t>
  </si>
  <si>
    <t>Calculated value. The amount of exchange is calculated as: amount of input product * (lifetime of the hotel/lifetime of the product) / (number of guests during the lifetime of the hotel * hotel occupancy rate). Assumed average service life of a refrigerator is 10 years. Source: Xiao et al. 2015. A life-cycle assessment of household refrigerators in China. Journal of Cleaner Production, 95, 301-310</t>
  </si>
  <si>
    <t>residual softwood, wet</t>
  </si>
  <si>
    <t>market for residual softwood, wet | residual softwood, wet | APOS, U</t>
  </si>
  <si>
    <t xml:space="preserve">Data provided by industry (EPIS) 2017. Represents saw mill residsues. Conversion factor 765 kg/m3 (ecoinvent exchange properties) used. </t>
  </si>
  <si>
    <t>road</t>
  </si>
  <si>
    <t>F:Construction/42:Civil engineering/421:Construction of roads and railways/4210:Construction of roads and railways</t>
  </si>
  <si>
    <t>m*a</t>
  </si>
  <si>
    <t>market for road | road | APOS, U</t>
  </si>
  <si>
    <t>(4;1;5;5;4)</t>
  </si>
  <si>
    <t>Allocation of road use according to gross ton kilometre performance</t>
  </si>
  <si>
    <t>road construction | road | APOS, U</t>
  </si>
  <si>
    <t>(4;1;5;1;4)</t>
  </si>
  <si>
    <t>road vehicle factory construction | road vehicle factory | APOS, U</t>
  </si>
  <si>
    <t>road, company, internal</t>
  </si>
  <si>
    <t>market for road, company, internal | road, company, internal | APOS, U</t>
  </si>
  <si>
    <t>rolling mill production | rolling mill | APOS, U</t>
  </si>
  <si>
    <t>room-connecting overflow element, steel, approx. 40 m3/h</t>
  </si>
  <si>
    <t>market for room-connecting overflow element, steel, approx. 40 m3/h | room-connecting overflow element, steel, approx. 40 m3/h | APOS, U</t>
  </si>
  <si>
    <t>rosin size, for paper production</t>
  </si>
  <si>
    <t>market for rosin size, for paper production | rosin size, for paper production | APOS, U</t>
  </si>
  <si>
    <t>sand</t>
  </si>
  <si>
    <t>market for sand | sand | APOS, U</t>
  </si>
  <si>
    <t>Sand, unspecified, in ground</t>
  </si>
  <si>
    <t>sanitary ceramics</t>
  </si>
  <si>
    <t>market for sanitary ceramics | sanitary ceramics | APOS, U</t>
  </si>
  <si>
    <t xml:space="preserve">Calculated value. The amount of exchange is calculated as: amount of input product * (lifetime of the hotel / lifetime of the product). This flow represents ceramic washing basin and ceramic toilet seat. The hotel has 500 washing basins, 500 toilet seats and 163 bath tubes. Washing basins are assumed to weigh 15kg (information taken from IKEA (2018) for the product "TÖRNVIKEN Countertop wash-basin", source retrieved from: http://www.ikea.com/gb/en/products/washstands-taps/wash-basins/t%C3%B6rnviken-countertop-wash-basin-white-art-90291518/, accessed 12 Feb 2018). The assumed lifetime is 15 years. Toilet seats are assumed to weigh 35kg (information taken from B&amp;Q (2018) for the product "COOKE &amp; LEWIS FABIENNE CLOSE-COUPLED TOILET WITH SOFT CLOSE SEAT", source retrieved from: https://www.diy.com/departments/cooke-lewis-fabienne-close-coupled-toilet-with-soft-close-seat/1142804_BQ.prd?B/R_Toilets_C_CT, accessed 12 Feb 2018). The assumed lifetime is 15 years. Bath tubes are assumed to weigh 33kg (information taken from B&amp;Q (2018) for the product COOKE &amp; LEWIS CONWAY STEEL RECTANGULAR STRAIGHT BATH (L)1700MM (W)700MM, source retrieved from: https://www.diy.com/departments/cooke-lewis-conway-steel-rectangular-straight-bath-l-1700mm-w-700mm/194437_BQ.prd, accessed 23 March 2018). The assumed lifetime is 15 years. In terms of outputs, assumed to have gone to inert waste. 
</t>
  </si>
  <si>
    <t>sawdust, wet, measured as dry mass</t>
  </si>
  <si>
    <t>market for sawdust, wet, measured as dry mass | sawdust, wet, measured as dry mass | APOS, U</t>
  </si>
  <si>
    <t>input of sawdust</t>
  </si>
  <si>
    <t>sawlog and veneer log, azobe, debarked, measured as solid wood</t>
  </si>
  <si>
    <t>market for sawlog and veneer log, azobe, debarked, measured as solid wood | sawlog and veneer log, azobe, debarked, measured as solid wood | APOS, U</t>
  </si>
  <si>
    <t>sawlog and veneer log, eucalyptus ssp., measured as solid wood under bark</t>
  </si>
  <si>
    <t>hardwood forestry, eucalyptus ssp., sustainable forest management | sawlog and veneer log, eucalyptus ssp., measured as solid wood under bark | APOS, U</t>
  </si>
  <si>
    <t xml:space="preserve">Data provided by industry (EPIS) 2017. Approximates her eucalyptus from Latin America. The following information are important to justify this decision: The age at which eucalyptus is harvested is some 6-7 years while mixed hardwood is 40-70 years. Therefore Latin America hardwood is not a good proxy. The growing practices are similar in South Asia and Latin America. </t>
  </si>
  <si>
    <t>sawlog and veneer log, hardwood, measured as solid wood under bark</t>
  </si>
  <si>
    <t>market for sawlog and veneer log, hardwood, measured as solid wood under bark | sawlog and veneer log, hardwood, measured as solid wood under bark | APOS, U</t>
  </si>
  <si>
    <t>sawlog and veneer log, softwood, debarked, measured as solid wood</t>
  </si>
  <si>
    <t>market for sawlog and veneer log, softwood, debarked, measured as solid wood | sawlog and veneer log, softwood, debarked, measured as solid wood | APOS, U</t>
  </si>
  <si>
    <t>sawlog and veneer log, softwood, measured as solid wood under bark</t>
  </si>
  <si>
    <t>market for sawlog and veneer log, softwood, measured as solid wood under bark | sawlog and veneer log, softwood, measured as solid wood under bark | APOS, U</t>
  </si>
  <si>
    <t>(2;3;4;5;2)</t>
  </si>
  <si>
    <t>sawmill</t>
  </si>
  <si>
    <t>market for sawmill | sawmill | APOS, U</t>
  </si>
  <si>
    <t>sawnwood, beam, softwood, dried (u=10%), planed</t>
  </si>
  <si>
    <t>market for sawnwood, beam, softwood, dried (u=10%), planed | sawnwood, beam, softwood, dried (u=10%), planed | APOS, U</t>
  </si>
  <si>
    <t xml:space="preserve">Calculated value. Represents here all wood used in flooring and for wall decoration. Combined of all instances of use across the building. Assumed thickness of wood to be 9.5 mm. Source: APA 2016. Wall construction. An excerpt of the engineering wood construction guide. Available from:  https://www.buildgp.com/DocumentViewer.aspx?elementid=10198 Accessed 25 March 2018. Assumed service life of 75 years with minor refurbishments throughout. In terms of outputs assumed to have gone to waste wood, untreated. </t>
  </si>
  <si>
    <t>sawnwood, beam, softwood, raw, dried (u=10%)</t>
  </si>
  <si>
    <t>market for sawnwood, beam, softwood, raw, dried (u=10%) | sawnwood, beam, softwood, raw, dried (u=10%) | APOS, U</t>
  </si>
  <si>
    <t xml:space="preserve">Calculated value. Combined of all instances of use across the building structure and walls. The amount of exchange is calculated as: amount of input product * (lifetime of the hotel / lifetime of the product). Assumed service life of 75 years which is equal to the service life of the hotel building with minor refurbishments throughout. In terms of outputs, assumed to have gone to waste wood, untreated. </t>
  </si>
  <si>
    <t>sawnwood, board, hardwood, dried (u=20%), planed</t>
  </si>
  <si>
    <t>market for sawnwood, board, hardwood, dried (u=20%), planed | sawnwood, board, hardwood, dried (u=20%), planed | APOS, U</t>
  </si>
  <si>
    <t>Hull, 30% replacement</t>
  </si>
  <si>
    <t>sawnwood, board, softwood, raw, dried (u=10%)</t>
  </si>
  <si>
    <t>market for sawnwood, board, softwood, raw, dried (u=10%) | sawnwood, board, softwood, raw, dried (u=10%) | APOS, U</t>
  </si>
  <si>
    <t>sawnwood, hardwood, dried (u=10%), planed</t>
  </si>
  <si>
    <t>market for sawnwood, hardwood, dried (u=10%), planed | sawnwood, hardwood, dried (u=10%), planed | APOS, U</t>
  </si>
  <si>
    <t>Calculated value. The value derived from the average of the three pieces of furniture from González-García et al. 2011 is 0.01kg. This is multiplied by the product density (see the properties section).</t>
  </si>
  <si>
    <t>sawnwood, hardwood, dried (u=20%), planed</t>
  </si>
  <si>
    <t>market for sawnwood, hardwood, dried (u=20%), planed | sawnwood, hardwood, dried (u=20%), planed | APOS, U</t>
  </si>
  <si>
    <t>sawnwood, softwood, dried (u=10%), planed</t>
  </si>
  <si>
    <t>market for sawnwood, softwood, dried (u=10%), planed | sawnwood, softwood, dried (u=10%), planed | APOS, U</t>
  </si>
  <si>
    <t>(4;5;5;1;3)</t>
  </si>
  <si>
    <t>seal, natural rubber based</t>
  </si>
  <si>
    <t>market for seal, natural rubber based | seal, natural rubber based | APOS, U</t>
  </si>
  <si>
    <t>(2;4;3;4;2)</t>
  </si>
  <si>
    <t>Data are from Miljogiraff 2015.</t>
  </si>
  <si>
    <t>sealing tape, aluminium/PE, 50 mm wide</t>
  </si>
  <si>
    <t>market for sealing tape, aluminium/PE, 50 mm wide | sealing tape, aluminium/PE, 50 mm wide | APOS, U</t>
  </si>
  <si>
    <t>seawater reverse osmosis module</t>
  </si>
  <si>
    <t>seawater reverse osmosis module production, 8-inch spiral wound, baseline | seawater reverse osmosis module | APOS, U</t>
  </si>
  <si>
    <t>This unit process refers to the unit of active membrane surface for reverse osmosis of seawater.</t>
  </si>
  <si>
    <t>seawater reverse osmosis module production, 8-inch spiral wound, enhanced | seawater reverse osmosis module | APOS, U</t>
  </si>
  <si>
    <t>Service representing the processing of the material.</t>
  </si>
  <si>
    <t>section bar extrusion, aluminium | section bar extrusion, aluminium | APOS, U</t>
  </si>
  <si>
    <t>section bar rolling, steel | section bar rolling, steel | APOS, U</t>
  </si>
  <si>
    <t>selective coat, copper sheet, physical vapour deposition</t>
  </si>
  <si>
    <t>market for selective coat, copper sheet, physical vapour deposition | selective coat, copper sheet, physical vapour deposition | APOS, U</t>
  </si>
  <si>
    <t>selenium</t>
  </si>
  <si>
    <t>market for selenium | selenium | APOS, U</t>
  </si>
  <si>
    <t>(5;3;5;1;1)</t>
  </si>
  <si>
    <t>Shale, in ground</t>
  </si>
  <si>
    <t>shed, large, wood, non-insulated, fire-unprotected</t>
  </si>
  <si>
    <t>market for shed, large, wood, non-insulated, fire-unprotected | shed, large, wood, non-insulated, fire-unprotected | APOS, U</t>
  </si>
  <si>
    <t>Storrage of diverse material related to the trellis system. Corresponds to 0.302 m2/ha related to the life time of the trellissystem (20 years).</t>
  </si>
  <si>
    <t>Service representing the processing of the material. Proxy for the processing of magnesium.</t>
  </si>
  <si>
    <t>sheet rolling, aluminium | sheet rolling, aluminium | APOS, U</t>
  </si>
  <si>
    <t>(4;4;3;3;4)</t>
  </si>
  <si>
    <t>Calculated Value. Represents the processing of the aluminium.</t>
  </si>
  <si>
    <t>sheet rolling, chromium steel | sheet rolling, chromium steel | APOS, U</t>
  </si>
  <si>
    <t>Literature Value. Service representing the processing of steel.</t>
  </si>
  <si>
    <t>sheet rolling, copper</t>
  </si>
  <si>
    <t>sheet rolling, copper | sheet rolling, copper | APOS, U</t>
  </si>
  <si>
    <t>Calculated Value. Represents the processing of the copper.</t>
  </si>
  <si>
    <t>market for sheet rolling, copper | sheet rolling, copper | APOS, U</t>
  </si>
  <si>
    <t>Service representing the processing of copper.</t>
  </si>
  <si>
    <t>sheet rolling, steel | sheet rolling, steel | APOS, U</t>
  </si>
  <si>
    <t>Service representing the processing of steel.</t>
  </si>
  <si>
    <t>silencer, steel, DN 125</t>
  </si>
  <si>
    <t>market for silencer, steel, DN 125 | silencer, steel, DN 125 | APOS, U</t>
  </si>
  <si>
    <t>silencer, steel, DN 315, 50 mm</t>
  </si>
  <si>
    <t>market for silencer, steel, DN 315, 50 mm | silencer, steel, DN 315, 50 mm | APOS, U</t>
  </si>
  <si>
    <t>(2;4;4;5;1)</t>
  </si>
  <si>
    <t>Proxy. Used to represent abrasive materials. Calculated value.</t>
  </si>
  <si>
    <t>silicon tetrachloride</t>
  </si>
  <si>
    <t>market for silicon tetrachloride | silicon tetrachloride | APOS, U</t>
  </si>
  <si>
    <t>Environmental report</t>
  </si>
  <si>
    <t>silicon tetrahydride</t>
  </si>
  <si>
    <t>market for silicon tetrahydride | silicon tetrahydride | APOS, U</t>
  </si>
  <si>
    <t>silicon, metallurgical grade</t>
  </si>
  <si>
    <t>market for silicon, metallurgical grade | silicon, metallurgical grade | APOS, U</t>
  </si>
  <si>
    <t>Reported as "alloying metal", 15.7% assumed to be Silicon in Althaus (2009)</t>
  </si>
  <si>
    <t>silicon, single crystal, Czochralski process, electronics</t>
  </si>
  <si>
    <t>market for silicon, single crystal, Czochralski process, electronics | silicon, single crystal, Czochralski process, electronics | APOS, U</t>
  </si>
  <si>
    <t>Own calculation with de Wild 2007 data</t>
  </si>
  <si>
    <t>silicone factory</t>
  </si>
  <si>
    <t>market for silicone factory | silicone factory | APOS, U</t>
  </si>
  <si>
    <t>Literature data and primary data from French manufacturers (Boulard et al, 2011). Silicone.</t>
  </si>
  <si>
    <t>silicone product production | silicone product | APOS, U</t>
  </si>
  <si>
    <t>Silver, in ground</t>
  </si>
  <si>
    <t>skimmed milk, from cow milk</t>
  </si>
  <si>
    <t>market for skimmed milk, from cow milk | skimmed milk, from cow milk | APOS, U</t>
  </si>
  <si>
    <t>slab and siding, softwood, wet, measured as dry mass</t>
  </si>
  <si>
    <t>market for slab and siding, softwood, wet, measured as dry mass | slab and siding, softwood, wet, measured as dry mass | APOS, U</t>
  </si>
  <si>
    <t>input of industrial residual wood</t>
  </si>
  <si>
    <t xml:space="preserve">Calculated value. The amount of exchange is calculated as: amount of input product * (lifetime of the hotel) / (number of guests during the lifetime of the hotel * hotel occupancy rate). In terms of outputs assumed to have gone to wastewater. Represents here soap, shampoo, shower gel and body lotion. </t>
  </si>
  <si>
    <t>soda production, solvay process | soda ash, light, crystalline, heptahydrate | APOS, U</t>
  </si>
  <si>
    <t>Estimated value. Input per m3 of natural gas dried. It is assumed that all the gas is dried. Data from ecoinvent 2.0 dataset (drying, natural gas)</t>
  </si>
  <si>
    <t>sodium borates</t>
  </si>
  <si>
    <t>market for sodium borates | sodium borates | APOS, U</t>
  </si>
  <si>
    <t>sodium borates production | sodium borates | APOS, U</t>
  </si>
  <si>
    <t>sodium chlorate, powder</t>
  </si>
  <si>
    <t>market for sodium chlorate, powder | sodium chlorate, powder | APOS, U</t>
  </si>
  <si>
    <t>Sodium chloride, in ground</t>
  </si>
  <si>
    <t>sodium cyanide</t>
  </si>
  <si>
    <t>market for sodium cyanide | sodium cyanide | APOS, U</t>
  </si>
  <si>
    <t>sodium dichromate</t>
  </si>
  <si>
    <t>market for sodium dichromate | sodium dichromate | APOS, U</t>
  </si>
  <si>
    <t>sodium formate</t>
  </si>
  <si>
    <t>market for sodium formate | sodium formate | APOS, U</t>
  </si>
  <si>
    <t>sodium hydrogen sulfite</t>
  </si>
  <si>
    <t>market for sodium hydrogen sulfite | sodium hydrogen sulfite | APOS, U</t>
  </si>
  <si>
    <t>sodium hydrosulfide</t>
  </si>
  <si>
    <t>market for sodium hydrosulfide | sodium hydrosulfide | APOS, U</t>
  </si>
  <si>
    <t>sodium hypochlorite, without water, in 15% solution state</t>
  </si>
  <si>
    <t>market for sodium hypochlorite, without water, in 15% solution state | sodium hypochlorite, without water, in 15% solution state | APOS, U</t>
  </si>
  <si>
    <t>sodium metasilicate pentahydrate, 58% active substance, powder</t>
  </si>
  <si>
    <t>market for sodium metasilicate pentahydrate, 58% active substance, powder | sodium metasilicate pentahydrate, 58% active substance, powder | APOS, U</t>
  </si>
  <si>
    <t>Used as a proxy for sodium metasilicate (kg) used in the form of mangowash, detergent.</t>
  </si>
  <si>
    <t>sodium nitrate</t>
  </si>
  <si>
    <t>market for sodium nitrate | sodium nitrate | APOS, U</t>
  </si>
  <si>
    <t>Calculated Value. Used as oxydising agent. The amount is given for all 4 agents together  (silica sand, manganese dioxide, soda ash, sodium nitrate - we assume 25% of each).</t>
  </si>
  <si>
    <t>Sodium nitrate, in ground</t>
  </si>
  <si>
    <t>sodium percarbonate, powder</t>
  </si>
  <si>
    <t>market for sodium percarbonate, powder | sodium percarbonate, powder | APOS, U</t>
  </si>
  <si>
    <t>sodium persulfate</t>
  </si>
  <si>
    <t>market for sodium persulfate | sodium persulfate | APOS, U</t>
  </si>
  <si>
    <t>Estimation, based on literature and own assumptions.</t>
  </si>
  <si>
    <t>sodium phosphate</t>
  </si>
  <si>
    <t>sodium phosphate production | sodium phosphate | APOS, U</t>
  </si>
  <si>
    <t>sodium silicate, solid</t>
  </si>
  <si>
    <t>market for sodium silicate, solid | sodium silicate, solid | APOS, U</t>
  </si>
  <si>
    <t>sodium silicate, spray powder, 80%</t>
  </si>
  <si>
    <t>market for sodium silicate, spray powder, 80% | sodium silicate, spray powder, 80% | APOS, U</t>
  </si>
  <si>
    <t>sodium sulfite</t>
  </si>
  <si>
    <t>market for sodium sulfite | sodium sulfite | APOS, U</t>
  </si>
  <si>
    <t>Sodium, in ground</t>
  </si>
  <si>
    <t>soft solder, Sn97Cu3</t>
  </si>
  <si>
    <t>market for soft solder, Sn97Cu3 | soft solder, Sn97Cu3 | APOS, U</t>
  </si>
  <si>
    <t>solar collector factory</t>
  </si>
  <si>
    <t>solar collector factory construction | solar collector factory | APOS, U</t>
  </si>
  <si>
    <t>(2;5;5;1;3)</t>
  </si>
  <si>
    <t>market for solar collector factory | solar collector factory | APOS, U</t>
  </si>
  <si>
    <t>(2;5;5;5;3)</t>
  </si>
  <si>
    <t>Estimation for flat plate collector</t>
  </si>
  <si>
    <t>solar glass, low-iron</t>
  </si>
  <si>
    <t>market for solar glass, low-iron | solar glass, low-iron | APOS, U</t>
  </si>
  <si>
    <t>solder factory</t>
  </si>
  <si>
    <t>market for solder factory | solder factory | APOS, U</t>
  </si>
  <si>
    <t>Calculation for plant with 100'000t/a and a life time of 50a</t>
  </si>
  <si>
    <t>solid bleached and unbleached board carton</t>
  </si>
  <si>
    <t>market for solid bleached and unbleached board carton | solid bleached and unbleached board carton | APOS, U</t>
  </si>
  <si>
    <t>Literature value: average european value from literature source.</t>
  </si>
  <si>
    <t>solid manure loading and spreading, by hydraulic loader and spreader</t>
  </si>
  <si>
    <t>solid manure loading and spreading, by hydraulic loader and spreader | solid manure loading and spreading, by hydraulic loader and spreader | APOS, U</t>
  </si>
  <si>
    <t>market for solid manure loading and spreading, by hydraulic loader and spreader | solid manure loading and spreading, by hydraulic loader and spreader | APOS, U</t>
  </si>
  <si>
    <t xml:space="preserve">This amount corresponds the input of solid manure. Personal written communication, Herma Mulder, Nedcoffee., 2014 </t>
  </si>
  <si>
    <t>solvent, organic</t>
  </si>
  <si>
    <t>C:Manufacturing/20:Manufacture of chemicals and chemical products</t>
  </si>
  <si>
    <t>market for solvent, organic | solvent, organic | APOS, U</t>
  </si>
  <si>
    <t>sour gas, burned in gas turbine</t>
  </si>
  <si>
    <t>market for sour gas, burned in gas turbine | sour gas, burned in gas turbine | APOS, U</t>
  </si>
  <si>
    <t>Novatek 2011</t>
  </si>
  <si>
    <t>sowing</t>
  </si>
  <si>
    <t>market for sowing | sowing | APOS, U</t>
  </si>
  <si>
    <t>sowing | sowing | APOS, U</t>
  </si>
  <si>
    <t>soybean</t>
  </si>
  <si>
    <t>A:Agriculture, forestry and fishing/01:Crop and animal production, hunting and related service activities/011:Growing of non-perennial crops/0111:Growing of cereals (except rice), leguminous crops and oil seeds</t>
  </si>
  <si>
    <t>market for soybean | soybean | APOS, U</t>
  </si>
  <si>
    <t>soybean production | soybean | APOS, U</t>
  </si>
  <si>
    <t xml:space="preserve">see parameter. Since Québec is a net exporter of soybean (production higher than domestic demand), a direct link to Quebec soybean production is considered as long as a regional market is not available (source: Monographie du secteur des grains au Québec, 2013.
https://www.mapaq.gouv.qc.ca/fr/Publications/Monographiegrain.pdf) </t>
  </si>
  <si>
    <t>soybean, organic</t>
  </si>
  <si>
    <t>market for soybean, organic | soybean, organic | APOS, U</t>
  </si>
  <si>
    <t>spinach</t>
  </si>
  <si>
    <t>spinach production | spinach | APOS, U</t>
  </si>
  <si>
    <t>market for spinach | spinach | APOS, U</t>
  </si>
  <si>
    <t>spiral-seam duct, steel, DN 125</t>
  </si>
  <si>
    <t>market for spiral-seam duct, steel, DN 125 | spiral-seam duct, steel, DN 125 | APOS, U</t>
  </si>
  <si>
    <t>spiral-seam duct, steel, DN 400</t>
  </si>
  <si>
    <t>market for spiral-seam duct, steel, DN 400 | spiral-seam duct, steel, DN 400 | APOS, U</t>
  </si>
  <si>
    <t>spray-drying of milk</t>
  </si>
  <si>
    <t>market for spray-drying of milk | spray-drying of milk | APOS, U</t>
  </si>
  <si>
    <t>Calculated Value. This flow represents the production of milk powder used as input. Milk powder is expressed in cow milk equivalent and its production is approximated with the "evaporation of milk" and "spary-drying of milk" flows.</t>
  </si>
  <si>
    <t>steel removed by milling, average</t>
  </si>
  <si>
    <t>market for steel removed by milling, average | steel removed by milling, average | APOS, U</t>
  </si>
  <si>
    <t xml:space="preserve">Process of milling steel. </t>
  </si>
  <si>
    <t>steel, chromium steel 18/8</t>
  </si>
  <si>
    <t>market for steel, chromium steel 18/8 | steel, chromium steel 18/8 | APOS, U</t>
  </si>
  <si>
    <t>Literature Value. Represents shell(0.02016kg)+batter cap(0.02491)+simcard holder(0.00129kg)</t>
  </si>
  <si>
    <t>Estimation, based on literature. An average weight of 24.6 kg/m was used to split the weight of pipes. Life-span of 10 years is considered - i.e. 2.5 times the amounts is needed.</t>
  </si>
  <si>
    <t>Literature Value. For plant construction.</t>
  </si>
  <si>
    <t>stone wool</t>
  </si>
  <si>
    <t>market for stone wool | stone wool | APOS, U</t>
  </si>
  <si>
    <t>stone wool factory</t>
  </si>
  <si>
    <t>stone wool factory construction | stone wool factory | APOS, U</t>
  </si>
  <si>
    <t xml:space="preserve">Proxy, based on literature value. Rock wool plant is considered as proxy.
This exchange has an activity link directly to the producing activity because the product is primarily consumed in the same geographical area where it is produced. </t>
  </si>
  <si>
    <t>market for stone wool factory | stone wool factory | APOS, U</t>
  </si>
  <si>
    <t>stone wool, packed</t>
  </si>
  <si>
    <t>market for stone wool, packed | stone wool, packed | APOS, U</t>
  </si>
  <si>
    <t>straw</t>
  </si>
  <si>
    <t>market for straw | straw | APOS, U</t>
  </si>
  <si>
    <t>strawberry</t>
  </si>
  <si>
    <t>strawberry production, in heated greenhouse | strawberry | APOS, U</t>
  </si>
  <si>
    <t>strawberry production, open field, macro tunnel | strawberry | APOS, U</t>
  </si>
  <si>
    <t>strawberry production, in unheated greenhouse | strawberry | APOS, U</t>
  </si>
  <si>
    <t>market for strawberry | strawberry | APOS, U</t>
  </si>
  <si>
    <t>stretch blow moulding</t>
  </si>
  <si>
    <t>market for stretch blow moulding | stretch blow moulding | APOS, U</t>
  </si>
  <si>
    <t>Strontium, in ground</t>
  </si>
  <si>
    <t>stucco</t>
  </si>
  <si>
    <t>market for stucco | stucco | APOS, U</t>
  </si>
  <si>
    <t>styrene</t>
  </si>
  <si>
    <t>market for styrene | styrene | APOS, U</t>
  </si>
  <si>
    <t>styrene-acrylonitrile copolymer</t>
  </si>
  <si>
    <t>market for styrene-acrylonitrile copolymer | styrene-acrylonitrile copolymer | APOS, U</t>
  </si>
  <si>
    <t>sugar beet seed, for sowing</t>
  </si>
  <si>
    <t>A:Agriculture, forestry and fishing/01:Crop and animal production, hunting and related service activities/016:Support activities to agriculture and post-harvest crop activities/0164:Seed processing for propagation</t>
  </si>
  <si>
    <t>market for sugar beet seed, for sowing | sugar beet seed, for sowing | APOS, U</t>
  </si>
  <si>
    <t>sugar, from sugar beet</t>
  </si>
  <si>
    <t>market for sugar, from sugar beet | sugar, from sugar beet | APOS, U</t>
  </si>
  <si>
    <t>sugar, from sugarcane</t>
  </si>
  <si>
    <t>market for sugar, from sugarcane | sugar, from sugarcane | APOS, U</t>
  </si>
  <si>
    <t>Calculated Value. Ingredient used in the yogurt production.</t>
  </si>
  <si>
    <t>sugarcane</t>
  </si>
  <si>
    <t>A:Agriculture, forestry and fishing/01:Crop and animal production, hunting and related service activities/011:Growing of non-perennial crops/0114:Growing of sugar cane</t>
  </si>
  <si>
    <t>market for sugarcane | sugarcane | APOS, U</t>
  </si>
  <si>
    <t>Processed sugarcane. Based on computer simulation of the process validated using literature and industry data.</t>
  </si>
  <si>
    <t>sulfamic acid</t>
  </si>
  <si>
    <t>market for sulfamic acid | sulfamic acid | APOS, U</t>
  </si>
  <si>
    <t>sulfate pulp, bleached</t>
  </si>
  <si>
    <t>market for sulfate pulp, bleached | sulfate pulp, bleached | APOS, U</t>
  </si>
  <si>
    <t>Pulp amount and type from fibres production Lenzing AG 2001 (Federal Environment Agency- Austria, 2004).</t>
  </si>
  <si>
    <t>sulfate pulp, unbleached</t>
  </si>
  <si>
    <t>market for sulfate pulp, unbleached | sulfate pulp, unbleached | APOS, U</t>
  </si>
  <si>
    <t>Reported by FEFCO (2015) as consumption of purchased pulp: 0.000021 t unbleached pulp per t of product.</t>
  </si>
  <si>
    <t>20% of pulp input are from unbleached pulp, 80% from bleached pulp.</t>
  </si>
  <si>
    <t>sulfite pulp, bleached</t>
  </si>
  <si>
    <t>market for sulfite pulp, bleached | sulfite pulp, bleached | APOS, U</t>
  </si>
  <si>
    <t>sulfur</t>
  </si>
  <si>
    <t>market for sulfur | sulfur | APOS, U</t>
  </si>
  <si>
    <t>sulfur dioxide, liquid</t>
  </si>
  <si>
    <t>market for sulfur dioxide, liquid | sulfur dioxide, liquid | APOS, U</t>
  </si>
  <si>
    <t>sulfur hexafluoride, liquid</t>
  </si>
  <si>
    <t>market for sulfur hexafluoride, liquid | sulfur hexafluoride, liquid | APOS, U</t>
  </si>
  <si>
    <t>Sulfur, in ground</t>
  </si>
  <si>
    <t>supply air inlet, steel/SS, DN 75</t>
  </si>
  <si>
    <t>market for supply air inlet, steel/SS, DN 75 | supply air inlet, steel/SS, DN 75 | APOS, U</t>
  </si>
  <si>
    <t>sweet gas, burned in gas turbine</t>
  </si>
  <si>
    <t>sweet gas, burned in gas turbine | sweet gas, burned in gas turbine | APOS, U</t>
  </si>
  <si>
    <t>environmental report for the total Norwegian production, partly with standard factors.;activityLink introduced to establish a direct link to the corresponding regional supply of this product</t>
  </si>
  <si>
    <t>market for sweet gas, burned in gas turbine | sweet gas, burned in gas turbine | APOS, U</t>
  </si>
  <si>
    <t>European data</t>
  </si>
  <si>
    <t>sweet sorghum stem</t>
  </si>
  <si>
    <t>market for sweet sorghum stem | sweet sorghum stem | APOS, U</t>
  </si>
  <si>
    <t>Average ethanol yields in China, literature survey</t>
  </si>
  <si>
    <t>sweetening, natural gas</t>
  </si>
  <si>
    <t>sweetening, natural gas | sweetening, natural gas | APOS, U</t>
  </si>
  <si>
    <t>Environmental report for 50% market share in Germany, standard module for Germany</t>
  </si>
  <si>
    <t>market for sweetening, natural gas | sweetening, natural gas | APOS, U</t>
  </si>
  <si>
    <t>An estimated share of 20% of gas is sour and therefore has to be sweetened.</t>
  </si>
  <si>
    <t>Sylvite, in ground</t>
  </si>
  <si>
    <t>(2;3;5;5;5)</t>
  </si>
  <si>
    <t>The exchange has been scaled to represent the production of potassium chloride instead of a pure form of K2O. The exchange has been divided with the scaling key of circa 1.58 kg of potassium chloride per kg of K2O. Original amount of the exchange was: 1.89 kg.</t>
  </si>
  <si>
    <t>synthetic gas factory</t>
  </si>
  <si>
    <t>synthetic gas factory construction | synthetic gas factory | APOS, U</t>
  </si>
  <si>
    <t>very rough estimation based on synthetic gas production due to lack of data</t>
  </si>
  <si>
    <t>Estimation: 3.75 (bike)/3 (scooter) tyre-sets use in life-time</t>
  </si>
  <si>
    <t>Talc, in ground</t>
  </si>
  <si>
    <t>Assumption based on: Cherry, C.R. 2007, 1488 liters waste water for all production phases (incl. Battery manufacturing --&gt; 50%)</t>
  </si>
  <si>
    <t>television</t>
  </si>
  <si>
    <t>C:Manufacturing/26:Manufacture of computer, electronic and optical products/264:Manufacture of consumer electronics/2640:Manufacture of consumer electronics</t>
  </si>
  <si>
    <t>market for television | television | APOS, U</t>
  </si>
  <si>
    <t>Calculated value. The amount of exchange is calculated as: amount of input product * (lifetime of the hotel/lifetime of the product) / (number of guests during the lifetime of the hotel * hotel occupancy rate). Average service life of a television is assumed to be equal to 10 years. Source: Feng and Ma 2009. The energy consumption and environmental impacts of a color TV set in China. Journal of Cleaner Production, 17,13-25.</t>
  </si>
  <si>
    <t>tempering, flat glass | tempering, flat glass | APOS, U</t>
  </si>
  <si>
    <t>tetrafluoroethylene</t>
  </si>
  <si>
    <t>market for tetrafluoroethylene | tetrafluoroethylene | APOS, U</t>
  </si>
  <si>
    <t>Measured value: represents tetrafluoroethylene-based auxiliaries</t>
  </si>
  <si>
    <t>tetrahydrofuran</t>
  </si>
  <si>
    <t>market for tetrahydrofuran | tetrahydrofuran | APOS, U</t>
  </si>
  <si>
    <t>textile, knit cotton</t>
  </si>
  <si>
    <t>C:Manufacturing/13:Manufacture of textiles/139:Manufacture of other textiles/1391:Manufacture of knitted and crocheted fabrics</t>
  </si>
  <si>
    <t>market for textile, knit cotton | textile, knit cotton | APOS, U</t>
  </si>
  <si>
    <t xml:space="preserve">Calculated value from the total number of linen units used by the hotel. The amount of exchange is calculated as: amount of input product * (lifetime of the hotel/lifetime of the product) / (number of guests during the lifetime of the hotel * hotel occupancy rate). It is assumed that, on average, 4 linen units make 1 kg in weight. Source: Filimonau et al. 2011. Reviewing the carbon footprint analysis of hotels: Life Cycle Energy Analysis (LCEA) as a holistic method for carbon impact appraisal of tourist accommodation. Journal of Cleaner Production, 19, 1917-1930. Assumed average service life is 0.25 years. Source: TRSA 2015. Hospitality Textile Life, Loss and Replacement. Available from: http://www.laundrycompliance.com/wp-content/uploads/2016/02/trsa-hospitality-hotel-linen-loss.pdf Accessed 16 March 2018. The amount accounts for 10% fabric loss in the cotton textile manufacturing process. Source: Baydar, G., Ciliz, N., and Mammadov, A., 2015. Life cycle assessment of cotton textile products in Turkey. Journal of Cleaner Production, 104(A), 213-223. </t>
  </si>
  <si>
    <t>textile, woven cotton</t>
  </si>
  <si>
    <t>C:Manufacturing/13:Manufacture of textiles/131:Spinning, weaving and finishing of textiles/1312:Weaving of textiles</t>
  </si>
  <si>
    <t>market for textile, woven cotton | textile, woven cotton | APOS, U</t>
  </si>
  <si>
    <t>(4;3;4;3;4)</t>
  </si>
  <si>
    <t>Calculated value: average consumption of textiles in printing process of three companies (including the portion of textile within rubber blankets)</t>
  </si>
  <si>
    <t>thermal energy storage, for adiabatic compressed air energy storage</t>
  </si>
  <si>
    <t>market for thermal energy storage, for adiabatic compressed air energy storage | thermal energy storage, for adiabatic compressed air energy storage | APOS, U</t>
  </si>
  <si>
    <t xml:space="preserve">Literature Value. Storage capacity: 19.2 GWh. </t>
  </si>
  <si>
    <t>thermoforming of plastic sheets</t>
  </si>
  <si>
    <t>market for thermoforming of plastic sheets | thermoforming of plastic sheets | APOS, U</t>
  </si>
  <si>
    <t>This activity should be used as follows: If an activity requires 1 kg of plastic sheets (produced by an inline plastic sheets and thermoforming process) the user should list (i) 1/0.946 = 1.0571 kg of the service and 1.0571 kg of the plastic type processed.</t>
  </si>
  <si>
    <t>thermoforming, with calendering</t>
  </si>
  <si>
    <t>market for thermoforming, with calendering | thermoforming, with calendering | APOS, U</t>
  </si>
  <si>
    <t>(5;5;4;3;4)</t>
  </si>
  <si>
    <t>Estimate value: Assumed processing for rubber blankets.</t>
  </si>
  <si>
    <t>thermoforming, with calendering | thermoforming, with calendering | APOS, U</t>
  </si>
  <si>
    <t>tillage, harrowing, by spring tine harrow</t>
  </si>
  <si>
    <t>tillage, harrowing, by spring tine harrow | tillage, harrowing, by spring tine harrow | APOS, U</t>
  </si>
  <si>
    <t>market for tillage, harrowing, by spring tine harrow | tillage, harrowing, by spring tine harrow | APOS, U</t>
  </si>
  <si>
    <t>Two passes.</t>
  </si>
  <si>
    <t>tillage, ploughing</t>
  </si>
  <si>
    <t>market for tillage, ploughing | tillage, ploughing | APOS, U</t>
  </si>
  <si>
    <t>One pass in the year of establishment.</t>
  </si>
  <si>
    <t>tillage, ploughing | tillage, ploughing | APOS, U</t>
  </si>
  <si>
    <t>tin plated chromium steel sheet, 2 mm</t>
  </si>
  <si>
    <t>market for tin plated chromium steel sheet, 2 mm | tin plated chromium steel sheet, 2 mm | APOS, U</t>
  </si>
  <si>
    <t>tissue paper</t>
  </si>
  <si>
    <t>market for tissue paper | tissue paper | APOS, U</t>
  </si>
  <si>
    <t>Measured value: represent the amount of tissue paper based auxiliaries required during processing.</t>
  </si>
  <si>
    <t>titanium</t>
  </si>
  <si>
    <t>market for titanium | titanium | APOS, U</t>
  </si>
  <si>
    <t>Titanium is estimated to make up 5% of a long-haul belly-freighter aircraft, with an operating empty weight of 142 tonnes (aircraft data from Cox, Jemiolo &amp; Mutel (2018) and weighting and types of planes making up the long-haul distance class from global flight data for 2016 (OAG 2016)). Because the material breakdown for the different aircraft has changed over time, the percentage applied from the time series data given in Cox, Jemiolo &amp; Mutel (2018) is the average of the first and final years in which the particualr aircraft has been produced.</t>
  </si>
  <si>
    <t>Calculated value. Based on TiO2 content of different ceramic ingredients used to make ceramic casting mold.</t>
  </si>
  <si>
    <t>Input to DeNOx stage (TiO2 catalyst carrier)</t>
  </si>
  <si>
    <t>Titanium, in ground</t>
  </si>
  <si>
    <t>toluene diisocyanate</t>
  </si>
  <si>
    <t>market for toluene diisocyanate | toluene diisocyanate | APOS, U</t>
  </si>
  <si>
    <t>toluene, liquid</t>
  </si>
  <si>
    <t>market for toluene, liquid | toluene, liquid | APOS, U</t>
  </si>
  <si>
    <t>tomato, fresh grade</t>
  </si>
  <si>
    <t>tomato production, fresh grade, open field | tomato, fresh grade | APOS, U</t>
  </si>
  <si>
    <t>tomato production, fresh grade, in heated greenhouse | tomato, fresh grade | APOS, U</t>
  </si>
  <si>
    <t>market for tomato, fresh grade | tomato, fresh grade | APOS, U</t>
  </si>
  <si>
    <t>tomato production, fresh grade, in unheated greenhouse | tomato, fresh grade | APOS, U</t>
  </si>
  <si>
    <t>tomato, processing grade</t>
  </si>
  <si>
    <t>market for tomato, processing grade | tomato, processing grade | APOS, U</t>
  </si>
  <si>
    <t>(4;5;5;2;3)</t>
  </si>
  <si>
    <t>tomato production, processing grade, open field | tomato, processing grade | APOS, U</t>
  </si>
  <si>
    <t>toner module, laser printer, black/white</t>
  </si>
  <si>
    <t>C:Manufacturing/28:Manufacture of machinery and equipment n.e.c./281:Manufacture of general-purpose machinery/2817:Manufacture of office machinery and equipment (except computers and periphe</t>
  </si>
  <si>
    <t>market for toner module, laser printer, black/white | toner module, laser printer, black/white | APOS, U</t>
  </si>
  <si>
    <t>toner module, laser printer, colour</t>
  </si>
  <si>
    <t>market for toner module, laser printer, colour | toner module, laser printer, colour | APOS, U</t>
  </si>
  <si>
    <t>tower silo, plastic</t>
  </si>
  <si>
    <t>market for tower silo, plastic | tower silo, plastic | APOS, U</t>
  </si>
  <si>
    <t>estimation - value given from pellets company in the filled questionnaire (dimensions of the pellet silos in their factory). This dataset include its own disposal in the end of its lifetime.</t>
  </si>
  <si>
    <t>tractor, 4-wheel, agricultural</t>
  </si>
  <si>
    <t>market for tractor, 4-wheel, agricultural | tractor, 4-wheel, agricultural | APOS, U</t>
  </si>
  <si>
    <t>Literature data and primary data from French manufacturers (Boulard et al, 2011). Tractor.</t>
  </si>
  <si>
    <t>(5;5;5;5;1)</t>
  </si>
  <si>
    <t>Transformation, from annual crop, non-irrigated, intensive</t>
  </si>
  <si>
    <t>Transformation, from arable land, unspecified use</t>
  </si>
  <si>
    <t>Transformation of area occupied by the industrial plant based on data from MACEDO et al., 2008. The occupation was calculated considering a life span of 25 years.</t>
  </si>
  <si>
    <t>Transformation, from forest, primary (non-use)</t>
  </si>
  <si>
    <t>Transformation, from heterogeneous, agricultural</t>
  </si>
  <si>
    <t>Calculated value. Based on survey data, the gross floor area is 1366 m2.</t>
  </si>
  <si>
    <t>Transformation, from mineral extraction site</t>
  </si>
  <si>
    <t>(4;5;3;3;2)</t>
  </si>
  <si>
    <t>Calculated Value. 200 MW*140 m²/MW https://strom-online.ch/druckluftspeicher/</t>
  </si>
  <si>
    <t>Transformation, from permanent crop, irrigated</t>
  </si>
  <si>
    <t>Calculated value: 10000 m2 divided by the yield and the life time of the perennial crop (20 years).</t>
  </si>
  <si>
    <t>Transformation, from seabed, infrastructure</t>
  </si>
  <si>
    <t>Transformation, from seabed, unspecified</t>
  </si>
  <si>
    <t>Transformation, from urban, continuously built</t>
  </si>
  <si>
    <t>Calculated value. Based on survey data that have specified he gross floor area of the hotel which is 20260 m2 .</t>
  </si>
  <si>
    <t>Transformation, from urban, green area</t>
  </si>
  <si>
    <t>Calculated value. Based on survey data.</t>
  </si>
  <si>
    <t>Transformation, to annual crop, non-irrigated, intensive</t>
  </si>
  <si>
    <t>Transformation, to grassland, natural (non-use)</t>
  </si>
  <si>
    <t>Transformation, to heterogeneous, agricultural</t>
  </si>
  <si>
    <t>Qualified estimates</t>
  </si>
  <si>
    <t>Transformation, to lake, artificial</t>
  </si>
  <si>
    <t>Transformation, to permanent crop, irrigated</t>
  </si>
  <si>
    <t>Transformation, to seabed, infrastructure</t>
  </si>
  <si>
    <t>Transformation, to seabed, unspecified</t>
  </si>
  <si>
    <t>Transformation, to urban, continuously built</t>
  </si>
  <si>
    <t xml:space="preserve">Transformer setup including substations and primary power distribution sources. Since the transformer data are already accounted for in ecoinvent. The end of life is neglected. </t>
  </si>
  <si>
    <t>market for transport, freight train | transport, freight train | APOS, U</t>
  </si>
  <si>
    <t>(2;1;2;1;1)</t>
  </si>
  <si>
    <t xml:space="preserve">Calculated value. Origin and destination points and transport mode defined according to available diesel distribution infrastructure (MI, 2020). The amount of produced and imported diesel (ANP, 2019) was overlapped with the amount of diesel delivered in primary distribution points (ANP, 2020a) and the amount consumed in each Brazilian city (ANP, 2020b).
References:
ANP, 2019. Agência Nacional do Petróleo, Gás Natural e Biocombustíveis. Anuário Estatístico 2019. Available at: anp.gov.br/publicacoes/anuario-estatistico/5237-anuario-estatistico-2019. Accessed in 04/06/2020
ANP, 2020a. Agência Nacional do Petróleo, Gás Natural e Biocombustíveis. Market data. Deliveries at distribution points inormation. Available at: anp.gov.br/distribuicao-e-revenda/distribuidor/combustiveis-liquidos/dados-de-mercado
ANP, 2020b. Agência Nacional do Petróleo, Gás Natural e Biocombustíveis. Statistical data. Slaes of petroleum products. Available at: anp.gov.br/dados-estatisticos
MI, 2020. Ministry of Infrastructure. Corredores Logísticos Estratégicos - Volume VI - Petróleo e Combustíveis. Available at: gov.br/infraestrutura/pt-br/assuntos/politica-e-planejamento/politica-e-planejamento/cle
</t>
  </si>
  <si>
    <t>The assumed distance from the Bayan Obo mine to the processing facility in Baotou is assumed to be 150 km (see geography comment). Only transport of the concentrate to the facility is considered here. The values contained in CMLCAT tool were not taken into account. Since the Bayan Obo mine is connected with Baotou by road and by rail tracks, the default  transport mix (68.9464% train and the rest by lorry) is considered here (consult the ''market for rare earth oxide concentrate, 50% REO'' dataset).</t>
  </si>
  <si>
    <t xml:space="preserve">Data from                                                                                               DoE (Department of Energy) Overview of petrol and diesel market in South Africa between 2007 and 2016                                             Transnet Pipeline Annual Report, 2017                                                        South Africa Rail Network map (http://www.transetfreightrail-trf.net/Rail%20Network/Pages/Rail-Network-Map.aspx)    </t>
  </si>
  <si>
    <t xml:space="preserve">The cadmium telluride is assumed to be transported 200 km by rail. This is the standard rail transport distance for the US (see table 4.2, p. 635/926 in Classen et al., 2009).
References:
Classen M., Althaus H.-J., Blaser S., Tuchschmid M., Jungbluth N., Doka G., Faist Emmenegger M. and Scharnhorst W. (2009) Life Cycle Inventories of Metals. Final report ecoinvent data v2.1, No 10. EMPA Dübendorf, Swiss Centre for Life Cycle Inventories, Dübendorf, CH, Online-Version under: www.ecoinvent.ch </t>
  </si>
  <si>
    <t>transport, freight train | transport, freight train | APOS, U</t>
  </si>
  <si>
    <t>Inbound transport of zinc concentrate and other materials to sites. Amount and activity link based on primary data collected from participating companies.</t>
  </si>
  <si>
    <t>includes transportation of all input materials specific for each provider as reported in SAP</t>
  </si>
  <si>
    <t>transport, freight, aircraft with reefer, cooling</t>
  </si>
  <si>
    <t>H:Transportation and storage/51:Air transport/512:Freight air transport/5120:Freight air transport</t>
  </si>
  <si>
    <t>market for transport, freight, aircraft with reefer, cooling | transport, freight, aircraft with reefer, cooling | APOS, U</t>
  </si>
  <si>
    <t>(1;2;5;4;4)</t>
  </si>
  <si>
    <t>The estimated production volume of asparagus (white and green) is of 7.83 million tons (FAOSTAT, 2011). 50% of production is estimated to be white asparagus and 50% green asparagus (Welbaum, G. E. "Family Asparagaceae." Vegetable Production And Practices. Croydon: CPI Group, 2015. pp.372. Print). Peru is one of the main producers which supplies 77877 tons of fresh asparagus to the US market, 68% of which is transported by air ("How Transportation Costs Affect
Fresh Fruit and Vegetable Prices" USDA, 2013). Moreover Peru also supplies 13875 tons to the Netherlands, 8550 tons to the UK, 8214 tons to Spain, 2049 tons to Chile, 1773 tons to Australia and 8843 tons to other countries ("Peru. Annual asparagus report" USDA, 2013). Asparagus is a product with high value that perishes quickly, for this reason air transportation is often used (("How Transportation Costs Affect
Fresh Fruit and Vegetable Prices" USDA, 2013 &amp; "Greece Asparagus Voluntary" USDA, 2005). Only fresh asparagus production is included as considered the only product requiring air transportation. Air transportation is assumed for all European countries listed above and for Australia. The distance from Peru to the US was estimated as the distance between Lima and Miami ("ASPARAGUS FAX REPORT" USDA, 2006); for the other countries no specific city was indicated so the distance was calculated from capital city to capital city. The resulting distances are of 4128.36 km to Miami, 10513.81 km to Amsterdam, 10149.09 km to London, 9489.72 km to Madrid and 12879.09 km to Canberra. Moreover Greece is the main supplier of asparagus on the European market, supplying 15932 tons to Germany, 2156 tons to the Netherlands, 712 tons to France, 188 tons to Switzerland, 129 tons to Spain and 139 tons to other EU countries ("Greece Asparagus Voluntary" USDA, 2005). The distance is once again estimated from capital city to capital city; 1853.8 km to Berlin, 2225.64 km to Amsterdam, 2125.52 km to Paris, 1679.88 km to Bern, 2400.83 km to Madrid and for the other countries an average of 1755.035 km was calculated. The average was taken from the average distance between Athens and London, and Athens and Rome; this because UK and Italy are the next two countries with the highest imports of Asparagus from Greece and the average is considered as a good proxy for distances in Europe. All distances between cities have been taken from http://www.worldatlas.com/travelaids/flight_distance.htm.</t>
  </si>
  <si>
    <t>market for transport, freight, inland waterways, barge | transport, freight, inland waterways, barge | APOS, U</t>
  </si>
  <si>
    <t>transport, freight, inland waterways, barge | transport, freight, inland waterways, barge | APOS, U</t>
  </si>
  <si>
    <t>transport, freight, inland waterways, barge tanker</t>
  </si>
  <si>
    <t>market for transport, freight, inland waterways, barge tanker | transport, freight, inland waterways, barge tanker | APOS, U</t>
  </si>
  <si>
    <t>transport, freight, inland waterways, barge with reefer, cooling</t>
  </si>
  <si>
    <t>market for transport, freight, inland waterways, barge with reefer, cooling | transport, freight, inland waterways, barge with reefer, cooling | APOS, U</t>
  </si>
  <si>
    <t>transport, freight, light commercial vehicle</t>
  </si>
  <si>
    <t>market for transport, freight, light commercial vehicle | transport, freight, light commercial vehicle | APOS, U</t>
  </si>
  <si>
    <t>Estimated value. This figure have been taken from the CA (Quebec) dataset. This vehicle use corresponds to maintenance and operation services related to the operation of the whole company. Transports have been distributed among different activities (electricity production, transport and distribution) according to their respective use of these transports and, when the exact distribution was not available, according to the relative expenses of each activity.</t>
  </si>
  <si>
    <t>Estimated value. Measured/calculated value for Quebec is extrapolated for GLO. This vehicle use corresponds to maintenance and operation services related to the operation of the whole company. Transports have been distributed among different activities (electricity production, transport and distribution) according to their respective use of these transports and, when the exact distribution was not available, according to the relative expenses of each activity.</t>
  </si>
  <si>
    <t>market group for transport, freight, light commercial vehicle | transport, freight, light commercial vehicle | APOS, U</t>
  </si>
  <si>
    <t>transport, freight, lorry 16-32 metric ton, EURO3</t>
  </si>
  <si>
    <t>market for transport, freight, lorry 16-32 metric ton, EURO3 | transport, freight, lorry 16-32 metric ton, EURO3 | APOS, U</t>
  </si>
  <si>
    <t>Inbound transport of materials to sites. Amount and activity link based on primary data collected from participating companies.</t>
  </si>
  <si>
    <t>transport, freight, lorry 16-32 metric ton, EURO4</t>
  </si>
  <si>
    <t>market for transport, freight, lorry 16-32 metric ton, EURO4 | transport, freight, lorry 16-32 metric ton, EURO4 | APOS, U</t>
  </si>
  <si>
    <t>transport, freight, lorry 16-32 metric ton, EURO5</t>
  </si>
  <si>
    <t>transport, freight, lorry 16-32 metric ton, EURO5 | transport, freight, lorry 16-32 metric ton, EURO5 | APOS, U</t>
  </si>
  <si>
    <t>market for transport, freight, lorry 16-32 metric ton, EURO5 | transport, freight, lorry 16-32 metric ton, EURO5 | APOS, U</t>
  </si>
  <si>
    <t>transport, freight, lorry 3.5-7.5 metric ton, EURO3</t>
  </si>
  <si>
    <t>market for transport, freight, lorry 3.5-7.5 metric ton, EURO3 | transport, freight, lorry 3.5-7.5 metric ton, EURO3 | APOS, U</t>
  </si>
  <si>
    <t>transport, freight, lorry &gt;32 metric ton, EURO3</t>
  </si>
  <si>
    <t>market for transport, freight, lorry &gt;32 metric ton, EURO3 | transport, freight, lorry &gt;32 metric ton, EURO3 | APOS, U</t>
  </si>
  <si>
    <t>transport, freight, lorry &gt;32 metric ton, EURO5</t>
  </si>
  <si>
    <t>market for transport, freight, lorry &gt;32 metric ton, EURO5 | transport, freight, lorry &gt;32 metric ton, EURO5 | APOS, U</t>
  </si>
  <si>
    <t>transport, freight, lorry with reefer, cooling</t>
  </si>
  <si>
    <t>market for transport, freight, lorry with reefer, cooling | transport, freight, lorry with reefer, cooling | APOS, U</t>
  </si>
  <si>
    <t>Transport distance based on US BTS Commodity Flow Surveys 1993, 1997, 2002, 2007, US Dep. Of Transportation, Bureau of Transportation Statistics. 
It is estimated (based on production volumes), that 90% of the transport by lorry is by big lorries which carry a reefer and 10% by small lorries with build in refrigeration machine.</t>
  </si>
  <si>
    <t>transport, freight, lorry with refrigeration machine, cooling</t>
  </si>
  <si>
    <t>market for transport, freight, lorry with refrigeration machine, cooling | transport, freight, lorry with refrigeration machine, cooling | APOS, U</t>
  </si>
  <si>
    <t>market for transport, freight, lorry, unspecified | transport, freight, lorry, unspecified | APOS, U</t>
  </si>
  <si>
    <t>Transport services to transport incineration residues to landfills.</t>
  </si>
  <si>
    <t>transport, freight, sea, bulk carrier for dry goods</t>
  </si>
  <si>
    <t>market for transport, freight, sea, bulk carrier for dry goods | transport, freight, sea, bulk carrier for dry goods | APOS, U</t>
  </si>
  <si>
    <t>transport, freight, sea, container ship with reefer, cooling</t>
  </si>
  <si>
    <t>market for transport, freight, sea, container ship with reefer, cooling | transport, freight, sea, container ship with reefer, cooling | APOS, U</t>
  </si>
  <si>
    <t>The total marine transport volume differentiated into major commodity groups based on data from FearnResearch (2001): Fearnley's Annual Review 2000. Oslo: Fearnley/AS, p. 1-78. The category 'Other cargo' accounts for 38% of total maritime transport volume and has been distributed on commodity groups based on the proportions in the marine import and export of the US in 2001-2010.</t>
  </si>
  <si>
    <t>transport, freight, sea, tanker for liquid goods other than petroleum and liquefied natural gas</t>
  </si>
  <si>
    <t>market for transport, freight, sea, tanker for liquid goods other than petroleum and liquefied natural gas | transport, freight, sea, tanker for liquid goods other than petroleum and liquefied natural gas | APOS, U</t>
  </si>
  <si>
    <t>The total marine transport volume differentiated into major commodity groups based on data from FearnResearch (2001): Fearnley's Annual Review 2000. Oslo: Fearnley/AS, p. 1-78.</t>
  </si>
  <si>
    <t>transport, freight, sea, tanker for petroleum</t>
  </si>
  <si>
    <t>market for transport, freight, sea, tanker for petroleum | transport, freight, sea, tanker for petroleum | APOS, U</t>
  </si>
  <si>
    <t>transport, freight, train with reefer, cooling</t>
  </si>
  <si>
    <t>market for transport, freight, train with reefer, cooling | transport, freight, train with reefer, cooling | APOS, U</t>
  </si>
  <si>
    <t>transport, helicopter</t>
  </si>
  <si>
    <t>H:Transportation and storage/51:Air transport/511:Passenger air transport/5110:Passenger air transport</t>
  </si>
  <si>
    <t>h</t>
  </si>
  <si>
    <t>market for transport, helicopter | transport, helicopter | APOS, U</t>
  </si>
  <si>
    <t>transport, helicopter, LTO cycle</t>
  </si>
  <si>
    <t>market for transport, helicopter, LTO cycle | transport, helicopter, LTO cycle | APOS, U</t>
  </si>
  <si>
    <t>(2;3;5;1;3)</t>
  </si>
  <si>
    <t>transport, passenger car</t>
  </si>
  <si>
    <t>market for transport, passenger car | transport, passenger car | APOS, U</t>
  </si>
  <si>
    <t>transport, pipeline, onshore, petroleum</t>
  </si>
  <si>
    <t>market for transport, pipeline, onshore, petroleum | transport, pipeline, onshore, petroleum | APOS, U</t>
  </si>
  <si>
    <t>transport, tractor and trailer, agricultural</t>
  </si>
  <si>
    <t>market for transport, tractor and trailer, agricultural | transport, tractor and trailer, agricultural | APOS, U</t>
  </si>
  <si>
    <t>On-farm transport: Yield (in tonnes) multiplied by the average distance from field to farm. The distance was assumed to be 2 km (proxy).</t>
  </si>
  <si>
    <t>trellis system, wooden poles, soft wood, tar impregnated</t>
  </si>
  <si>
    <t>market for trellis system, wooden poles, soft wood, tar impregnated | trellis system, wooden poles, soft wood, tar impregnated | APOS, U</t>
  </si>
  <si>
    <t>(3;1;4;1;3)</t>
  </si>
  <si>
    <t xml:space="preserve">Used to attach trees in orchards with a tree density of more than 500 trees per ha. </t>
  </si>
  <si>
    <t>triazine-compound, unspecified</t>
  </si>
  <si>
    <t>market for triazine-compound, unspecified | triazine-compound, unspecified | APOS, U</t>
  </si>
  <si>
    <t>triethylene glycol</t>
  </si>
  <si>
    <t>market for triethylene glycol | triethylene glycol | APOS, U</t>
  </si>
  <si>
    <t>trimethylamine</t>
  </si>
  <si>
    <t>market for trimethylamine | trimethylamine | APOS, U</t>
  </si>
  <si>
    <t>Value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and 0.02 kg of samarium-europium-gadolinium oxide.  Proxy for Alamine 336.</t>
  </si>
  <si>
    <t>triphenyl phosphate</t>
  </si>
  <si>
    <t>market for triphenyl phosphate | triphenyl phosphate | APOS, U</t>
  </si>
  <si>
    <t>(2;2;2;1;4)</t>
  </si>
  <si>
    <t>trisodium phosphate</t>
  </si>
  <si>
    <t>market for trisodium phosphate | trisodium phosphate | APOS, U</t>
  </si>
  <si>
    <t>Used herein place of phosphating agent, degreaser and surface conditioning agent. In terms of outputs assumed to have gone to wastewater. Data from Yuan et al. 2016.</t>
  </si>
  <si>
    <t>tube insulation factory</t>
  </si>
  <si>
    <t>tube insulation factory construction | tube insulation factory | APOS, U</t>
  </si>
  <si>
    <t>market for tube insulation factory | tube insulation factory | APOS, U</t>
  </si>
  <si>
    <t>tungsten concentrate</t>
  </si>
  <si>
    <t>market for tungsten concentrate | tungsten concentrate | APOS, U</t>
  </si>
  <si>
    <t>Ulexite, in ground</t>
  </si>
  <si>
    <t>uranium enrichment centrifuge facility</t>
  </si>
  <si>
    <t>uranium enrichment centrifuge facility construction | uranium enrichment centrifuge facility | APOS, U</t>
  </si>
  <si>
    <t>market for uranium enrichment centrifuge facility | uranium enrichment centrifuge facility | APOS, U</t>
  </si>
  <si>
    <t>uranium hexafluoride</t>
  </si>
  <si>
    <t>market for uranium hexafluoride | uranium hexafluoride | APOS, U</t>
  </si>
  <si>
    <t>Estimated value. Measured/calculated value for Quebec is extrapolated for GLO.
As CANDU reactors use natural uranium (unenriched UO2) but no data were collected for UO2 production (impurities removal from yellowcake, refining to UO3 and conversion to UO2) uranium hexafluoride is used as proxy (UO3 is used to produce both UO2 and UF6).</t>
  </si>
  <si>
    <t>uranium, enriched 3.8%, in fuel element for light water reactor</t>
  </si>
  <si>
    <t>market for uranium, enriched 3.8%, in fuel element for light water reactor | uranium, enriched 3.8%, in fuel element for light water reactor | APOS, U</t>
  </si>
  <si>
    <t>Uranium, in ground</t>
  </si>
  <si>
    <t>The exchange has been updated from "urea, as N" into "urea" and therefore its amount has been scaled (multiplied) from 0 kg by 2.1438 kg of "urea" per kg of "urea, as N". Original comment of the exchange is: Amount based on primary data collected from participating companies.</t>
  </si>
  <si>
    <t>urea formaldehyde resin</t>
  </si>
  <si>
    <t>market for urea formaldehyde resin | urea formaldehyde resin | APOS, U</t>
  </si>
  <si>
    <t>vacuum cleaner</t>
  </si>
  <si>
    <t>market for vacuum cleaner | vacuum cleaner | APOS, U</t>
  </si>
  <si>
    <t xml:space="preserve">Estimated value. No data on the number of vacuum cleaners in use was provided by the case study hotel. Hence, data from the upmarket hotel, Peru, was used as proxy. According to the upmarket hotel, Peru, 1 vacuum cleaner is required to clean 2 hotel floors. Given the case study hotel has 9 floors, the number of vacuum cleaners in use was estimated as 9/2=4.5, rounded to 4 vacuum cleaners. The amount of exchange is calculated as: amount of input product * (lifetime of the hotel/lifetime of the product) / (number of guests during the lifetime of the hotel * hotel occupancy rate). Assumed average service life of a vacuum cleaner is 8 years. Source: Gallego-Schmid et al. 2016. Life cycle environmental impacts of vacuum cleaners and the effects of European regulation. Science of the Total Environment, 559, 192-203.  </t>
  </si>
  <si>
    <t>Vanadium, in ground</t>
  </si>
  <si>
    <t>vanilla</t>
  </si>
  <si>
    <t>vanilla production | vanilla | APOS, U</t>
  </si>
  <si>
    <t>market for vanilla | vanilla | APOS, U</t>
  </si>
  <si>
    <t>vegetable oil, refined</t>
  </si>
  <si>
    <t>market for vegetable oil, refined | vegetable oil, refined | APOS, U</t>
  </si>
  <si>
    <t>ventilation control and wiring, central unit</t>
  </si>
  <si>
    <t>C:Manufacturing/26:Manufacture of computer, electronic and optical products/265:Manufacture of measuring, testing, navigating and control equipment; watches and clocks/2651:Manufacture of measuring, testing, navigating and control equipment</t>
  </si>
  <si>
    <t>market for ventilation control and wiring, central unit | ventilation control and wiring, central unit | APOS, U</t>
  </si>
  <si>
    <t>ventilation control and wiring, decentralized unit</t>
  </si>
  <si>
    <t>market for ventilation control and wiring, decentralized unit | ventilation control and wiring, decentralized unit | APOS, U</t>
  </si>
  <si>
    <t>ventilation duct, connection piece, steel, 100x50 mm</t>
  </si>
  <si>
    <t>market for ventilation duct, connection piece, steel, 100x50 mm | ventilation duct, connection piece, steel, 100x50 mm | APOS, U</t>
  </si>
  <si>
    <t>ventilation duct, elbow 90°, steel, 100x50 mm</t>
  </si>
  <si>
    <t>market for ventilation duct, elbow 90°, steel, 100x50 mm | ventilation duct, elbow 90°, steel, 100x50 mm | APOS, U</t>
  </si>
  <si>
    <t>ventilation duct, steel, 100x50 mm</t>
  </si>
  <si>
    <t>market for ventilation duct, steel, 100x50 mm | ventilation duct, steel, 100x50 mm | APOS, U</t>
  </si>
  <si>
    <t>ventilation system, central, 1 x 720 m3/h, polyethylene ducts, with earth tube heat exchanger</t>
  </si>
  <si>
    <t>F:Construction/43:Specialized construction activities/432:Electrical, plumbing and other construction installation activities/4322:Plumbing, heat and air-conditioning installation</t>
  </si>
  <si>
    <t>ventilation system production, central, 1 x 720 m3/h, polyethylene ducts, with earth tube heat exchanger | ventilation system, central, 1 x 720 m3/h, polyethylene ducts, with earth tube heat exchanger | APOS, U</t>
  </si>
  <si>
    <t>market for ventilation system, central, 1 x 720 m3/h, polyethylene ducts, with earth tube heat exchanger | ventilation system, central, 1 x 720 m3/h, polyethylene ducts, with earth tube heat exchanger | APOS, U</t>
  </si>
  <si>
    <t>ventilation system, central, 1 x 720 m3/h, steel ducts, with earth tube heat exchanger</t>
  </si>
  <si>
    <t>market for ventilation system, central, 1 x 720 m3/h, steel ducts, with earth tube heat exchanger | ventilation system, central, 1 x 720 m3/h, steel ducts, with earth tube heat exchanger | APOS, U</t>
  </si>
  <si>
    <t>ventilation system production, central, 1 x 720 m3/h, steel ducts, with earth tube heat exchanger | ventilation system, central, 1 x 720 m3/h, steel ducts, with earth tube heat exchanger | APOS, U</t>
  </si>
  <si>
    <t>ventilation system, decentralized, 6 x 120 m3/h, polyethylene ducts</t>
  </si>
  <si>
    <t>ventilation system production, decentralized, 6 x 120 m3/h, polyethylene ducts | ventilation system, decentralized, 6 x 120 m3/h, polyethylene ducts | APOS, U</t>
  </si>
  <si>
    <t>market for ventilation system, decentralized, 6 x 120 m3/h, polyethylene ducts | ventilation system, decentralized, 6 x 120 m3/h, polyethylene ducts | APOS, U</t>
  </si>
  <si>
    <t>ventilation system, decentralized, 6 x 120 m3/h, polyethylene ducts, with earth tube heat exchanger</t>
  </si>
  <si>
    <t>market for ventilation system, decentralized, 6 x 120 m3/h, polyethylene ducts, with earth tube heat exchanger | ventilation system, decentralized, 6 x 120 m3/h, polyethylene ducts, with earth tube heat exchanger | APOS, U</t>
  </si>
  <si>
    <t>ventilation system production, decentralized, 6 x 120 m3/h, polyethylene ducts, with earth tube heat exchanger | ventilation system, decentralized, 6 x 120 m3/h, polyethylene ducts, with earth tube heat exchanger | APOS, U</t>
  </si>
  <si>
    <t>ventilation system, decentralized, 6 x 120 m3/h, steel ducts</t>
  </si>
  <si>
    <t>ventilation system production, decentralized, 6 x 120 m3/h, steel ducts | ventilation system, decentralized, 6 x 120 m3/h, steel ducts | APOS, U</t>
  </si>
  <si>
    <t>market for ventilation system, decentralized, 6 x 120 m3/h, steel ducts | ventilation system, decentralized, 6 x 120 m3/h, steel ducts | APOS, U</t>
  </si>
  <si>
    <t>ventilation system, decentralized, 6 x 120 m3/h, steel ducts, with earth tube heat exchanger</t>
  </si>
  <si>
    <t>ventilation system production, decentralized, 6 x 120 m3/h, steel ducts, with earth tube heat exchanger | ventilation system, decentralized, 6 x 120 m3/h, steel ducts, with earth tube heat exchanger | APOS, U</t>
  </si>
  <si>
    <t>market for ventilation system, decentralized, 6 x 120 m3/h, steel ducts, with earth tube heat exchanger | ventilation system, decentralized, 6 x 120 m3/h, steel ducts, with earth tube heat exchanger | APOS, U</t>
  </si>
  <si>
    <t>3,4,1,1,1,nA; Questionnaire, Data related to building considered</t>
  </si>
  <si>
    <t>vinyl acetate</t>
  </si>
  <si>
    <t>market for vinyl acetate | vinyl acetate | APOS, U</t>
  </si>
  <si>
    <t>vinyl chloride</t>
  </si>
  <si>
    <t>market for vinyl chloride | vinyl chloride | APOS, U</t>
  </si>
  <si>
    <t>wafer factory</t>
  </si>
  <si>
    <t>market for wafer factory | wafer factory | APOS, U</t>
  </si>
  <si>
    <t>washing machine</t>
  </si>
  <si>
    <t>market for washing machine | washing machine | APOS, U</t>
  </si>
  <si>
    <t>Calculated value. Assumed average service life of a washing machine is 10 years. Source: Yuan et al. 2016. Life cycle assessment of horizontal-axis washing machines in China. Int J Life Cycle Assess, 21, 15-28</t>
  </si>
  <si>
    <t>washing, drying and finishing laundry</t>
  </si>
  <si>
    <t>S:Other service activities/96:Other personal service activities/960:Other personal service activities/9601:Washing and (dry-) cleaning of textile and fur products</t>
  </si>
  <si>
    <t>market for washing, drying and finishing laundry | washing, drying and finishing laundry | APOS, U</t>
  </si>
  <si>
    <t>(2;4;2;5;4)</t>
  </si>
  <si>
    <t xml:space="preserve">Calculated value from the total number of linen unitsper guests per night. The amount of exchange is calculated as: amount of input product per year * (lifetime of the hotel) / (number of guests during the lifetime of the hotel * hotel occupancy rate).  It is assumed that, on average, 4 linen units make 1 kg in weight. Source: Filimonau et al. 2011. Reviewing the carbon footprint analysis of hotels: Life Cycle Energy Analysis (LCEA) as a holistic method for carbon impact appraisal of tourist accommodation. Journal of Cleaner Production, 19, 1917-1930. </t>
  </si>
  <si>
    <t>waste paperboard, sorted</t>
  </si>
  <si>
    <t>market for waste paperboard, sorted | waste paperboard, sorted | APOS, U</t>
  </si>
  <si>
    <t>Due to reporting issues resulting in a fibre-inbalance in the FEFCO 2015 data, this amount is based on the FEFCO 2012 LCI study. FEFCO 2012 reports an input of 1.01t pulpwood per t of product and 0.1t of recovered paper. (FEFCO 2015 reported as Recovered Paper "Mixed Grades" (7kg), "Corrugated and Kraft, pre-consumer" (35kg) and Corrugated and Kraft, post-consumer (46kg). Average dry mass 0.804kgdry mass/kg.)</t>
  </si>
  <si>
    <t>waste polyethylene terephthalate, for recycling, sorted</t>
  </si>
  <si>
    <t>market for waste polyethylene terephthalate, for recycling, sorted | waste polyethylene terephthalate, for recycling, sorted | APOS, U</t>
  </si>
  <si>
    <t>(1;1;3;5;1)</t>
  </si>
  <si>
    <t>waste polyethylene, for recycling, sorted</t>
  </si>
  <si>
    <t>market for waste polyethylene, for recycling, sorted | waste polyethylene, for recycling, sorted | APOS, U</t>
  </si>
  <si>
    <t>waste preparation facility</t>
  </si>
  <si>
    <t>market for waste preparation facility | waste preparation facility | APOS, U</t>
  </si>
  <si>
    <t>(4;3;5;5;5)</t>
  </si>
  <si>
    <t>waste preparation facility construction | waste preparation facility | APOS, U</t>
  </si>
  <si>
    <t>(4;1;5;1;5)</t>
  </si>
  <si>
    <t>wastewater treatment facility, capacity 1.6E8l/year</t>
  </si>
  <si>
    <t>market for wastewater treatment facility, capacity 1.6E8l/year | wastewater treatment facility, capacity 1.6E8l/year | APOS, U</t>
  </si>
  <si>
    <t>wastewater treatment facility construction, capacity 1.6E8l/year | wastewater treatment facility, capacity 1.6E8l/year | APOS, U</t>
  </si>
  <si>
    <t>Literature value.</t>
  </si>
  <si>
    <t>water works, capacity 6.23E10l/year</t>
  </si>
  <si>
    <t>water works construction, capacity 6.23E10l/year, seawater reverse osmosis, ultrafiltration pretreatment | water works, capacity 6.23E10l/year | APOS, U</t>
  </si>
  <si>
    <t>Calculated value. Based on water works capacity and lifetime. Share of infrastructure attributed to the prodction of 1 kg of drinking water is estimated by dividing the 1 unit of drinking water plant by the total estimated amount of water this plant will produce.</t>
  </si>
  <si>
    <t>water, completely softened</t>
  </si>
  <si>
    <t>water production, completely softened | water, completely softened | APOS, U</t>
  </si>
  <si>
    <t>activity link set as location of plant is known</t>
  </si>
  <si>
    <t>market for water, completely softened | water, completely softened | APOS, U</t>
  </si>
  <si>
    <t>Soft water for process</t>
  </si>
  <si>
    <t>Water, cooling, unspecified natural origin, RER</t>
  </si>
  <si>
    <t>Literature value/estimation.</t>
  </si>
  <si>
    <t>Incinerator process water used in flue gas scrubber stage.</t>
  </si>
  <si>
    <t>Estimated average net electricity production per year: 7.78E9 kWh/y (Tab. 9.3, p. 166)
Water use in BWR see Tab. 9.17 p.196 in Dones et al. - decarbonised water use (700 kg/s)
own estimation. 
It is estimated that all decarbonised water in the mentioned table is evaporated.
In contrast to the literature reference and the datasets in ecoinvent version 2, this dataset only takes into account real water use, i.e. the water which is evaporated during the cooling process.</t>
  </si>
  <si>
    <t>own estimation</t>
  </si>
  <si>
    <t>Water, in air</t>
  </si>
  <si>
    <t>(3;2;3;1;1)</t>
  </si>
  <si>
    <t>Calculated value. The values reported from the sustainability reports from Argos and Cemex from 2016 are used to extrapolate the average water withdrawal for cement and clinker production. The shares are calculated as following: surface water (67%), ground water (11%), tap water (9%), rain water (6%) and waste water (7%).</t>
  </si>
  <si>
    <t>Water, lake, RER</t>
  </si>
  <si>
    <t>Water, river, RER</t>
  </si>
  <si>
    <t>Calculated value. Based on ratio of raw water intake and permeate of Fujairah-1 seawater reverse osmosis plant (Al-sarkal, T. et al. 2013).</t>
  </si>
  <si>
    <t>Water, salt, sole</t>
  </si>
  <si>
    <t>(2;1;1;1;1)</t>
  </si>
  <si>
    <t xml:space="preserve">Water discharged. Total amount of produced water obtained from national statistics (anp.gov.br/dados-estatisticos). 
Discharged fraction calculated with standard parameters from Schori (2012).
References:
[ANP 2020] 
Agência Nacional do Petróleo, Gás Natural e Biocombustíveis. Satatistical data. Available at: anp.gov.br/dados-estatisticos
[Schori 2012]
Schori, S., Frischknecht, R. (2012). Life Cycle Inventory of Natural Gas Supply. ESU-services Ltd.
</t>
  </si>
  <si>
    <t>water, ultrapure</t>
  </si>
  <si>
    <t>market for water, ultrapure | water, ultrapure | APOS, U</t>
  </si>
  <si>
    <t>Water, unspecified natural origin, RER</t>
  </si>
  <si>
    <t>Reported as water (cooling)</t>
  </si>
  <si>
    <t>Literature data or expert estimate: water for depulping</t>
  </si>
  <si>
    <t>Measured value. Wax for casting mold. Includes many different types of wax.</t>
  </si>
  <si>
    <t>welding, arc, aluminium</t>
  </si>
  <si>
    <t>market for welding, arc, aluminium | welding, arc, aluminium | APOS, U</t>
  </si>
  <si>
    <t>welding, arc, steel</t>
  </si>
  <si>
    <t>market for welding, arc, steel | welding, arc, steel | APOS, U</t>
  </si>
  <si>
    <t>welding, gas, steel</t>
  </si>
  <si>
    <t>market for welding, gas, steel | welding, gas, steel | APOS, U</t>
  </si>
  <si>
    <t>Welding gas usage from Harish &amp; Sunil (2014) per tonne steel, ratioed with "welding, arc, steel" dataset consumption of 0.028 kg gas per m (equating CO2 with total blanket gas). Ship lightweight mass calculated from IHSF data, Papanikolaou (2014) data and Anink &amp; Krikke (2011).</t>
  </si>
  <si>
    <t>wheat grain</t>
  </si>
  <si>
    <t>market for wheat grain | wheat grain | APOS, U</t>
  </si>
  <si>
    <t>Calculated Value. Ingredient used in the yogurt production.  Approximation for cereals, nuts, cofee or others ingredients used in preparation.</t>
  </si>
  <si>
    <t>whey</t>
  </si>
  <si>
    <t>C:Manufacturing/10:Manufacture of food products/103:Processing and preserving of fruit and vegetables/1030:Processing and preserving of fruit and vegetables</t>
  </si>
  <si>
    <t>market for whey | whey | APOS, U</t>
  </si>
  <si>
    <t>Calculated Value. Ingredient used in the yogurt production. Approximation for whey (dry) and ferments.</t>
  </si>
  <si>
    <t>white asparagus</t>
  </si>
  <si>
    <t>market for white asparagus | white asparagus | APOS, U</t>
  </si>
  <si>
    <t>white asparagus production | white asparagus | APOS, U</t>
  </si>
  <si>
    <t>white spirit</t>
  </si>
  <si>
    <t>market for white spirit | white spirit | APOS, U</t>
  </si>
  <si>
    <t>(3;3;4;3;1)</t>
  </si>
  <si>
    <t>Calculate value: Average value for different petrol based cleaners of three companies. Only a portion is relied to the use of white spirit itself, the data set ist used also as estimate for the production of other petrol based mixtures. Except for mixtures containing VOCs with high boiling point all VOCs are assumed to be emitted to air. The less volatil content with high boiling VOCs is assumed to be delivered to a professional treatment. Heptan emissions represent emissions from white spirit. Methanol and Propylene oxide emissions represent the Methoxypropanol content and Toluol, Xylene and Ethylbenzol the content of solvent naphtha in furhter used mixtures.</t>
  </si>
  <si>
    <t>willow stem cutting, for planting</t>
  </si>
  <si>
    <t>market for willow stem cutting, for planting | willow stem cutting, for planting | APOS, U</t>
  </si>
  <si>
    <t>13500 pcs/ha.</t>
  </si>
  <si>
    <t>willow stem cutting production, for planting | willow stem cutting, for planting | APOS, U</t>
  </si>
  <si>
    <t>13500 pcs/ha.;activityLink introduced to establish a direct link to the corresponding regional supply of this product</t>
  </si>
  <si>
    <t>window frame, aluminium, U=1.6 W/m2K</t>
  </si>
  <si>
    <t>market for window frame, aluminium, U=1.6 W/m2K | window frame, aluminium, U=1.6 W/m2K | APOS, U</t>
  </si>
  <si>
    <t xml:space="preserve">Calculated value. The amount of exchange is calculated as: amount of input product * (lifetime of the hotel / lifetime of the product). Assumed service life of 35 years. Source: Asif et al. 2002. LIFE CYCLE OF WINDOW MATERIALS - A COMPARATIVE ASSESSMENT. Available from: http://ohp.parks.ca.gov/pages/1054/files/uk%20window%20frame%20lca.pdf Accessed 16 March 2018. </t>
  </si>
  <si>
    <t>window frame, wood, U=1.5 W/m2K</t>
  </si>
  <si>
    <t>market for window frame, wood, U=1.5 W/m2K | window frame, wood, U=1.5 W/m2K | APOS, U</t>
  </si>
  <si>
    <t>window frame, wood-metal, U=1.6 W/m2K</t>
  </si>
  <si>
    <t>market for window frame, wood-metal, U=1.6 W/m2K | window frame, wood-metal, U=1.6 W/m2K | APOS, U</t>
  </si>
  <si>
    <t xml:space="preserve">Calculated value. The amount of exchange is calculated as: amount of input product * (lifetime of the hotel / lifetime of the product). Assumed service life of 35 years. Source: Asif et al. 2002. LIFE CYCLE OF WINDOW MATERIALS - A COMPARATIVE ASSESSMENT. Available from: http://ohp.parks.ca.gov/pages/1054/files/uk%20window%20frame%20lca.pdf Accessed 16 March 2018. In terms of outputs assumed to have gone to used window frame, wood-metal. </t>
  </si>
  <si>
    <t>wire drawing, copper | wire drawing, copper | APOS, U</t>
  </si>
  <si>
    <t>wire drawing, steel</t>
  </si>
  <si>
    <t>wire drawing, steel | wire drawing, steel | APOS, U</t>
  </si>
  <si>
    <t>market for wire drawing, steel | wire drawing, steel | APOS, U</t>
  </si>
  <si>
    <t>(4;5;4;3;4)</t>
  </si>
  <si>
    <t>wood chips, dry, measured as dry mass</t>
  </si>
  <si>
    <t>market for wood chips, dry, measured as dry mass | wood chips, dry, measured as dry mass | APOS, U</t>
  </si>
  <si>
    <t>Data provided by industry (EPIS) 2017. Representing wood chips and lignin powder (scaled with heating value ratio)</t>
  </si>
  <si>
    <t>input of chips from sawmills</t>
  </si>
  <si>
    <t>wood chips, from post-consumer wood, measured as dry mass</t>
  </si>
  <si>
    <t>market for wood chips, from post-consumer wood, measured as dry mass | wood chips, from post-consumer wood, measured as dry mass | APOS, U</t>
  </si>
  <si>
    <t>wood chips, wet, measured as dry mass</t>
  </si>
  <si>
    <t>market for wood chips, wet, measured as dry mass | wood chips, wet, measured as dry mass | APOS, U</t>
  </si>
  <si>
    <t xml:space="preserve">LHV of wood chips: 18.9 MJ/kg (dry mass)
Calculated value. </t>
  </si>
  <si>
    <t>input of wood chips from forestry</t>
  </si>
  <si>
    <t>wood pellet, measured as dry mass</t>
  </si>
  <si>
    <t>market for wood pellet, measured as dry mass | wood pellet, measured as dry mass | APOS, U</t>
  </si>
  <si>
    <t>Data provided by industry (EPIS) 2017, indicated in energy content. Calculation into mass/volume was done by using the following conversion factor: Wood pallets: MJ/kg 16.75. Source: http://www.fao.org/docrep/T0269e/t0269e0c.htm</t>
  </si>
  <si>
    <t>wood preservation, pressure vessel, creosote, outdoor use, ground contact</t>
  </si>
  <si>
    <t>market for wood preservation, pressure vessel, creosote, outdoor use, ground contact | wood preservation, pressure vessel, creosote, outdoor use, ground contact | APOS, U</t>
  </si>
  <si>
    <t>Tar oil used for impragnation of the wooden poles. Corresponds to 1579 kg/ha related to the life time (20 years).</t>
  </si>
  <si>
    <t>wood preservation, vacuum pressure method, inorganic salt, containing Cr, outdoor use, ground contact</t>
  </si>
  <si>
    <t>market for wood preservation, vacuum pressure method, inorganic salt, containing Cr, outdoor use, ground contact | wood preservation, vacuum pressure method, inorganic salt, containing Cr, outdoor use, ground contact | APOS, U</t>
  </si>
  <si>
    <t>Literature and estimations</t>
  </si>
  <si>
    <t>wood preservation, vacuum pressure method, organic salts, Cr-free, outdoor use, ground contact</t>
  </si>
  <si>
    <t>market for wood preservation, vacuum pressure method, organic salts, Cr-free, outdoor use, ground contact | wood preservation, vacuum pressure method, organic salts, Cr-free, outdoor use, ground contact | APOS, U</t>
  </si>
  <si>
    <t>wood preservative, inorganic salt, containing Cr</t>
  </si>
  <si>
    <t>market for wood preservative, inorganic salt, containing Cr | wood preservative, inorganic salt, containing Cr | APOS, U</t>
  </si>
  <si>
    <t>Wood, unspecified, standing</t>
  </si>
  <si>
    <t>wooden board factory, organic bonded boards</t>
  </si>
  <si>
    <t>wooden board factory construction, organic bonded boards | wooden board factory, organic bonded boards | APOS, U</t>
  </si>
  <si>
    <t>Default value from ecoinvent 2.2</t>
  </si>
  <si>
    <t>market for wooden board factory, organic bonded boards | wooden board factory, organic bonded boards | APOS, U</t>
  </si>
  <si>
    <t>xenon, gaseous</t>
  </si>
  <si>
    <t>market for xenon, gaseous | xenon, gaseous | APOS, U</t>
  </si>
  <si>
    <t>(5;2;5;3;1)</t>
  </si>
  <si>
    <t>Xenon filling of the tube, 1bar, own calculation</t>
  </si>
  <si>
    <t>(5;2;5;5;1)</t>
  </si>
  <si>
    <t>xylene</t>
  </si>
  <si>
    <t>market for xylene | xylene | APOS, U</t>
  </si>
  <si>
    <t>yarn, cotton</t>
  </si>
  <si>
    <t>C:Manufacturing/13:Manufacture of textiles/131:Spinning, weaving and finishing of textiles/1311:Preparation and spinning of textile fibres</t>
  </si>
  <si>
    <t>market for yarn, cotton | yarn, cotton | APOS, U</t>
  </si>
  <si>
    <t>Input of raw material that is transformed into textile.</t>
  </si>
  <si>
    <t>Reported as "alloying metal", 83.3% assumed to be zinc in Althaus (2009)</t>
  </si>
  <si>
    <t>zinc coating, coils | zinc coat, coils | APOS, U</t>
  </si>
  <si>
    <t>Literature data and primary data from French manufacturers (Boulard et al, 2011). Poles and trellis for the greenhouse structure.</t>
  </si>
  <si>
    <t>zinc coat, pieces</t>
  </si>
  <si>
    <t>market for zinc coat, pieces | zinc coat, pieces | APOS, U</t>
  </si>
  <si>
    <t>Calculated value based on estimates.
The dimentions of the genset are approximatelly 2.4*1*0.7m.</t>
  </si>
  <si>
    <t>zinc coat, pieces, adjustment per micro-m</t>
  </si>
  <si>
    <t>market for zinc coat, pieces, adjustment per micro-m | zinc coat, pieces, adjustment per micro-m | APOS, U</t>
  </si>
  <si>
    <t>zinc monosulfate</t>
  </si>
  <si>
    <t>market for zinc monosulfate | zinc monosulfate | APOS, U</t>
  </si>
  <si>
    <t>zinc oxide</t>
  </si>
  <si>
    <t>market for zinc oxide | zinc oxide | APOS, U</t>
  </si>
  <si>
    <t>Zinc, in ground</t>
  </si>
  <si>
    <t>Proxy for ZrO2 (Zircon ZrSiO4). Calculated value. Based on Zr content of different ceramic ingredients used to make ceramic casting mold.</t>
  </si>
  <si>
    <t>zucchini</t>
  </si>
  <si>
    <t>market for zucchini | zucchini | APOS, U</t>
  </si>
  <si>
    <t>zucchini production | zucchini | APOS, U</t>
  </si>
  <si>
    <t>2-Propanol</t>
  </si>
  <si>
    <t>Calculated value: average from three companies calculated from the mass balance of solvent consumption and solvent recovery for recycling.</t>
  </si>
  <si>
    <t>4-Methyl-2-pentanol</t>
  </si>
  <si>
    <t>4-Methyl-2-pentanone</t>
  </si>
  <si>
    <t>Acetaldehyde</t>
  </si>
  <si>
    <t>Emission factor from DS "Heat, district or industrial, other than natural gas {CH}| heat production, wood chips from industry, at furnace 1000kW | Cut-off, U" on heat generation from industrial residual wood per MJ, multiplied by the input of wood fuel (direct wood fuel plus production residues ) scaled to reflect wood input per generated heat plus estimated emissions from wood and glue drying processes (based on Albrecht et al. 2009).</t>
  </si>
  <si>
    <t>Emission factor from DS 'Heat, district or industrial, other than natural gas {CH}| heat production, wood chips from industry, at furnace 1000kW | Cut-off, U' on heat generation from industrial residual wood per MJ, multiplied by the input of wood fuel (direct wood fuel plus production residues ) scaled to reflect wood input per generated heat plus estimated emissions from wood and glue drying processes (based on Albrecht et al. 2009).</t>
  </si>
  <si>
    <t>Acetic acid</t>
  </si>
  <si>
    <t>(3;3;3;1;3)</t>
  </si>
  <si>
    <t>Estimation based on fuel input data and emission factors from corresponding fuel combustion ecoinvent datasets. Note(1): Within the process, energy is recovered through the burning of black liquor (4.96GJ/tonne) and bark (3.13GJ/tonne) from the wood. This inherent energy makes up a large part of this process’ energy supply. As it is supplied from within the system boundaries, it does not have a corresponding input exchange. Emissions from the combustion of the internally generated biomass (bark) is approximated with the combustion of wood chips. No comprehensive data for the emissions from the balck liquor recovery process were available. The approximation of this rather complex recovery process with biomass combustion is inappropriate. Therefore emissions from the recovery process are only reflected in the key emission values (particulates, CO2, CO, NOx, Sox, H2S) reported by FEFCO (2015) but not with a complete emission profile. This constitutes a data gap.  Note(2): emissions from peat combustion were approximated with those of lignite combustion, LPG with natural gas combustion and diesel with LFO combustion.</t>
  </si>
  <si>
    <t>(2;5;3;1;4)</t>
  </si>
  <si>
    <t>Acidity, unspecified</t>
  </si>
  <si>
    <t>Aerosols, radioactive, unspecified</t>
  </si>
  <si>
    <t>Aldehydes, unspecified</t>
  </si>
  <si>
    <t>Emission to air from waste composition and transfer coefficients.</t>
  </si>
  <si>
    <t>Estimation 85% utilisation of anode</t>
  </si>
  <si>
    <t>Production waste. Waste factors taken from F. Habermacher 2011.</t>
  </si>
  <si>
    <t>aluminium scrap, post-consumer</t>
  </si>
  <si>
    <t>market for aluminium scrap, post-consumer | aluminium scrap, post-consumer | APOS, U</t>
  </si>
  <si>
    <t>Waste generated through dismantling of the compressor. Based on the amount of the corresponding material inputs. For aluminium and steel a 90% recycling rate was assumed.</t>
  </si>
  <si>
    <t>aluminium scrap, post-consumer, prepared for melting</t>
  </si>
  <si>
    <t>market for aluminium scrap, post-consumer, prepared for melting | aluminium scrap, post-consumer, prepared for melting | APOS, U</t>
  </si>
  <si>
    <t>(2;5;5;1;1)</t>
  </si>
  <si>
    <t>Elementary flows/Emission to soil/industrial</t>
  </si>
  <si>
    <t>Nitrogen species emitted to air after DeNOx stage.</t>
  </si>
  <si>
    <t>Estimated value. Kilograms emitted per m3 of natural gas dried. It is assumed that all the gas is dried. Data from ecoinvent 2.0 dataset (drying, natural gas)</t>
  </si>
  <si>
    <t>Aniline</t>
  </si>
  <si>
    <t>Caluclated as weighted average of regional datasets of the same activityName and scaled to 1000kg of reference product. Regional datasets: treatment of recovered paper to linerboard, testliner, RER, 2009-2015, ecoinvent v3.5, weight 0.9591; treatment of recovered paper to linerboard, testliner, CA-QC, 2008-2008, ecoinvent v3.4, accessed 22.02.2018, weight 0.04086</t>
  </si>
  <si>
    <t>Antimony-122</t>
  </si>
  <si>
    <t>Estimated value. Value extrapolated from a different PWR technology.</t>
  </si>
  <si>
    <t>Antimony-124</t>
  </si>
  <si>
    <t>Antimony-125</t>
  </si>
  <si>
    <t>Extrapolation for sum parameter</t>
  </si>
  <si>
    <t>Argon-41</t>
  </si>
  <si>
    <t>Operator data. Weighted radioactive emissions into air of Swiss nuclear power plants 1995-2002 (Weighting with net electricity production).</t>
  </si>
  <si>
    <t>Elementary flows/Emission to soil/unspecified</t>
  </si>
  <si>
    <t>ash from deinking sludge</t>
  </si>
  <si>
    <t>market for ash from deinking sludge | ash from deinking sludge | APOS, U</t>
  </si>
  <si>
    <t>ash from paper production sludge</t>
  </si>
  <si>
    <t>treatment of ash from paper production sludge, residual material landfill | ash from paper production sludge | APOS, U</t>
  </si>
  <si>
    <t>Average data from four European producers of SUB/SSB, weighted according to production volumes. Represents 10% of the ash generated, the remaining quantity is described as being used for soil reconditioning or by other industries in the production of other products.</t>
  </si>
  <si>
    <t>market for ash from paper production sludge | ash from paper production sludge | APOS, U</t>
  </si>
  <si>
    <t>Reported as residue, inorganic ashes.</t>
  </si>
  <si>
    <t>average incineration residue</t>
  </si>
  <si>
    <t>market for average incineration residue | average incineration residue | APOS, U</t>
  </si>
  <si>
    <t>Estimated value. Incineration residue from drying process</t>
  </si>
  <si>
    <t>Azoxystrobin</t>
  </si>
  <si>
    <t>Elementary flows/Emission to soil/agricultural</t>
  </si>
  <si>
    <t>Calculated value - 100% emission in soil. See 'WFLDB-Guidelines.pdf', available at https://ecoquery.ecoinvent.org/File/Reports.</t>
  </si>
  <si>
    <t>bagasse, from sugarcane</t>
  </si>
  <si>
    <t>market for bagasse, from sugarcane | bagasse, from sugarcane | APOS, U</t>
  </si>
  <si>
    <t>Surplus bagasse generated in traditional annexed plants in Brazil.</t>
  </si>
  <si>
    <t>bagasse, from sweet sorghum</t>
  </si>
  <si>
    <t>market for bagasse, from sweet sorghum | bagasse, from sweet sorghum | APOS, U</t>
  </si>
  <si>
    <t>Emissions to water from waste composition and transfer coefficients in incinerator and landfills.</t>
  </si>
  <si>
    <t>Barium-140</t>
  </si>
  <si>
    <t>Operator data. Weighted radioactive emissions into water of Swiss nuclear power plants 1995-2002 (Weighting with net electricity production).</t>
  </si>
  <si>
    <t>basic oxygen furnace waste</t>
  </si>
  <si>
    <t>market for basic oxygen furnace waste | basic oxygen furnace waste | APOS, U</t>
  </si>
  <si>
    <t>Incomplete combustion product emitted to air.</t>
  </si>
  <si>
    <t>environmental report for the total Norwegian production, assumption for the break down of BTX. Scaled according to energy content of reference products.</t>
  </si>
  <si>
    <t>Benzene, ethyl-</t>
  </si>
  <si>
    <t>Emission factor from DS 'Heat, district or industrial, other than natural gas {CH}| heat production, wood chips from industry, at furnace 1000kW | Cut-off, U' on heat generation from industrial residual wood per MJ, multiplied by the input of wood fuel (direct wood fuel plus production residues ) scaled to reflect wood input per generated heat.</t>
  </si>
  <si>
    <t>Emission factor from DS "Heat, district or industrial, other than natural gas {CH}| heat production, wood chips from industry, at furnace 1000kW | Cut-off, U" on heat generation from industrial residual wood per MJ, multiplied by the input of wood fuel (direct wood fuel plus production residues ) scaled to reflect wood input per generated heat.</t>
  </si>
  <si>
    <t>Benzene, hexachloro-</t>
  </si>
  <si>
    <t>(3;3;4;5;1)</t>
  </si>
  <si>
    <t>Literature value/calculated value, adapted from the GLO 2008 dataset using the mathematical relation taken from the original dataset and adapted for Argentina with the "efficiency_oil_global/ efficiency_oil_country" parameter. 
For details see comment for parameter 'average efficiency of oil power plants, global'. The efficiency is based on CAMMESA statistics and calculated with own assumptions (see comment on the "efficiency_oi_l country" parameter for more information. 
Source: CAMMESA "COMPAÑÍA ADMINISTRADORA DEL MERCADO MAYORISTA ELÉCTRICO SOCIEDAD ANÓNIMA". Supporting documentation available at: &lt;http://portalweb.cammesa.com/Memnet1/default.aspx&gt; Additional information can be obtained from CAMMESA under request
Child exchanges are put into relation to the parent exchanges by means of average efficiency of oil power plants in the country and global average efficiency of oil power plants.".</t>
  </si>
  <si>
    <t>bilge oil</t>
  </si>
  <si>
    <t>market for bilge oil | bilge oil | APOS, U</t>
  </si>
  <si>
    <t>biowaste</t>
  </si>
  <si>
    <t>market for biowaste | biowaste | APOS, U</t>
  </si>
  <si>
    <t>see parameter; discarded soybeans</t>
  </si>
  <si>
    <t>treatment of biowaste, municipal incineration | biowaste | APOS, U</t>
  </si>
  <si>
    <t>Average data from four European producers of SUB/SSB, weighted according to production volumes. Consists of 0.000192511kg of fibre (primary sludge) and 0.002672kg of biological treatment sludge</t>
  </si>
  <si>
    <t>blast furnace sludge</t>
  </si>
  <si>
    <t>market for blast furnace sludge | blast furnace sludge | APOS, U</t>
  </si>
  <si>
    <t>Calculated as 0.5*COD.</t>
  </si>
  <si>
    <t>Calculated value - Expert estimate for organic matter in waste water (0.5 kg BOD5/kg green coffee). See 'WFLDB-Guidelines.pdf', available at https://ecoquery.ecoinvent.org/File/Reports.</t>
  </si>
  <si>
    <t>estimation - based on respective heating modules</t>
  </si>
  <si>
    <t>Information from LCA on wooden poles</t>
  </si>
  <si>
    <t>(3;4;4;1;1)</t>
  </si>
  <si>
    <t>Calculated value. Mass of ion returned to the ocean with the concentrate as calculated by modeling for seawater reverse osmosis with conventional pretreatment considering single stage baseline 8-inch spiral wound modules using ROSA system design software (Dow Chemical). Note that the impact from emission of concentrate reside mostly in the high ion loaded water and small area of release which individual substance emissions will not be well acounted by impact models.</t>
  </si>
  <si>
    <t>Bromine</t>
  </si>
  <si>
    <t>Butane</t>
  </si>
  <si>
    <t>Comment on mathematicalRelation:
9.23861666667e-07 from Calculated value - Freiermuth (2006). See 'WFLDB-Guidelines.pdf', available at https://ecoquery.ecoinvent.org/File/Reports.
-9.118292e-08 from Crop, default, heavy metals uptake model
Heavy metal uptake can be excluded by setting the parameter heavyMetalUptakeSwitch to zero.</t>
  </si>
  <si>
    <t>Calculated value - Freiermuth (2006). See 'WFLDB-Guidelines.pdf', available at https://ecoquery.ecoinvent.org/File/Reports.</t>
  </si>
  <si>
    <t>Calcium</t>
  </si>
  <si>
    <t>Calculated value. Mass of ion returned to the ocean with the concentrate as calculated by modeling for seawater reverse osmosis with conventional pretreatment considering single stage baseline 8-inch spiral wound modules using ROSA system design software (Dow Chemical) and RWT for recarbonisation. Note that the impact from emission of concentrate reside mostly in the high ion loaded water and small area of release which individual substance emissions will not be well acounted by impact models.</t>
  </si>
  <si>
    <t>Amount and activity link based on primary data collected from participating companies. Accounts for on-site combustion of diesel at mine. Some companies provided emissions on the combustion of natural gas, diesel, propane, or other fuels, which are included here. If no emissions were provided for these other fuels then input is reflected as a an input of heat instead of a direct fuel input.</t>
  </si>
  <si>
    <t>Elementary flows/Emission to air/low population density, long-term</t>
  </si>
  <si>
    <t>Carbon dioxide emission from combustion of LPG on boilers used for the water heat treatment, according to IPCC (2006) Vol.4 - Energy.</t>
  </si>
  <si>
    <t>Carbon dioxide, from soil or biomass stock</t>
  </si>
  <si>
    <t>normal</t>
  </si>
  <si>
    <t>(3;3;5;5;2)</t>
  </si>
  <si>
    <t>Global average LUC emissions according 2nd edition of the Quantis-modified tool developed by Blonk Consultants 'WFLDB-adapted-Blonk 2014 direct-land-use-change-assessment-tool_2015-05-18a.xlsx', tab. 'Country &amp; land use unknown'. The emission are based on the relative change in production areas in all countries for a given crop. The weighted average is used which takes into acount relative difference in crop expansion into primary forest, secondary forest, grassland, perennial and annual land.</t>
  </si>
  <si>
    <t>Carbon monoxide, non-fossil</t>
  </si>
  <si>
    <t>Carbon-14</t>
  </si>
  <si>
    <t>Carbonate</t>
  </si>
  <si>
    <t xml:space="preserve">Emission of carbonate to water from the effluent of the packing house. It was assumed that all products used in washing and other processes are released in the effluent. </t>
  </si>
  <si>
    <t>Carboxylic acids, unspecified</t>
  </si>
  <si>
    <t>environmental report for the total Norwegian production, partly with standard factors. Scaled according to energy content of reference products.</t>
  </si>
  <si>
    <t>Cerium-141</t>
  </si>
  <si>
    <t>Cerium-144</t>
  </si>
  <si>
    <t>Cesium-134</t>
  </si>
  <si>
    <t>Cesium-136</t>
  </si>
  <si>
    <t>Cesium-137</t>
  </si>
  <si>
    <t>Chlorides, unspecified</t>
  </si>
  <si>
    <t>(2;5;3;1;1)</t>
  </si>
  <si>
    <t>This value was taken over from FEFCO 2009 as it is not reported in FEFCO 2015 anymore. In FEFCO 2009 it is qualified as "not representative"  because only a few mills were able to report this figure. Moreover, mills were not able to report substances in the input water, hence this figure represents gross rather than net emissions. The value is a straight average over the reporting mills.</t>
  </si>
  <si>
    <t>Value taken from the critical materials life cycle assessment tool (CMLCAT) of Arshi et al. (2018), provided by F. Zhao from Purdue university (more information on the sampling procedure) and adjusted to correspond to the production of indi-vidual rare earth metals.</t>
  </si>
  <si>
    <t>Chlorothalonil</t>
  </si>
  <si>
    <t>Modelled, see chapter 'Emissions of pesticides to agricultural soil' in "01_crop production_direct field emissions and natural resources_v1.0.pdf" - pdf-document on the dedicated talk page of ecoinvent (www.ecoinvent.org/documentation)</t>
  </si>
  <si>
    <t>Chlorpyrifos methyl</t>
  </si>
  <si>
    <t>Comment on mathematicalRelation:
-4.8941e-07 from Crop, default, heavy metals uptake model
Heavy metal uptake can be excluded by setting the parameter heavyMetalUptakeSwitch to zero.</t>
  </si>
  <si>
    <t>environmental report for the total Norwegian production, partly with standard factors. Scaled according to amount of produced water.</t>
  </si>
  <si>
    <t>Chromium-51</t>
  </si>
  <si>
    <t>Chrysene</t>
  </si>
  <si>
    <t>Literature value. This value was taken from the "clinker production, GLO" dataset as it was considered adequate also for this dataset.
Consulted on October 20th 2017</t>
  </si>
  <si>
    <t>coal slurry</t>
  </si>
  <si>
    <t>market for coal slurry | coal slurry | APOS, U</t>
  </si>
  <si>
    <t>Weighted average of reported emissions</t>
  </si>
  <si>
    <t>Cobalt-57</t>
  </si>
  <si>
    <t>Cobalt-58</t>
  </si>
  <si>
    <t>Cobalt-60</t>
  </si>
  <si>
    <t>Data of 1 European plant - reported in Fisher (2006)</t>
  </si>
  <si>
    <t>Calculated value. The amount of COD is assumed to be five times that of BOD5, based on the estimates provided in section 5.9.7 of Weidema et al. (2013).</t>
  </si>
  <si>
    <t>Calculated value - Best estimates: DOC = TOC ; COD (g O2) = 2.7*TOC (g C) and BOD5 = 0.5*COD. See 'WFLDB-Guidelines.pdf', available at https://ecoquery.ecoinvent.org/File/Reports.</t>
  </si>
  <si>
    <t>Comment on mathematicalRelation:
0.00082508446 from Calculated value - Freiermuth (2006). See 'WFLDB-Guidelines.pdf', available at https://ecoquery.ecoinvent.org/File/Reports.
-5.9509562e-06 from Crop, default, heavy metals uptake model
Heavy metal uptake can be excluded by setting the parameter heavyMetalUptakeSwitch to zero.</t>
  </si>
  <si>
    <t>Waste generated through dismantling of the compressor. Based on the amount of the corresponding material inputs.</t>
  </si>
  <si>
    <t>Cyproconazole</t>
  </si>
  <si>
    <t>decommissioned chemical production facilities</t>
  </si>
  <si>
    <t>market for decommissioned chemical production facilities | decommissioned chemical production facilities | APOS, U</t>
  </si>
  <si>
    <t>decommissioned pipeline, natural gas</t>
  </si>
  <si>
    <t>market for decommissioned pipeline, natural gas | decommissioned pipeline, natural gas | APOS, U</t>
  </si>
  <si>
    <t>(3;5;5;1;3)</t>
  </si>
  <si>
    <t>Dibenz(a,h)anthracene</t>
  </si>
  <si>
    <t>Literature value. This value was taken from the "clinker production, GLO" dataset as it was considered adequate also for this dataset.
Consulted on October 20th 2017</t>
  </si>
  <si>
    <t>Diflufenican</t>
  </si>
  <si>
    <t>digester sludge</t>
  </si>
  <si>
    <t>market for digester sludge | digester sludge | APOS, U</t>
  </si>
  <si>
    <t>Dinitrogen monoxide emission from combustion of LPG on boilers used for the water heat treatment, according to IPCC (2006) Vol.4 - Energy..</t>
  </si>
  <si>
    <t>Measured value. Reported as Dioxins.</t>
  </si>
  <si>
    <t>Dissolved solids</t>
  </si>
  <si>
    <t>Calculated value. The amount of DOC is assumed to be equal to the amount of TOC</t>
  </si>
  <si>
    <t>electric arc furnace dust</t>
  </si>
  <si>
    <t>market for electric arc furnace dust | electric arc furnace dust | APOS, U</t>
  </si>
  <si>
    <t>electronics scrap</t>
  </si>
  <si>
    <t>market for electronics scrap | electronics scrap | APOS, U</t>
  </si>
  <si>
    <t>replaces the original flow "Cu fraction of used liquid crystal display from mechanical treatment"</t>
  </si>
  <si>
    <t>electronics scrap from control units</t>
  </si>
  <si>
    <t>market for electronics scrap from control units | electronics scrap from control units | APOS, U</t>
  </si>
  <si>
    <t>Calculated value</t>
  </si>
  <si>
    <t>Calculated value. Sum of fugitive emissions, vented gas, flared gas and gas burned in turbines. See exchanges properties for details.</t>
  </si>
  <si>
    <t>Ethane, 1,1,1,2-tetrafluoro-, HFC-134a</t>
  </si>
  <si>
    <t>(4;3;5;5;1)</t>
  </si>
  <si>
    <t>Estimation. 0.02% of the input of tetrafluoroethylene is assumed to be emitted to air.</t>
  </si>
  <si>
    <t>Ethane, 1,1-difluoro-, HFC-152a</t>
  </si>
  <si>
    <t>(1;4;3;2;2)</t>
  </si>
  <si>
    <t>Used here in place of pentafluoropropane released to the atmosphere. The output amount is set equal to the amount of input material, 1,1-difluoroethane. Data from Xiao et al. 2015.</t>
  </si>
  <si>
    <t>Ethane, 1,2-dichloro-</t>
  </si>
  <si>
    <t>Ethene</t>
  </si>
  <si>
    <t>(1;5;3;5;1)</t>
  </si>
  <si>
    <t>Literature value. The data is based on the LCA core model of the WBCSD-CSI EPD tool (Dauriat et al., 2014) (Dauriat et al., 2014)
Dauriat, A., Porté, C., Delerce, C., Guignard, C., &amp; Adams, A. (2014). WBCSD CSI tool for EPDs of concrete and cement: LCA core model and database report.</t>
  </si>
  <si>
    <t>Ethene, chloro-</t>
  </si>
  <si>
    <t>Ethofumesate</t>
  </si>
  <si>
    <t>Ethyl acetate</t>
  </si>
  <si>
    <t>Ethyne</t>
  </si>
  <si>
    <t>Fenpropimorph</t>
  </si>
  <si>
    <t>Reported as Filter dust, assumption that this can be approximated by filter dust from Al electrolysis made in Althaus 2009.</t>
  </si>
  <si>
    <t>Fluoranthene</t>
  </si>
  <si>
    <t>Fluorene</t>
  </si>
  <si>
    <t>Flurtamone</t>
  </si>
  <si>
    <t>Comment found in the corresponding dataset for Europe without Switzerland in ecoinvent v3.4 (2017):  Environmental report and literature</t>
  </si>
  <si>
    <t>Fungicides, unspecified</t>
  </si>
  <si>
    <t>glass from used cathode ray tube</t>
  </si>
  <si>
    <t>market for glass from used cathode ray tube | glass from used cathode ray tube | APOS, U</t>
  </si>
  <si>
    <t>Glyphosate</t>
  </si>
  <si>
    <t>green liquor dregs</t>
  </si>
  <si>
    <t>market for green liquor dregs | green liquor dregs | APOS, U</t>
  </si>
  <si>
    <t xml:space="preserve">Data provided by industry (EPIS) 2017
</t>
  </si>
  <si>
    <t>hard coal ash</t>
  </si>
  <si>
    <t>market for hard coal ash | hard coal ash | APOS, U</t>
  </si>
  <si>
    <t>heat carrier liquid, 40% C3H8O2</t>
  </si>
  <si>
    <t>market for heat carrier liquid, 40% C3H8O2 | heat carrier liquid, 40% C3H8O2 | APOS, U</t>
  </si>
  <si>
    <t>(3;5;5;1;1)</t>
  </si>
  <si>
    <t>Heat used from tar impragnation of wooden poles. Corresponds to 213 MJ/ha related to the life time (20 years)</t>
  </si>
  <si>
    <t>the heat loss from the steam application; the heat loss is evaluated as the specific enthalpie of steam at 1 bar(http://www.engineeringtoolbox.com/saturated-steam-properties-d_457.html)</t>
  </si>
  <si>
    <t>Helium</t>
  </si>
  <si>
    <t>(3;1;5;1;3)</t>
  </si>
  <si>
    <t>Calculation from fuel use
Amount was scaled to the amount of reference product.</t>
  </si>
  <si>
    <t>Heptane</t>
  </si>
  <si>
    <t>Calculated value: Emissions from the use of solvent Naphtha, white spirit and other petrol based derivates. Average of three companies calculated from the mass balance of product use and recovery for recycling. Heptane used for the portion of aliphatic hydrocarbons C7-C12 given in product specifications.</t>
  </si>
  <si>
    <t>Hexaconazole</t>
  </si>
  <si>
    <t>Hexane</t>
  </si>
  <si>
    <t>(1;1;4;5;5)</t>
  </si>
  <si>
    <t>Hydrocarbons, aliphatic, alkanes, cyclic</t>
  </si>
  <si>
    <t>Hydrocarbons, aliphatic, alkanes, unspecified</t>
  </si>
  <si>
    <t>Hydrocarbons, aliphatic, unsaturated</t>
  </si>
  <si>
    <t>Hydrocarbons, aromatic</t>
  </si>
  <si>
    <t>Hydrocarbons, chlorinated</t>
  </si>
  <si>
    <t>Hydrogen carbonate</t>
  </si>
  <si>
    <t>Hydrogen chloride</t>
  </si>
  <si>
    <t>Hydrogen peroxide</t>
  </si>
  <si>
    <t>Hydrogen-3, Tritium</t>
  </si>
  <si>
    <t>presumed uncertainty of measurements</t>
  </si>
  <si>
    <t>Hypochlorite</t>
  </si>
  <si>
    <t>(3;4;4;5;3)</t>
  </si>
  <si>
    <t>Indeno(1,2,3-cd)pyrene</t>
  </si>
  <si>
    <t>Literature value. The data from global clinker production is used, since no Peru specific data is available. Cement kiln dust (CKD) discarded as solid waste.
Consulted on October 20th 2017</t>
  </si>
  <si>
    <t>Minerals estimated to account for 2.5% of total lightweight mass (Jain et al., 2016). This is split equally over glass wool, asbestos and ceramics (assumption). Ship lightweight mass calculated from IHSF data, Papanikolaou (2014) and Anink &amp; Krikke (2011). Inert waste used as proxy for waste ceramic material.</t>
  </si>
  <si>
    <t>Iodine</t>
  </si>
  <si>
    <t>Iodine-131</t>
  </si>
  <si>
    <t>Iodine-133</t>
  </si>
  <si>
    <t>Iron</t>
  </si>
  <si>
    <t>Iron-59</t>
  </si>
  <si>
    <t>Krypton-85</t>
  </si>
  <si>
    <t>Krypton-85m</t>
  </si>
  <si>
    <t>Krypton-87</t>
  </si>
  <si>
    <t>Krypton-88</t>
  </si>
  <si>
    <t>Krypton-89</t>
  </si>
  <si>
    <t>Lanthanum-140</t>
  </si>
  <si>
    <t>Comment on mathematicalRelation:
9.12859444444e-07 from Calculated value - Freiermuth (2006). See 'WFLDB-Guidelines.pdf', available at https://ecoquery.ecoinvent.org/File/Reports.
-4.8561146e-07 from Crop, default, heavy metals uptake model
Heavy metal uptake can be excluded by setting the parameter heavyMetalUptakeSwitch to zero.</t>
  </si>
  <si>
    <t>lead in car shredder residue</t>
  </si>
  <si>
    <t>market for lead in car shredder residue | lead in car shredder residue | APOS, U</t>
  </si>
  <si>
    <t>Waste lead</t>
  </si>
  <si>
    <t>Literature value. In the wastewater of the desulfurisation plant radioactive elements occur and must be detected. The radiation activities of these elements are not very relevant and the maximum values can be significantly (factor 10) higher.
see also Tab. 9.35, p.127 in Röder et al. (2007): Radioaktive Elemente im REA-Abwasser und REA-Schlamm eines Steinkohlekraftwerkes (Hövelmann 1987).
The table is a compilation of radioactive elements in the wastewater and sewage sludge of the flue gas desulfurisation.</t>
  </si>
  <si>
    <t>lignite ash</t>
  </si>
  <si>
    <t>market for lignite ash | lignite ash | APOS, U</t>
  </si>
  <si>
    <t>Average of literature data, taken from the GLO 2008 dataset</t>
  </si>
  <si>
    <t>Average of literature data</t>
  </si>
  <si>
    <t>limestone residue</t>
  </si>
  <si>
    <t>market for limestone residue | limestone residue | APOS, U</t>
  </si>
  <si>
    <t xml:space="preserve">Data provided by industry (EPIS) 2017; including lime kiln ash, lime mud and lime sludge
</t>
  </si>
  <si>
    <t>low level radioactive waste</t>
  </si>
  <si>
    <t>market for low level radioactive waste | low level radioactive waste | APOS, U</t>
  </si>
  <si>
    <t>low level radioactive waste for final repository</t>
  </si>
  <si>
    <t>market for low level radioactive waste for final repository | low level radioactive waste for final repository | APOS, U</t>
  </si>
  <si>
    <t>m-Xylene</t>
  </si>
  <si>
    <t>Magnesium</t>
  </si>
  <si>
    <t>Manganese-54</t>
  </si>
  <si>
    <t>Comment on mathematicalRelation:
1.15281111111e-07 from Calculated value - Freiermuth (2006). See 'WFLDB-Guidelines.pdf', available at https://ecoquery.ecoinvent.org/File/Reports.
Heavy metal uptake can be excluded by setting the parameter heavyMetalUptakeSwitch to zero.</t>
  </si>
  <si>
    <t>Metaldehyde</t>
  </si>
  <si>
    <t>Metamitron</t>
  </si>
  <si>
    <t>Methane, bromo-, Halon 1001</t>
  </si>
  <si>
    <t>Weighted average of reported waste</t>
  </si>
  <si>
    <t>Methane, bromochlorodifluoro-, Halon 1211</t>
  </si>
  <si>
    <t>(2;1;5;5;3)</t>
  </si>
  <si>
    <t xml:space="preserve">Data calculated on the basis of losses and gas composition. Scaled from the Norwigian value according to amount of produced natural gas. </t>
  </si>
  <si>
    <t>Methane, bromotrifluoro-, Halon 1301</t>
  </si>
  <si>
    <t>Generic value, basic uncertainty estimated = 3</t>
  </si>
  <si>
    <t>Environmental report for 75% of gas produced in NL</t>
  </si>
  <si>
    <t>Calculated Value. This flow represents refrigerant losses at plant</t>
  </si>
  <si>
    <t>Methane, dichloro-, HCC-30</t>
  </si>
  <si>
    <t>Methane, dichlorodifluoro-, CFC-12</t>
  </si>
  <si>
    <t>Methane emission from combustion of LPG on boilers used for the water heat treatment, according to IPCC (2006) Vol.4 - Energy.</t>
  </si>
  <si>
    <t>Methane, non-fossil</t>
  </si>
  <si>
    <t>Methane, trichlorofluoro-, CFC-11</t>
  </si>
  <si>
    <t>Estimation based on literature and expert judgement.</t>
  </si>
  <si>
    <t>Calculated based on data from another activity.</t>
  </si>
  <si>
    <t>Estimated emissions from wood and glue drying processes</t>
  </si>
  <si>
    <t>Methyl acetate</t>
  </si>
  <si>
    <t>Methyl ethyl ketone</t>
  </si>
  <si>
    <t>Methyl formate</t>
  </si>
  <si>
    <t>Molybdenum-99</t>
  </si>
  <si>
    <t>market for municipal solid waste | municipal solid waste | APOS, U</t>
  </si>
  <si>
    <t>market group for municipal solid waste | municipal solid waste | APOS, U</t>
  </si>
  <si>
    <t>Estimation. Based on material input.</t>
  </si>
  <si>
    <t>treatment of municipal solid waste, incineration | municipal solid waste | APOS, U</t>
  </si>
  <si>
    <t>Reported as solid waste - unspecified. Approximated sa municipal solid waste in Althaus (2009)</t>
  </si>
  <si>
    <t>Comment on mathematicalRelation:
8.20361111111e-08 from Calculated value - Freiermuth (2006). See 'WFLDB-Guidelines.pdf', available at https://ecoquery.ecoinvent.org/File/Reports.
-9.380508e-07 from Crop, default, heavy metals uptake model
Heavy metal uptake can be excluded by setting the parameter heavyMetalUptakeSwitch to zero.</t>
  </si>
  <si>
    <t>nickel smelter slag</t>
  </si>
  <si>
    <t>market for nickel smelter slag | nickel smelter slag | APOS, U</t>
  </si>
  <si>
    <t>Used here to describe waste nickel. Data are from Ashby 2009. The amount is set equal to the input amount for the respective material</t>
  </si>
  <si>
    <t>Niobium-95</t>
  </si>
  <si>
    <t>Nitric acid</t>
  </si>
  <si>
    <t>Order of magnitude estimate</t>
  </si>
  <si>
    <t>Emissions to water from process waters</t>
  </si>
  <si>
    <t>Nitrogen dioxide</t>
  </si>
  <si>
    <t xml:space="preserve">Exchange has been calculated to represent the amount of the subdivided dataset. 5.12E-05 kg of Nitrogen oxides emissions stem from the acid roasting process and the rest (2.19E-03 kg) from the solvent extraction process. All values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and 0.02 kg of samarium-europium-gadolinium oxide.
</t>
  </si>
  <si>
    <t>Sum of fuel-Nox and thermal-NOx emitted to air after DeNOx stage.</t>
  </si>
  <si>
    <t>Nitrogen, organic bound</t>
  </si>
  <si>
    <t>Noble gases, radioactive, unspecified</t>
  </si>
  <si>
    <t>non-sulfidic overburden, off-site</t>
  </si>
  <si>
    <t>market for non-sulfidic overburden, off-site | non-sulfidic overburden, off-site | APOS, U</t>
  </si>
  <si>
    <t>Oils, non-fossil</t>
  </si>
  <si>
    <t>Losses 0.05% according to product properties</t>
  </si>
  <si>
    <t>According to data collected circe 0.002557 m3 of wastewater are produced in this process. Assuming a strong wastewater composition (FAOSTAT), direct emissions to a surface water body are modelled for: Dissolved solids, Suspended solids, Nitrogen (as N), Phosphorus (as P), Chloride, Grease (oils, non fossil) and BOD5. Alkalinity of water is reported to be 200 mg/L as CaCO3.
Composition (mg/L): Dissolved solids (850), Suspended solids (350), Nitrogen-as N (85), Phosphorus-as P (20), Chloride (100), Grease-oils, non fossil (150) and BOD5 (300).
Total emission (kg): Dissolved solids (0.002173552), Suspended solids (0.000894992), Nitrogen-as N (0.00022), Phosphorus-as P (0.00005), Chloride (0.00026), Grease-oils, non fossil (0.00038) and BOD5 (0.00077).
Reference:Wastewater treatment and use in agriculture - FAO irrigation and drainage paper 47, Chapter 1, Wastewater characteristics and effluent quality parameters, accessed at: http://www.fao.org/docrep/t0551e/t0551e03.htm#TopOfPage on 13 of April 2018.</t>
  </si>
  <si>
    <t>Elementary flows/Emission to soil/forestry</t>
  </si>
  <si>
    <t>Literature, estimation for oil contaminated area, basic uncertainity estimated = 3</t>
  </si>
  <si>
    <t>Estimated value. Oils from drying process. It is assumed that all the gas is dried. Data from ecoinvent 2.0 dataset (drying, natural gas)</t>
  </si>
  <si>
    <t>Estimated value.</t>
  </si>
  <si>
    <t>Paraffins</t>
  </si>
  <si>
    <t>Estimation.  The remaining amount of unreacted raw materials was assumed to leave the production process with the wastewater. Further it was assumed that this wastewater is treated in an internal wastewater plant with an assumed removal efficiency of 90% for n-paraffins.  The carbon contained in the removed substances was accounted as CO2 emissions to air.</t>
  </si>
  <si>
    <t>Estimation.  The air emissions occurring in the different stages of the production were estimated to a total of 0.2% of the raw material input of paraffin.</t>
  </si>
  <si>
    <t>Paraquat</t>
  </si>
  <si>
    <t>(2;3;5;1;4)</t>
  </si>
  <si>
    <t>Reported as dust emissions to air.  Split between three classes of particulates based on CEPMIEP database: 32% &lt;2.5 um, 48% &gt;2.5&lt;10 um, 20% &gt; 10 um. Assumed process emissions and not combustion emissions.</t>
  </si>
  <si>
    <t>(2;3;2;3;1)</t>
  </si>
  <si>
    <t>Pentane</t>
  </si>
  <si>
    <t>Phenanthrene</t>
  </si>
  <si>
    <t>Phenmedipham</t>
  </si>
  <si>
    <t>Calculated value - Prasuhn (2006). See 'WFLDB-Guidelines.pdf', available at https://ecoquery.ecoinvent.org/File/Reports.</t>
  </si>
  <si>
    <t>Phosphoric acid</t>
  </si>
  <si>
    <t>(3;3;3;1;1)</t>
  </si>
  <si>
    <t>Emissions from sugar drying process, based on process simulation results.</t>
  </si>
  <si>
    <t>Polychlorinated biphenyls</t>
  </si>
  <si>
    <t>Potassium</t>
  </si>
  <si>
    <t>Potassium, ion</t>
  </si>
  <si>
    <t>Propanal</t>
  </si>
  <si>
    <t>(2;5;4;5;5)</t>
  </si>
  <si>
    <t>Propene</t>
  </si>
  <si>
    <t>Propionic acid</t>
  </si>
  <si>
    <t>Estimation based on fuel input data and emission factors from corresponding fuel combustion ecoinvent datasets. Emissions from peat combustion approximated with lignite combustion, LPG with natural gas combustion, diesel with light fuel oil combustion, refuse derived fuel (RFD) with combustion of wood chips from post consumer wood.</t>
  </si>
  <si>
    <t>Propylene oxide</t>
  </si>
  <si>
    <t>(4;3;4;3;1)</t>
  </si>
  <si>
    <t>Calculated, stochiometric value: Emissions from the use of ink solvent. Average of three companies calculated from the mass balance of product use and recovery for recycling/disposal. Portion of Methoxypropanol derived from product specifications and related emissions expressed by the portion of methanol and propylene oxide used for the production of Methoxypropanol.</t>
  </si>
  <si>
    <t>Pyraclostrobin (prop)</t>
  </si>
  <si>
    <t>Pyrene</t>
  </si>
  <si>
    <t>Radioactive species, alpha emitters</t>
  </si>
  <si>
    <t>Radioactive species, Nuclides, unspecified</t>
  </si>
  <si>
    <t>uncertainty declared in reports for radioactive releases</t>
  </si>
  <si>
    <t>Radioactive species, other beta emitters</t>
  </si>
  <si>
    <t>Radium-228</t>
  </si>
  <si>
    <t>Radon-220</t>
  </si>
  <si>
    <t>rainwater mineral oil storage</t>
  </si>
  <si>
    <t>market for rainwater mineral oil storage | rainwater mineral oil storage | APOS, U</t>
  </si>
  <si>
    <t>Comment found in the corresponding dataset for Europe without Switzerland in ecoinvent v3.4 (2017): Rainwater with pollutants</t>
  </si>
  <si>
    <t>(2;4;4;5;3)</t>
  </si>
  <si>
    <t>Estimation according  fuel distribution.</t>
  </si>
  <si>
    <t>raw sewage sludge</t>
  </si>
  <si>
    <t>market for raw sewage sludge | raw sewage sludge | APOS, U</t>
  </si>
  <si>
    <t>(4;3;4;5;1)</t>
  </si>
  <si>
    <t>Literature, Ros 1994, chemical waste and waste with hydrocarbons</t>
  </si>
  <si>
    <t>Proxy: Oil/waste is approximated with the exchange "refinery sludge, 89.5% water".</t>
  </si>
  <si>
    <t>residue from cooling tower</t>
  </si>
  <si>
    <t>market for residue from cooling tower | residue from cooling tower | APOS, U</t>
  </si>
  <si>
    <t>residue from mechanical treatment, cathode ray tube display</t>
  </si>
  <si>
    <t>market for residue from mechanical treatment, cathode ray tube display | residue from mechanical treatment, cathode ray tube display | APOS, U</t>
  </si>
  <si>
    <t>Calculated - based on composition data</t>
  </si>
  <si>
    <t>residue from mechanical treatment, liquid crystal display</t>
  </si>
  <si>
    <t>market for residue from mechanical treatment, liquid crystal display | residue from mechanical treatment, liquid crystal display | APOS, U</t>
  </si>
  <si>
    <t>residue from shredder fraction from manual dismantling</t>
  </si>
  <si>
    <t>market for residue from shredder fraction from manual dismantling | residue from shredder fraction from manual dismantling | APOS, U</t>
  </si>
  <si>
    <t>(5;4;5;3;3)</t>
  </si>
  <si>
    <t>Ruthenium-103</t>
  </si>
  <si>
    <t>salt tailing from potash mine</t>
  </si>
  <si>
    <t>market for salt tailing from potash mine | salt tailing from potash mine | APOS, U</t>
  </si>
  <si>
    <t>The exchange has been scaled to represent the production of potassium chloride instead of a pure form of K2O. The exchange has been divided with the scaling key of circa 1.58 kg of potassium chloride per kg of K2O. Original amount of the exchange was: 4.58 kg.</t>
  </si>
  <si>
    <t>Scandium</t>
  </si>
  <si>
    <t>scrap aluminium</t>
  </si>
  <si>
    <t>market for scrap aluminium | scrap aluminium | APOS, U</t>
  </si>
  <si>
    <t>Waste aluminium cans</t>
  </si>
  <si>
    <t>scrap tin sheet</t>
  </si>
  <si>
    <t>market for scrap tin sheet | scrap tin sheet | APOS, U</t>
  </si>
  <si>
    <t>Waste tinplate cans, area of sheets times weight of a sheet</t>
  </si>
  <si>
    <t>sewage sludge</t>
  </si>
  <si>
    <t>market for sewage sludge | sewage sludge | APOS, U</t>
  </si>
  <si>
    <t>Silicon</t>
  </si>
  <si>
    <t>Silver, ion</t>
  </si>
  <si>
    <t>Silver-110</t>
  </si>
  <si>
    <t>sludge from pulp and paper production</t>
  </si>
  <si>
    <t>market for sludge from pulp and paper production | sludge from pulp and paper production | APOS, U</t>
  </si>
  <si>
    <t>sludge from steel rolling</t>
  </si>
  <si>
    <t>market for sludge from steel rolling | sludge from steel rolling | APOS, U</t>
  </si>
  <si>
    <t>Sodium</t>
  </si>
  <si>
    <t xml:space="preserve">Emission of sodium to water from the effluent of the packing house. It was assumed that all products used in washing and other processes are released in the effluent. </t>
  </si>
  <si>
    <t>Sodium chlorate</t>
  </si>
  <si>
    <t>Data from personal communication (Fawer 2002)</t>
  </si>
  <si>
    <t>Sodium dichromate</t>
  </si>
  <si>
    <t>Estimation from Ullmann's</t>
  </si>
  <si>
    <t>Sodium-24</t>
  </si>
  <si>
    <t>Waste paint, 2/3 of solids emitted to ocean</t>
  </si>
  <si>
    <t>spent anion exchange resin from potable water production</t>
  </si>
  <si>
    <t>market for spent anion exchange resin from potable water production | spent anion exchange resin from potable water production | APOS, U</t>
  </si>
  <si>
    <t>environmental report</t>
  </si>
  <si>
    <t>spent antifreezer liquid</t>
  </si>
  <si>
    <t>market for spent antifreezer liquid | spent antifreezer liquid | APOS, U</t>
  </si>
  <si>
    <t>spent nuclear fuel</t>
  </si>
  <si>
    <t>market for spent nuclear fuel | spent nuclear fuel | APOS, U</t>
  </si>
  <si>
    <t>Estimated value. Measured/calculated value for Quebec is extrapolated for GLO.Amount of spent fuel produced per year plus concrete of storage modules</t>
  </si>
  <si>
    <t>Measured value, proxy exchange: represents the disposal of the detergent/solvent consumed as an auxilliary during the process</t>
  </si>
  <si>
    <t>spoil from hard coal mining</t>
  </si>
  <si>
    <t>market for spoil from hard coal mining | spoil from hard coal mining | APOS, U</t>
  </si>
  <si>
    <t>steel in car shredder residue</t>
  </si>
  <si>
    <t>market for steel in car shredder residue | steel in car shredder residue | APOS, U</t>
  </si>
  <si>
    <t>Disposal of wires and anchor after deconstraction of the trellis system. Corresponds to 709.24 kg/ha related to the life time of the trellis system (20 years).</t>
  </si>
  <si>
    <t>Strontium</t>
  </si>
  <si>
    <t>Strontium-89</t>
  </si>
  <si>
    <t>Strontium-90</t>
  </si>
  <si>
    <t>sulfidic tailings, from zinc-lead mine operation</t>
  </si>
  <si>
    <t>market for sulfidic tailings, from zinc-lead mine operation | sulfidic tailings, from zinc-lead mine operation | APOS, U</t>
  </si>
  <si>
    <t>sulfidic tailings, generic</t>
  </si>
  <si>
    <t>market for sulfidic tailings, generic | sulfidic tailings, generic | APOS, U</t>
  </si>
  <si>
    <t>Value calculated from simplified mass balance and assumed here for completeness purposes. The value was not con-tained originally in the critical materials life cycle assessment tool (CMLCAT) of Arshi et al. (2018), provided by F. Zhao from Purdue university.</t>
  </si>
  <si>
    <t>Sulfite</t>
  </si>
  <si>
    <t>Sulfur</t>
  </si>
  <si>
    <t xml:space="preserve">Emission of sulfur to water from the effluent of the packing house. It was assumed that all products used in washing and other processes are released in the effluent. </t>
  </si>
  <si>
    <t>8.77E-05 kg of Sulphur dioxide emissions stem from the acid roasting process and the rest (1.29E-05 kg) from the solvent extraction process. All values taken from the critical materials life cycle assessment tool (CMLCAT) of Arshi et al. (2018), provided by F. Zhao from Purdue university (more information on the sampling procedure) and adjusted to correspond to the production of 0.5 kg cerium oxide, 0.27 kg of lanthanum oxide, 0.16 kg of neodynium oxide, 0.05 kg of praseodymium oxide and 0.02 kg of samarium-europium-gadolinium oxide.</t>
  </si>
  <si>
    <t>Sulfur hexafluoride</t>
  </si>
  <si>
    <t>Statistics</t>
  </si>
  <si>
    <t>Sulfur oxides</t>
  </si>
  <si>
    <t>Sulfur trioxide</t>
  </si>
  <si>
    <t>(2;2;4;5;1)</t>
  </si>
  <si>
    <t>Comment found in the corresponding dataset for Europe (RER) in ecoinvent v3.4 (2017): Literature with VOC from Env. Report</t>
  </si>
  <si>
    <t>Technetium-99m</t>
  </si>
  <si>
    <t>Tellurium-123m</t>
  </si>
  <si>
    <t>Tellurium-132</t>
  </si>
  <si>
    <t>Terbufos</t>
  </si>
  <si>
    <t>Thiamethoxam</t>
  </si>
  <si>
    <t>Thorium</t>
  </si>
  <si>
    <t>Thorium-232</t>
  </si>
  <si>
    <t>Thorium-234</t>
  </si>
  <si>
    <t>Titanium</t>
  </si>
  <si>
    <t>Titanium, ion</t>
  </si>
  <si>
    <t>Calculated value. The relation between COD and TOC is assumed to be COD (g O2) = 2.7*TOC (g C), based on the estimates provided in section 5.9.7 of Weidema et al. (2013).</t>
  </si>
  <si>
    <t>Triethylene glycol</t>
  </si>
  <si>
    <t>Uranium</t>
  </si>
  <si>
    <t>Uranium alpha</t>
  </si>
  <si>
    <t>used air distribution terminal panel steel, 120 m3/h</t>
  </si>
  <si>
    <t>market for used air distribution terminal panel steel, 120 m3/h | used air distribution terminal panel steel, 120 m3/h | APOS, U</t>
  </si>
  <si>
    <t>(2;4;5;1;1)</t>
  </si>
  <si>
    <t>used air filter central unit, 600 m3/h</t>
  </si>
  <si>
    <t>market for used air filter central unit, 600 m3/h | used air filter central unit, 600 m3/h | APOS, U</t>
  </si>
  <si>
    <t>used air filter decentralized unit, 180-250 m3/h</t>
  </si>
  <si>
    <t>market for used air filter decentralized unit, 180-250 m3/h | used air filter decentralized unit, 180-250 m3/h | APOS, U</t>
  </si>
  <si>
    <t>used air filter in exhaust air valve</t>
  </si>
  <si>
    <t>market for used air filter in exhaust air valve | used air filter in exhaust air valve | APOS, U</t>
  </si>
  <si>
    <t>used bicycle</t>
  </si>
  <si>
    <t>market for used bicycle | used bicycle | APOS, U</t>
  </si>
  <si>
    <t>used blower and heat exchange unit central, 600-1200 m3/h</t>
  </si>
  <si>
    <t>market for used blower and heat exchange unit central, 600-1200 m3/h | used blower and heat exchange unit central, 600-1200 m3/h | APOS, U</t>
  </si>
  <si>
    <t>used blower and heat exchange unit decentralized, 180-250 m3/h</t>
  </si>
  <si>
    <t>market for used blower and heat exchange unit decentralized, 180-250 m3/h | used blower and heat exchange unit decentralized, 180-250 m3/h | APOS, U</t>
  </si>
  <si>
    <t>used cable</t>
  </si>
  <si>
    <t>market for used cable | used cable | APOS, U</t>
  </si>
  <si>
    <t>Calculated Value. Dry mass of "cable, connector for computer, without plugs" * length of cable + dry mass of "plug, inlet and outlet, for computer cable"</t>
  </si>
  <si>
    <t>used desktop computer</t>
  </si>
  <si>
    <t>market for used desktop computer | used desktop computer | APOS, U</t>
  </si>
  <si>
    <t>used diesel-electric generating set, 18.5kW</t>
  </si>
  <si>
    <t>market for used diesel-electric generating set, 18.5kW | used diesel-electric generating set, 18.5kW | APOS, U</t>
  </si>
  <si>
    <t>used door, inner, glass-wood</t>
  </si>
  <si>
    <t>market for used door, inner, glass-wood | used door, inner, glass-wood | APOS, U</t>
  </si>
  <si>
    <t xml:space="preserve">Calculated value. Amount of output material is set equal to the amount of respective input material, door, inner, glass-wood. </t>
  </si>
  <si>
    <t>used door, inner, wood</t>
  </si>
  <si>
    <t>market for used door, inner, wood | used door, inner, wood | APOS, U</t>
  </si>
  <si>
    <t xml:space="preserve">Calculated value. Amount of output material is set equal to the amount of respective input material, door, inner, wood.
</t>
  </si>
  <si>
    <t>used door, outer, wood-aluminium</t>
  </si>
  <si>
    <t>market for used door, outer, wood-aluminium | used door, outer, wood-aluminium | APOS, U</t>
  </si>
  <si>
    <t xml:space="preserve">Calculated value. Amount of output material is set equal to the amount of respective input material, door, outer, wood-aluminium. </t>
  </si>
  <si>
    <t>used door, outer, wood-glass</t>
  </si>
  <si>
    <t>market for used door, outer, wood-glass | used door, outer, wood-glass | APOS, U</t>
  </si>
  <si>
    <t xml:space="preserve">Calculated value. Amount of output material is set equal to the amount of respective input material, door, outer, wood-glass. </t>
  </si>
  <si>
    <t>used electric bicycle</t>
  </si>
  <si>
    <t>market for used electric bicycle | used electric bicycle | APOS, U</t>
  </si>
  <si>
    <t>used exhaust air roof hood steel, DN 400</t>
  </si>
  <si>
    <t>market for used exhaust air roof hood steel, DN 400 | used exhaust air roof hood steel, DN 400 | APOS, U</t>
  </si>
  <si>
    <t>used exhaust air valve in-wall housing, plastic/steel</t>
  </si>
  <si>
    <t>market for used exhaust air valve in-wall housing, plastic/steel | used exhaust air valve in-wall housing, plastic/steel | APOS, U</t>
  </si>
  <si>
    <t>used flexible duct aluminium/PET, DN of 125</t>
  </si>
  <si>
    <t>market for used flexible duct aluminium/PET, DN of 125 | used flexible duct aluminium/PET, DN of 125 | APOS, U</t>
  </si>
  <si>
    <t>used fluorescent lamp</t>
  </si>
  <si>
    <t>market for used fluorescent lamp | used fluorescent lamp | APOS, U</t>
  </si>
  <si>
    <t>used industrial electronic device</t>
  </si>
  <si>
    <t>market for used industrial electronic device | used industrial electronic device | APOS, U</t>
  </si>
  <si>
    <t>used insulation spiral-seam duct rockwool, DN 400</t>
  </si>
  <si>
    <t>market for used insulation spiral-seam duct rockwool, DN 400 | used insulation spiral-seam duct rockwool, DN 400 | APOS, U</t>
  </si>
  <si>
    <t>used intermodal shipping container, 20-foot</t>
  </si>
  <si>
    <t>market for used intermodal shipping container, 20-foot | used intermodal shipping container, 20-foot | APOS, U</t>
  </si>
  <si>
    <t>used intermodal shipping container, 40-foot</t>
  </si>
  <si>
    <t>market for used intermodal shipping container, 40-foot | used intermodal shipping container, 40-foot | APOS, U</t>
  </si>
  <si>
    <t>used intermodal shipping container, 40-foot, high-cube</t>
  </si>
  <si>
    <t>market for used intermodal shipping container, 40-foot, high-cube | used intermodal shipping container, 40-foot, high-cube | APOS, U</t>
  </si>
  <si>
    <t>used intermodal shipping container, 45-foot, high-cube</t>
  </si>
  <si>
    <t>market for used intermodal shipping container, 45-foot, high-cube | used intermodal shipping container, 45-foot, high-cube | APOS, U</t>
  </si>
  <si>
    <t>used IT accessory</t>
  </si>
  <si>
    <t>market for used IT accessory | used IT accessory | APOS, U</t>
  </si>
  <si>
    <t>Calculated Value. Sum of the weights of all inputs to dataset.</t>
  </si>
  <si>
    <t>used laptop computer</t>
  </si>
  <si>
    <t>market for used laptop computer | used laptop computer | APOS, U</t>
  </si>
  <si>
    <t>Calculated Value. Sum of all materials used for the production of the laptop.</t>
  </si>
  <si>
    <t>used Li-ion battery</t>
  </si>
  <si>
    <t>market for used Li-ion battery | used Li-ion battery | APOS, U</t>
  </si>
  <si>
    <t>used liquid crystal display module</t>
  </si>
  <si>
    <t>market for used liquid crystal display module | used liquid crystal display module | APOS, U</t>
  </si>
  <si>
    <t>used lorry with refrigeration machine, 16 metric ton</t>
  </si>
  <si>
    <t>market for used lorry with refrigeration machine, 16 metric ton | used lorry with refrigeration machine, 16 metric ton | APOS, U</t>
  </si>
  <si>
    <t>used motor scooter</t>
  </si>
  <si>
    <t>market for used motor scooter | used motor scooter | APOS, U</t>
  </si>
  <si>
    <t>used Ni-metal hydride battery</t>
  </si>
  <si>
    <t>market for used Ni-metal hydride battery | used Ni-metal hydride battery | APOS, U</t>
  </si>
  <si>
    <t>Amount of S-Pb batteries replaced</t>
  </si>
  <si>
    <t>used outside air intake stainless steel, DN 370</t>
  </si>
  <si>
    <t>market for used outside air intake stainless steel, DN 370 | used outside air intake stainless steel, DN 370 | APOS, U</t>
  </si>
  <si>
    <t>used perfluoropentane</t>
  </si>
  <si>
    <t>market for used perfluoropentane | used perfluoropentane | APOS, U</t>
  </si>
  <si>
    <t>used powertrain from electric passenger car, manual dismantling</t>
  </si>
  <si>
    <t>market for used powertrain from electric passenger car, manual dismantling | used powertrain from electric passenger car, manual dismantling | APOS, U</t>
  </si>
  <si>
    <t>used powertrain, electric scooter</t>
  </si>
  <si>
    <t>market for used powertrain, electric scooter | used powertrain, electric scooter | APOS, U</t>
  </si>
  <si>
    <t>used printed wiring boards</t>
  </si>
  <si>
    <t>market for used printed wiring boards | used printed wiring boards | APOS, U</t>
  </si>
  <si>
    <t>used printer, laser</t>
  </si>
  <si>
    <t>market for used printer, laser | used printer, laser | APOS, U</t>
  </si>
  <si>
    <t>used reefer, intermodal shipping container, 40-foot, high-cube</t>
  </si>
  <si>
    <t>market for used reefer, intermodal shipping container, 40-foot, high-cube | used reefer, intermodal shipping container, 40-foot, high-cube | APOS, U</t>
  </si>
  <si>
    <t>used refrigeration machine, carbon dioxide, liquid as refrigerant</t>
  </si>
  <si>
    <t>market for used refrigeration machine, carbon dioxide, liquid as refrigerant | used refrigeration machine, carbon dioxide, liquid as refrigerant | APOS, U</t>
  </si>
  <si>
    <t>used refrigeration machine, R134a as refrigerant</t>
  </si>
  <si>
    <t>market for used refrigeration machine, R134a as refrigerant | used refrigeration machine, R134a as refrigerant | APOS, U</t>
  </si>
  <si>
    <t>used room-connecting overflow element steel, approx. 40 m3/h</t>
  </si>
  <si>
    <t>market for used room-connecting overflow element steel, approx. 40 m3/h | used room-connecting overflow element steel, approx. 40 m3/h | APOS, U</t>
  </si>
  <si>
    <t>used sealing tape aluminium/PE, 50 mm wide</t>
  </si>
  <si>
    <t>market for used sealing tape aluminium/PE, 50 mm wide | used sealing tape aluminium/PE, 50 mm wide | APOS, U</t>
  </si>
  <si>
    <t>used silencer steel, DN 125</t>
  </si>
  <si>
    <t>market for used silencer steel, DN 125 | used silencer steel, DN 125 | APOS, U</t>
  </si>
  <si>
    <t>used silencer steel, DN 315</t>
  </si>
  <si>
    <t>market for used silencer steel, DN 315 | used silencer steel, DN 315 | APOS, U</t>
  </si>
  <si>
    <t>used smartphone</t>
  </si>
  <si>
    <t>market for used smartphone | used smartphone | APOS, U</t>
  </si>
  <si>
    <t>Calculated Value. Sum of all the material inputs to the dataset.</t>
  </si>
  <si>
    <t>used tablet</t>
  </si>
  <si>
    <t>market for used tablet | used tablet | APOS, U</t>
  </si>
  <si>
    <t>used triple glazing, U&lt;0.5W/m2K</t>
  </si>
  <si>
    <t>market for used triple glazing, U&lt;0.5W/m2K | used triple glazing, U&lt;0.5W/m2K | APOS, U</t>
  </si>
  <si>
    <t>used ventilation control and wiring central unit</t>
  </si>
  <si>
    <t>market for used ventilation control and wiring central unit | used ventilation control and wiring central unit | APOS, U</t>
  </si>
  <si>
    <t>used ventilation control and wiring decentralized unit</t>
  </si>
  <si>
    <t>market for used ventilation control and wiring decentralized unit | used ventilation control and wiring decentralized unit | APOS, U</t>
  </si>
  <si>
    <t>used window frame, wood</t>
  </si>
  <si>
    <t>market for used window frame, wood | used window frame, wood | APOS, U</t>
  </si>
  <si>
    <t xml:space="preserve">Calculated value.The amount is set equal to the amount of the input material, window frame, wood. </t>
  </si>
  <si>
    <t>used window frame, wood-metal</t>
  </si>
  <si>
    <t>market for used window frame, wood-metal | used window frame, wood-metal | APOS, U</t>
  </si>
  <si>
    <t xml:space="preserve">Calculated value. Amount of output material is set equal to the amount of respective input material, window frame, wood-metal. </t>
  </si>
  <si>
    <t>VOC, volatile organic compounds, unspecified origin</t>
  </si>
  <si>
    <t>waste aluminium</t>
  </si>
  <si>
    <t>market for waste aluminium | waste aluminium | APOS, U</t>
  </si>
  <si>
    <t>waste bitumen</t>
  </si>
  <si>
    <t>market for waste bitumen | waste bitumen | APOS, U</t>
  </si>
  <si>
    <t>waste bitumen sheet</t>
  </si>
  <si>
    <t>market for waste bitumen sheet | waste bitumen sheet | APOS, U</t>
  </si>
  <si>
    <t>waste bulk iron, excluding reinforcement</t>
  </si>
  <si>
    <t>market for waste bulk iron, excluding reinforcement | waste bulk iron, excluding reinforcement | APOS, U</t>
  </si>
  <si>
    <t>waste cement, hydrated</t>
  </si>
  <si>
    <t>market for waste cement, hydrated | waste cement, hydrated | APOS, U</t>
  </si>
  <si>
    <t xml:space="preserve">Calculated value.The amount is set equal to the amount of the input material, cement. </t>
  </si>
  <si>
    <t>waste concrete</t>
  </si>
  <si>
    <t>market for waste concrete | waste concrete | APOS, U</t>
  </si>
  <si>
    <t>(3;4;3;3;4)</t>
  </si>
  <si>
    <t>Waste generated through dismantling of the plant. Based on the amount of the corresponding material inputs.</t>
  </si>
  <si>
    <t>Calculated value. Amount of output material is set equal to the amount of respective input material, concrete, foundation. Conversion is made from m3 of concrete to kg of concrete based on the density reported in the properties section for the product "concrete, normal" (see wet mass property).</t>
  </si>
  <si>
    <t>waste concrete, not reinforced</t>
  </si>
  <si>
    <t>market for waste concrete, not reinforced | waste concrete, not reinforced | APOS, U</t>
  </si>
  <si>
    <t>Calculated value. The simplifying assumption is made that the scrap materials can be separated in pure form.</t>
  </si>
  <si>
    <t>waste electric and electronic equipment</t>
  </si>
  <si>
    <t>market for waste electric and electronic equipment | waste electric and electronic equipment | APOS, U</t>
  </si>
  <si>
    <t>Electric and electronic components sent to treatment</t>
  </si>
  <si>
    <t>waste emulsion paint</t>
  </si>
  <si>
    <t>market for waste emulsion paint | waste emulsion paint | APOS, U</t>
  </si>
  <si>
    <t>Calculated value: average value for disposal of paints of three companies</t>
  </si>
  <si>
    <t>Flat glass sent to treatment</t>
  </si>
  <si>
    <t>Estimation. The glass fibre reinforced plastic of the rotor is disposed of as 50% glass and 50% plastic. When using PrePreg in the manufacturing process, up to 10% of the PrePreg turns into waste due to cutoffs directly. The remaining amount will turn into waste/by-product after 20 years.
Today, it is not possible to recycle the turbine blades. When the turbine’s lifetime expires, the blades will
be dismantled into smaller pieces, which are deposited at controlled waste deposits.[Elsam. 2004b. Life Cycle Assessment of turbines PSO 1999. Elsam Engineering A/S, Fredericia, Denmark]</t>
  </si>
  <si>
    <t>Estimated value based on 2MW GLO dataset. 
The glass fibre reinforced plastic of the rotor is disposed of as 50% glass and 50% plastic. When using PrePreg in the manufacturing process, up to 10% of the PrePreg turns into waste due to cutoffs directly. The remaining amount will turn into waste/by-product after 20 years.
Today, it is not possible to recycle the turbine blades. When the turbine’s lifetime expires, the blades will
be dismantled into smaller pieces, which are deposited at controlled waste deposits.[Elsam. 2004b. Life Cycle Assessment of turbines PSO 1999. Elsam Engineering A/S, Fredericia, Denmark]</t>
  </si>
  <si>
    <t>Calculated value. Amount of output material is set equal to the amount of respective input material, flat glass and glass wool mat.</t>
  </si>
  <si>
    <t>treatment of waste glass, sanitary landfill | waste glass | APOS, U</t>
  </si>
  <si>
    <t>Calculated value. Amount of output material is set equal to the amount of respective input material, flat glass, coated. The amount also contains waste glass wool mat.</t>
  </si>
  <si>
    <t>waste glass pane in burnable frame</t>
  </si>
  <si>
    <t>market for waste glass pane in burnable frame | waste glass pane in burnable frame | APOS, U</t>
  </si>
  <si>
    <t>waste glass sheet</t>
  </si>
  <si>
    <t>market for waste glass sheet | waste glass sheet | APOS, U</t>
  </si>
  <si>
    <t>Measured value: represents the treatment of the amount of tissue paper based auxilliaries.</t>
  </si>
  <si>
    <t>waste gypsum plasterboard</t>
  </si>
  <si>
    <t>market for waste gypsum plasterboard | waste gypsum plasterboard | APOS, U</t>
  </si>
  <si>
    <t xml:space="preserve">Calculated value. Amount of output material is set equal to the amount of respective input material, gypsum plasterboard. </t>
  </si>
  <si>
    <t>Reported as byproduct of oil for combustion.</t>
  </si>
  <si>
    <t>Average data from eight European producers of whitelined chip, weighted according to production volumes, recored as lubricant wastes</t>
  </si>
  <si>
    <t>waste mineral wool</t>
  </si>
  <si>
    <t>market for waste mineral wool | waste mineral wool | APOS, U</t>
  </si>
  <si>
    <t>waste mineral wool, for final disposal</t>
  </si>
  <si>
    <t>market for waste mineral wool, for final disposal | waste mineral wool, for final disposal | APOS, U</t>
  </si>
  <si>
    <t>waste natural gas, sour</t>
  </si>
  <si>
    <t>market for waste natural gas, sour | waste natural gas, sour | APOS, U</t>
  </si>
  <si>
    <t>(2;2;5;2;2)</t>
  </si>
  <si>
    <t>Official statistics and literature.; UNFCC 2014. Described in Faist et al. 2015</t>
  </si>
  <si>
    <t>waste natural gas, sweet</t>
  </si>
  <si>
    <t>market for waste natural gas, sweet | waste natural gas, sweet | APOS, U</t>
  </si>
  <si>
    <t>waste packaging glass, unsorted</t>
  </si>
  <si>
    <t>market for waste packaging glass, unsorted | waste packaging glass, unsorted | APOS, U</t>
  </si>
  <si>
    <t>Waste packaging glass</t>
  </si>
  <si>
    <t>waste packaging paper</t>
  </si>
  <si>
    <t>market for waste packaging paper | waste packaging paper | APOS, U</t>
  </si>
  <si>
    <t>market group for waste packaging paper | waste packaging paper | APOS, U</t>
  </si>
  <si>
    <t>Data provided by industry (EPIS) 2017. Represents waste packaging such as corrugated containers, cartonboard etc. Can be also plastic or anything that is recyclable is separated and recycled, glass, metal, paper. Is produced in small side tasks of the overall pulp process in order to "keep the pulp site funktioning".</t>
  </si>
  <si>
    <t>waste paint</t>
  </si>
  <si>
    <t>market for waste paint | waste paint | APOS, U</t>
  </si>
  <si>
    <t>Calculated value/estimation. Paint on the nacelle and the blades.</t>
  </si>
  <si>
    <t>waste paint on wall</t>
  </si>
  <si>
    <t>market for waste paint on wall | waste paint on wall | APOS, U</t>
  </si>
  <si>
    <t xml:space="preserve">Calculated value. Amount of output material is set equal to the amount of respective input material, alkyd paint and acrylic varnish. </t>
  </si>
  <si>
    <t>waste paint on wood</t>
  </si>
  <si>
    <t>market for waste paint on wood | waste paint on wood | APOS, U</t>
  </si>
  <si>
    <t>waste paperboard</t>
  </si>
  <si>
    <t>market for waste paperboard | waste paperboard | APOS, U</t>
  </si>
  <si>
    <t>Proxy: Corrugated cardboad is approximated with exchange "waste packaging cardboard, 19.6% water".</t>
  </si>
  <si>
    <t>treatment of waste paperboard, municipal incineration with fly ash extraction | waste paperboard | APOS, U</t>
  </si>
  <si>
    <t>linked to local waste incineration dataset</t>
  </si>
  <si>
    <t>market group for waste paperboard | waste paperboard | APOS, U</t>
  </si>
  <si>
    <t>waste paperboard, unsorted</t>
  </si>
  <si>
    <t>market for waste paperboard, unsorted | waste paperboard, unsorted | APOS, U</t>
  </si>
  <si>
    <t>waste plastic, consumer electronics</t>
  </si>
  <si>
    <t>market for waste plastic, consumer electronics | waste plastic, consumer electronics | APOS, U</t>
  </si>
  <si>
    <t>Scrap fraction from production process.Details in F. Habermacher "Modeling material inventories and environmental impacts of electric passenger cars", Matser Thesis, Department of Environmental Sciences, ETH Zurich, 2011.</t>
  </si>
  <si>
    <t>Measured value: represents the total amount of mono materials recycled externally.</t>
  </si>
  <si>
    <t>(4;2;4;5;3)</t>
  </si>
  <si>
    <t>Plastics to municipal incineration</t>
  </si>
  <si>
    <t>Sum of plastic materials in ICE dataset. The final output has been calculated based on ecoinvent transfer coefficients from weee shredding (ecoinvent report 18, p.21). Details on the materialization of the ICE are given in Althaus and Gauch 2010.</t>
  </si>
  <si>
    <t>treatment of waste plastic, mixture, municipal incineration | waste plastic, mixture | APOS, U</t>
  </si>
  <si>
    <t>Measured value: represents the amount of waste plastic mixture incinerated. Modeled with a direct link to the GLO municipal solid waste incineration</t>
  </si>
  <si>
    <t>Measured value, proxy exchange: represents the disposal of the tetrafluoroethylene consumed as an auxilliary during the process.</t>
  </si>
  <si>
    <t>waste polyethylene terephthalate</t>
  </si>
  <si>
    <t>market for waste polyethylene terephthalate | waste polyethylene terephthalate | APOS, U</t>
  </si>
  <si>
    <t>market group for waste polyethylene terephthalate | waste polyethylene terephthalate | APOS, U</t>
  </si>
  <si>
    <t>waste polyethylene, for recycling, unsorted</t>
  </si>
  <si>
    <t>market for waste polyethylene, for recycling, unsorted | waste polyethylene, for recycling, unsorted | APOS, U</t>
  </si>
  <si>
    <t>Waste PE from plastic sheet bags (packaging)</t>
  </si>
  <si>
    <t>waste polyethylene/polypropylene product</t>
  </si>
  <si>
    <t>market for waste polyethylene/polypropylene product | waste polyethylene/polypropylene product | APOS, U</t>
  </si>
  <si>
    <t>Calculated value. Proxy for the treatment of the epoxy resin (polyepoxide, formed from reaction of an epoxide resin with polyamine hardener). When using PrePreg in the manufacturing process, up to 10% of the PrePreg turns into waste due to cutoffs directly. The remaining amount will turn into waste/by-product after 20 years.</t>
  </si>
  <si>
    <t>(3;4;3;5;4)</t>
  </si>
  <si>
    <t>Measured value, proxy exchange: represents the disposal of the plastic caps consumed as an auxilliary during the process.</t>
  </si>
  <si>
    <t>waste polystyrene</t>
  </si>
  <si>
    <t>market group for waste polystyrene | waste polystyrene | APOS, U</t>
  </si>
  <si>
    <t>market for waste polystyrene | waste polystyrene | APOS, U</t>
  </si>
  <si>
    <t>waste polystyrene isolation, flame-retardant</t>
  </si>
  <si>
    <t>market for waste polystyrene isolation, flame-retardant | waste polystyrene isolation, flame-retardant | APOS, U</t>
  </si>
  <si>
    <t>waste polyurethane</t>
  </si>
  <si>
    <t>market for waste polyurethane | waste polyurethane | APOS, U</t>
  </si>
  <si>
    <t>market group for waste polyurethane | waste polyurethane | APOS, U</t>
  </si>
  <si>
    <t>waste polyurethane foam</t>
  </si>
  <si>
    <t>market for waste polyurethane foam | waste polyurethane foam | APOS, U</t>
  </si>
  <si>
    <t>Calculated value based on knowledge of material composition of the lorry with refrigeration machine, 16 metric tons.</t>
  </si>
  <si>
    <t>Etylene vinyl acetate copolymer (plastic covers) sent to treatment</t>
  </si>
  <si>
    <t xml:space="preserve">Calculated value. Amount of output material is set equal to the amount of respective input material, PVC. </t>
  </si>
  <si>
    <t>waste polyvinylchloride product</t>
  </si>
  <si>
    <t>market for waste polyvinylchloride product | waste polyvinylchloride product | APOS, U</t>
  </si>
  <si>
    <t>Calculated based on the input of PVC.</t>
  </si>
  <si>
    <t>waste polyvinylfluoride</t>
  </si>
  <si>
    <t>market for waste polyvinylfluoride | waste polyvinylfluoride | APOS, U</t>
  </si>
  <si>
    <t>Calculation for end of life disposal</t>
  </si>
  <si>
    <t>waste reinforced concrete</t>
  </si>
  <si>
    <t>market for waste reinforced concrete | waste reinforced concrete | APOS, U</t>
  </si>
  <si>
    <t>waste reinforcement steel</t>
  </si>
  <si>
    <t>market for waste reinforcement steel | waste reinforcement steel | APOS, U</t>
  </si>
  <si>
    <t>treatment of waste reinforcement steel, collection for final disposal | waste reinforcement steel | APOS, U</t>
  </si>
  <si>
    <t xml:space="preserve">All steel types are assumed to be treated as reinforcing steel due to lack of other appropriate datasets in ecoinvent.  
For the time period 2003-2012, average steel recycling rate in South Africa amounted to 35% fo the total steel mass according to Telsnig 2015. The remaining steel is assumed to be sent to final disposal. </t>
  </si>
  <si>
    <t>treatment of waste reinforcement steel, recycling | waste reinforcement steel | APOS, U</t>
  </si>
  <si>
    <t>waste rubber, unspecified</t>
  </si>
  <si>
    <t>market for waste rubber, unspecified | waste rubber, unspecified | APOS, U</t>
  </si>
  <si>
    <t>waste textile, soiled</t>
  </si>
  <si>
    <t>market for waste textile, soiled | waste textile, soiled | APOS, U</t>
  </si>
  <si>
    <t>waste wire plastic</t>
  </si>
  <si>
    <t>market for waste wire plastic | waste wire plastic | APOS, U</t>
  </si>
  <si>
    <t>waste wood pole, chrome preserved</t>
  </si>
  <si>
    <t>market for waste wood pole, chrome preserved | waste wood pole, chrome preserved | APOS, U</t>
  </si>
  <si>
    <t>waste wood, post-consumer</t>
  </si>
  <si>
    <t>market for waste wood, post-consumer | waste wood, post-consumer | APOS, U</t>
  </si>
  <si>
    <t>Norwegian environmental report</t>
  </si>
  <si>
    <t>market group for waste wood, untreated | waste wood, untreated | APOS, U</t>
  </si>
  <si>
    <t xml:space="preserve">Calculated value. The amount is set equal to the amount of input materials, sawnwood, with conversion made from volume to weight. The amount also includes waste plywood, for indoor use, with convertion from m3 to kg. Density for both material is taken from the properties section, see their respective wet mass. </t>
  </si>
  <si>
    <t>Norwegian data</t>
  </si>
  <si>
    <t>Calculated value. The amount is set equal to the amount of input materials, sawnwood, with conversion made from volume to weight. The conversion is based on the density reported in the property section for the respective products (see the wet mass property).</t>
  </si>
  <si>
    <t>Measured value. Waste X-ray film sold from silver recovery.</t>
  </si>
  <si>
    <t>waste yarn and waste textile</t>
  </si>
  <si>
    <t>market for waste yarn and waste textile | waste yarn and waste textile | APOS, U</t>
  </si>
  <si>
    <t>waste, from silicon wafer production</t>
  </si>
  <si>
    <t>market for waste, from silicon wafer production | waste, from silicon wafer production | APOS, U</t>
  </si>
  <si>
    <t>Environmental report Wacker 2000</t>
  </si>
  <si>
    <t>waste, from silicon wafer production, inorganic</t>
  </si>
  <si>
    <t>market for waste, from silicon wafer production, inorganic | waste, from silicon wafer production, inorganic | APOS, U</t>
  </si>
  <si>
    <t>wastewater from ammonium paratungstate production</t>
  </si>
  <si>
    <t>market for wastewater from ammonium paratungstate production | wastewater from ammonium paratungstate production | APOS, U</t>
  </si>
  <si>
    <t xml:space="preserve"> Amount adjusted in order to maintain mass balance. </t>
  </si>
  <si>
    <t>wastewater from ceramic production</t>
  </si>
  <si>
    <t>market for wastewater from ceramic production | wastewater from ceramic production | APOS, U</t>
  </si>
  <si>
    <t>wastewater from concrete production</t>
  </si>
  <si>
    <t>market for wastewater from concrete production | wastewater from concrete production | APOS, U</t>
  </si>
  <si>
    <t>estimated</t>
  </si>
  <si>
    <t>wastewater from glass production</t>
  </si>
  <si>
    <t>market for wastewater from glass production | wastewater from glass production | APOS, U</t>
  </si>
  <si>
    <t>wastewater from hard fibreboard production</t>
  </si>
  <si>
    <t>market for wastewater from hard fibreboard production | wastewater from hard fibreboard production | APOS, U</t>
  </si>
  <si>
    <t>wastewater from liquid crystal production</t>
  </si>
  <si>
    <t>market for wastewater from liquid crystal production | wastewater from liquid crystal production | APOS, U</t>
  </si>
  <si>
    <t>wastewater from lorry production</t>
  </si>
  <si>
    <t>market for wastewater from lorry production | wastewater from lorry production | APOS, U</t>
  </si>
  <si>
    <t>Literature value. Data represent MAN production sites in Germany and comprises: final truck assembly, engine manufacturing, manufacturing of metal parts. Data available from environmental reports of the company.
Additional references:
MAN Nutzfahrzeuge AG (2002) Umwelterklärung 2002. MAN Nutzfahrzeuge AG, München</t>
  </si>
  <si>
    <t>wastewater from maize starch production</t>
  </si>
  <si>
    <t>market for wastewater from maize starch production | wastewater from maize starch production | APOS, U</t>
  </si>
  <si>
    <t>wastewater from medium density board production</t>
  </si>
  <si>
    <t>market for wastewater from medium density board production | wastewater from medium density board production | APOS, U</t>
  </si>
  <si>
    <t>wastewater from particleboard production</t>
  </si>
  <si>
    <t>market for wastewater from particleboard production | wastewater from particleboard production | APOS, U</t>
  </si>
  <si>
    <t>wastewater from plywood production</t>
  </si>
  <si>
    <t>market for wastewater from plywood production | wastewater from plywood production | APOS, U</t>
  </si>
  <si>
    <t>wastewater from potato starch production</t>
  </si>
  <si>
    <t>market for wastewater from potato starch production | wastewater from potato starch production | APOS, U</t>
  </si>
  <si>
    <t>Literature value (Kim, D., et.al., 2013, Life cycle assessment of cheese and whey production in the USA).
Wastewater from potato starch production is a proxy for the wastewater from butter production for which data are not available.</t>
  </si>
  <si>
    <t>wastewater from soft fibreboard production</t>
  </si>
  <si>
    <t>market for wastewater from soft fibreboard production | wastewater from soft fibreboard production | APOS, U</t>
  </si>
  <si>
    <t>(1;4;5;1;1)</t>
  </si>
  <si>
    <t>wastewater from textile production</t>
  </si>
  <si>
    <t>direct disposal of wastewater from textile production | wastewater from textile production | APOS, U</t>
  </si>
  <si>
    <t>considering 80% waste water after 20% evaporation. Divided by thousand to convert kg to m3</t>
  </si>
  <si>
    <t>wastewater from tube collector production</t>
  </si>
  <si>
    <t>market for wastewater from tube collector production | wastewater from tube collector production | APOS, U</t>
  </si>
  <si>
    <t>wastewater from vegetable oil refinery</t>
  </si>
  <si>
    <t>market for wastewater from vegetable oil refinery | wastewater from vegetable oil refinery | APOS, U</t>
  </si>
  <si>
    <t>Proxy for wastewater from fish processing plant. Asumed 20% of the water is either incorporated into the product or lost</t>
  </si>
  <si>
    <t>treatment of wastewater, average, capacity 5E9l/year | wastewater, average | APOS, U</t>
  </si>
  <si>
    <t>treatment of wastewater, average, capacity 1.1E10l/year | wastewater, average | APOS, U</t>
  </si>
  <si>
    <t>Adapted from the dataset 'wood chips, in cogen 6400kWth, wood, emission control', according to actual water, carbon and energy content of the fuel (unconverted solids, mainly lignin)
Adapted from the dataset 'wood chips, in cogen 6400kWth, wood, emission control', according to actual water, carbon and energy content of the fuel (unconverted solids, mainly lignin)</t>
  </si>
  <si>
    <t xml:space="preserve">Calculated value. The amount is set equal to the amount of input material, tap water with conversion from kg to m3. 1 m3 of water is assumed to be equal to 1000 kg of water. </t>
  </si>
  <si>
    <t>treatment of wastewater, average, capacity 1E9l/year | wastewater, average | APOS, U</t>
  </si>
  <si>
    <t>Measured value: corresponds to the input of tap water</t>
  </si>
  <si>
    <t>wastewater, from residence</t>
  </si>
  <si>
    <t>market for wastewater, from residence | wastewater, from residence | APOS, U</t>
  </si>
  <si>
    <t>Questionnaire, data for other type of collector</t>
  </si>
  <si>
    <t>wastewater, unpolluted</t>
  </si>
  <si>
    <t>market for wastewater, unpolluted | wastewater, unpolluted | APOS, U</t>
  </si>
  <si>
    <t>Literature Value. Source: 2003, Fujitsu L., EcoLeaf Product Environmental Aspects Declaration. , http://www.jemai.or.jp/english/ecoleaf/pdf/AS_03_001_e.pdf</t>
  </si>
  <si>
    <t>Water vapour from waste humidity, hydrogen oxidation and part of the process water.</t>
  </si>
  <si>
    <t>Estimated value. Estimation based on input of water. It is assumed that 20% of cooling water is evaporated and 80% is rejected to the river</t>
  </si>
  <si>
    <t>water discharge from petroleum extraction, offshore</t>
  </si>
  <si>
    <t>market for water discharge from petroleum extraction, offshore | water discharge from petroleum extraction, offshore | APOS, U</t>
  </si>
  <si>
    <t>water discharge from petroleum/natural gas extraction, onshore</t>
  </si>
  <si>
    <t>market for water discharge from petroleum/natural gas extraction, onshore | water discharge from petroleum/natural gas extraction, onshore | APOS, U</t>
  </si>
  <si>
    <t>Data from other countries</t>
  </si>
  <si>
    <t>Water, RER</t>
  </si>
  <si>
    <t>Calculated value - Emission calculated from water balance. See 'WFLDB-Guidelines.pdf', available at https://ecoquery.ecoinvent.org/File/Reports.</t>
  </si>
  <si>
    <t>Calculated value. Volume of concentrate (water returned to the environment) based production of 1 kg of tap water and on recovery rate.</t>
  </si>
  <si>
    <t>wood ash mixture, pure</t>
  </si>
  <si>
    <t>market for wood ash mixture, pure | wood ash mixture, pure | APOS, U</t>
  </si>
  <si>
    <t>Data provided by industry (EPIS) 2017; Represents 0.002058kg "fiber reject".</t>
  </si>
  <si>
    <t>Emission factor from DS on heat generation from industrial residual wood mulitplied by the input of wood fuel (direct wood fuel plus production residues), scaled to convert wood input to resulting heat.</t>
  </si>
  <si>
    <t>Xenon-131m</t>
  </si>
  <si>
    <t>Xenon-133</t>
  </si>
  <si>
    <t>Xenon-133m</t>
  </si>
  <si>
    <t>Xenon-135</t>
  </si>
  <si>
    <t>Xenon-135m</t>
  </si>
  <si>
    <t>Xenon-137</t>
  </si>
  <si>
    <t>Xenon-138</t>
  </si>
  <si>
    <t>(3;4;4;3;1)</t>
  </si>
  <si>
    <t>Calculated value: Emissions from the use of solvent Naphtha, white spirit and other petrol based derivates. Average of three companies calculated from the mass balance of product use and recovery for recycling/disposal. Toluene and Xylene assumed main components of cyclic hydrocarbons, related content of cylcic hydrocarbons from product specifications expressed by 50% Xylene and 50% Toluene.</t>
  </si>
  <si>
    <t xml:space="preserve">This value is qualified as "not representative" in FEFCO (2015) because only a few mills were able to report this figure. Moreover, mills were not able to report substances in the input water, hence this figure represents gross rather than net emissions. The value is a straight average over the reporting mills. </t>
  </si>
  <si>
    <t>Comment on mathematicalRelation:
2.18778994444e-05 from Calculated value - Freiermuth (2006). See 'WFLDB-Guidelines.pdf', available at https://ecoquery.ecoinvent.org/File/Reports.
-2.8756654e-05 from Crop, default, heavy metals uptake model
Heavy metal uptake can be excluded by setting the parameter heavyMetalUptakeSwitch to zero.</t>
  </si>
  <si>
    <t>zinc slag</t>
  </si>
  <si>
    <t>market for zinc slag | zinc slag | APOS, U</t>
  </si>
  <si>
    <t>Zinc-65</t>
  </si>
  <si>
    <t>Zirconium-95</t>
  </si>
  <si>
    <t>PRIMARY ALUMINUM</t>
  </si>
  <si>
    <t>9cbcc3d1-ed04-39b9-945b-f0e9d2d487d0</t>
  </si>
  <si>
    <t>Re-labelling activity to account for the fraction of globally produced primary aluminium used as cast alloy. Dataset documentation https://v38.ecoquery.ecoinvent.org/Details/PDF/7C5E5EF9-9415-4B40-9C6F-8C520FF1E9A2/06590A66-662A-4885-8494-AD0CF410F956</t>
  </si>
  <si>
    <t>902a42c7-9b1a-3788-aae3-d5761285c978</t>
  </si>
  <si>
    <t>This is a market activity. Each market represents the consumption mix of a product in a given geography, connecting suppliers with consumers of the same product in the same geographical area. Markets group the producers and also the imports of the product (if relevant) within the same geographical area. They also account for transport to the consumer and for the losses during that process, when relevant.;This is the market for  'aluminium, wrought alloy', in the Global geography.;In this market, expert judgement was used to develop product specific transport distance estimations. This activity starts at the gate of the activities that produce 'aluminium, wrought alloy',  within the geography of Global. This activity ends with the supply of 'aluminium, wrought alloy',  to the consumers of this product. Transport is included. Product losses during transportation are assumed negligible and are therefore not included. Dataset documentation https://v38.ecoquery.ecoinvent.org/Details/PDF/2AB6F162-8135-4678-A0D8-1CA96822BAEB/06590A66-662A-4885-8494-AD0CF410F956</t>
  </si>
  <si>
    <t>treatment of aluminium scrap, post-consumer, prepared for recycling, at remelter | aluminium, wrought alloy | APOS, U</t>
  </si>
  <si>
    <t>aluminium ingot, primary, to aluminium, wrought alloy market | aluminium, wrought alloy | APOS, U</t>
  </si>
  <si>
    <t>treatment of aluminium scrap, new, at remelter | aluminium, wrought alloy | APOS, U</t>
  </si>
  <si>
    <t>627e730a-6f98-39ea-94ab-8f67f0f61986</t>
  </si>
  <si>
    <t>This dataset is based on two sources: the European Aluminium Association 2005 LCI data (EAA, 2008); and (2) the ecoinvent v2.2 dataset for the same activity (Althaus, 2009), itself largely based on EAA data from 2000.  Priority was given to data contained in EAA (2008); Althaus (2009) was used only in cases where it was found to be more complete that EAA (2008).  Note that both sources are European in scope - this GLO dataset is therefore an extrapolation.;Remelters use mainly reverbatory furnaces, and this dataset is based on this furnace technology only.;The dataset excludes, for lack of access to data, salt slag and dross recycling.  According to EAA, this data gap represents approximately 10-20% of potential impacts, as calculated using the CML 2001 method.;The following emissions to air are reported in EAA 2008 but excluded from this dataset: CO (0.095 kg/tonne secondary aluminium), Dust/particulates (0.041 kg/tonne secondary aluminium), NOx (0.329 kg/tonne secondary aluminium), SO2 (0.051 kg/tonne secondary aluminium), and VOC (0.050 kg/tonne secondary aluminium).  These are assumed to be combustion emissions or electricity production emissions, conclusion arrived at by comparing gate-to-gate emissions with the cradle-to-gate emissions also reported in EAA 2008.  Their inclusion wouldhave led to double-counting.;While this dataset represents the remelting of post-consumer scrap aluminium, the inputs and outputs reported by EAA (2008) actually refer to refining of new scrap.  In the ecoinvent database, both the remelting of post-consumer scrap and new scrap is represented by two distinct but mostly identical datasets to enable the appropriate modeling of aluminium mass flow through the economy.  The use of new scrap remelting to represent prepared old scrap remelting is thought to be more accurate than the use of refining as a proxy for this activity.  The extrapolation is accounted for in the uncertainty. The activity starts with the reception of prepared post-consumer scrap.
 The activity ends with wrought aluminium billets.  Note that the dataset excludes salt slag processing and dross recycling (data gap), as well as an output of unspecified metal for recycling output. Dataset documentation https://v38.ecoquery.ecoinvent.org/Details/PDF/31F62ED9-2CC6-433A-8AC7-7B3448048CA6/06590A66-662A-4885-8494-AD0CF410F956</t>
  </si>
  <si>
    <t>Reported as "alloying metal", 47.7% assumed to be Copper in Althaus (2009)</t>
  </si>
  <si>
    <t>Not reported in EAA 2008, taken from earlier EAA data as found in Althaus 2009.</t>
  </si>
  <si>
    <t>Water, lake, RoW</t>
  </si>
  <si>
    <t>Reported as Hazardous waste for incineration</t>
  </si>
  <si>
    <t>Reported as Hazardous waste for landfilling</t>
  </si>
  <si>
    <t>Reported as "non-hazardous waste".  Split between incineration (17%), landfilling (20%) and further processing (63%) reported in EAA (2008) not accounted for in this dataset.</t>
  </si>
  <si>
    <t>48667845-c45f-33df-ae93-d6f473898ecd</t>
  </si>
  <si>
    <t>This dataset is based on two sources: the European Aluminium Association 2005 LCI data (EAA, 2008); and (2) the ecoinvent v2.2 dataset for the same activity (Althaus, 2009), itself largely based on EAA data from 2000.  Priority was given to data contained in EAA (2008); Althaus (2009) was used only in cases where it was found to be more complete that EAA (2008).  Note that both sources are European in scope - this GLO dataset is therefore an extrapolation.;Remelters use mainly reverbatory furnaces, and this dataset is based on this furnace technology only.;The dataset excludes, for lack of access to data, salt slag and dross recycling.  According to EAA, this data gap represents approximately 10-20% of potential impacts, as calculated using the CML 2001 method.;The following emissions to air are reported in EAA 2008 but excluded from this dataset: CO (0.095 kg/tonne secondary aluminium), Dust/particulates (0.041 kg/tonne secondary aluminium), NOx (0.329 kg/tonne secondary aluminium), SO2 (0.051 kg/tonne secondary aluminium), and VOC (0.050 kg/tonne secondary aluminium).  These are assumed to be combustion emissions or electricity production emissions, conclusion arrived at by comparing gate-to-gate emissions with the cradle-to-gate emissions also reported in EAA 2008.  Their inclusion wouldhave led to double-counting. The activity starts with the reception of new scrap (also called process scrap), i.e. surplus material arising during the production and fabrication of aluminium products up to the point where they are sold to the final consumer. These include extrusion discards, sheet edge trim, turnings, millings and dross.
New scrap does not require a scrap preparation activity.
 The activity ends with wrought aluminium billets.  Note that the dataset excludes salt slag processing and dross recycling (data gap), as well as an output of unspecified metal for recycling output. Dataset documentation https://v38.ecoquery.ecoinvent.org/Details/PDF/95981A8C-56E4-4A0D-A623-0AA5470D805D/06590A66-662A-4885-8494-AD0CF410F956</t>
  </si>
  <si>
    <t>Measured Value: Reported as mineral hydraulicl and quenching oils and used to represent mineral oil fraction of chemical penetrant used for non-destructive testing.</t>
  </si>
  <si>
    <t>Proxy. Reported as powder alcaline etchant. Assumed to be used in solid state, no water was added. Measured value.</t>
  </si>
  <si>
    <t>Calculated value. Based on measured solution volume used, reported concentration 66 Bé which correspond to 96% (w/w). Mass of water is included in deionised water flow.</t>
  </si>
  <si>
    <t>3d4c805c-d375-3a5f-8477-1fc6065cdb7d</t>
  </si>
  <si>
    <t>Re-labelling activity to account for the fraction of globally produced primary aluminium used as wrought alloy. Dataset documentation https://v38.ecoquery.ecoinvent.org/Details/PDF/EA353D56-F2AA-485A-B212-92549885F2A8/06590A66-662A-4885-8494-AD0CF410F956</t>
  </si>
  <si>
    <t>compressed air, 700 kPa gauge</t>
  </si>
  <si>
    <t>market for compressed air, 700 kPa gauge | compressed air, 700 kPa gauge | APOS, U</t>
  </si>
  <si>
    <t>metal working machine, unspecified</t>
  </si>
  <si>
    <t>C:Manufacturing/28:Manufacture of machinery and equipment n.e.c./282:Manufacture of special-purpose machinery/2822:Manufacture of metal-forming machinery and machine tools</t>
  </si>
  <si>
    <t>market for metal working machine, unspecified | metal working machine, unspecified | APOS, U</t>
  </si>
  <si>
    <t>b749aa31-2864-3bc3-90cd-7111c8a695f7</t>
  </si>
  <si>
    <t>aluminium drilling, computer numerical controlled | aluminium removed by drilling, computer numerical controlled | APOS, U</t>
  </si>
  <si>
    <t>The reference for drilling is 1 kg of metal removed by drilling. As there is a large variation from factory to factory with regard to the LCI, it is advised that in case this dataset becomes important in the results, it has to be investigated further if the rough estimations made are applicable or not. ;[This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This dataset encompasses the direct electricity consumption of the machine. In the case of CNC drilling compressed air and lubricant oil (incl. disposal) are accounted for. Furthermore, the metal removed is already included. Machine as well as factory infrastructure and operation are considered as well. The metal removed is assumed to be recycled. Maintenance and tool (bit) replacements are not included. Degreasing is not included and has to be added if necessary. Dataset documentation https://v38.ecoquery.ecoinvent.org/Details/PDF/5C536EC7-B9B6-4206-8CFD-0F4593A8004F/06590A66-662A-4885-8494-AD0CF410F956</t>
  </si>
  <si>
    <t>Material removed</t>
  </si>
  <si>
    <t>Estimated</t>
  </si>
  <si>
    <t>(1;3;5;1;3)</t>
  </si>
  <si>
    <t>aluminium removed by drilling, computer numerical controlled</t>
  </si>
  <si>
    <t>af7962cd-62c2-319e-bfd8-ee2c21ebc7ce</t>
  </si>
  <si>
    <t>aluminium milling, average | aluminium removed by milling, average | APOS, U</t>
  </si>
  <si>
    <t>The reference for milling is 1 kg of metal removed. As there is a large variation from factory to factory with regard to the LCI, it is advised that in case this dataset becomes important in the results, it has to be investigated further if the rough estimations made are applicable or not. If you do not know how much has been removed by turning you can use 0.23kg of this process per kg of final product as an average assumption.;[This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This dataset encompasses the direct electricity consumption of the machine as well as compressed air and lubricant oil. Furthermore, the metal removed is included. Machine as well as factory infrastructure and operation are considered as well. The disposal of the lubricant oil is also included while the metal removed is assumed to be recycled. Degreasing is not included and has to be added if necessary Dataset documentation https://v38.ecoquery.ecoinvent.org/Details/PDF/9D96AE57-8B37-402E-9EF4-F7AA5AC3BCDA/06590A66-662A-4885-8494-AD0CF410F956</t>
  </si>
  <si>
    <t>(4;3;5;1;4)</t>
  </si>
  <si>
    <t>(2;3;5;3;3)</t>
  </si>
  <si>
    <t>Calculated based on literature, (Vionnet, S., Quantis Water Database - Technical Report, 2012). Assumed to have the same or very similar water use as "milling, steel, average". The water use is an aritmetic average of two milling technologies; plate mill and hot strip mill. It includes the water use during milling of steel. The process boundaries are defined by the technology boundaries; i.e. The process starts when the steel enter the milling machine. The process ends when the steel leaves the milling machine.</t>
  </si>
  <si>
    <t>(3;3;5;2;1)</t>
  </si>
  <si>
    <t>aluminium removed by milling, average</t>
  </si>
  <si>
    <t>Estimated disposal pathway</t>
  </si>
  <si>
    <t>eeefc225-67c0-3bcc-ae31-5f2b71ea9636</t>
  </si>
  <si>
    <t>aluminium turning, average, computer numerical controlled | aluminium removed by turning, average, computer numerical controlled | APOS, U</t>
  </si>
  <si>
    <t>The reference for turning is 1 kg of metal removed. As there is a large variation from factory to factory with regard to the LCI, it is advised that in case this dataset becomes important in the results, it has to be investigated further if the rough estimations made are applicable or not. If you do not know how much has been removed by turning you can use 0.23kg of this process per kg of final product as an average assumption.;[This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This dataset encompasses the direct electricity consumption of the machine as well as compressed air and lubricant oil. Furthermore, the metal removed is included. Machine as well as factory infrastructure and operation are considered as well. The disposal of the lubricant oil is also included while the metal removed is assumed to be recycled. Degreasing is not included and has to be added if necessary. Dataset documentation https://v38.ecoquery.ecoinvent.org/Details/PDF/1385E4BA-3522-49E0-813D-301782D42164/06590A66-662A-4885-8494-AD0CF410F956</t>
  </si>
  <si>
    <t>aluminium removed by turning, average, computer numerical controlled</t>
  </si>
  <si>
    <t>3d58b94b-b6a3-3f37-8a77-27e1913bd8c0</t>
  </si>
  <si>
    <t>welding, arc, aluminium | welding, arc, aluminium | APOS, U</t>
  </si>
  <si>
    <t>Based on rather rough estimates. Not to be used if welding is of importance in the system considered.;[This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Includes the arc welding of aluminium and the transports of the filler rod and the protective gas to the place of use.  Dataset documentation https://v38.ecoquery.ecoinvent.org/Details/PDF/23E0C206-CBA6-4A1E-A1F3-4A27F814C904/06590A66-662A-4885-8494-AD0CF410F956</t>
  </si>
  <si>
    <t>argon, crude, liquid</t>
  </si>
  <si>
    <t>market for argon, crude, liquid | argon, crude, liquid | APOS, U</t>
  </si>
  <si>
    <t>Ozone</t>
  </si>
  <si>
    <t>d9b54aee-b575-3bf7-b90d-c8317c3c6b79</t>
  </si>
  <si>
    <t>casting, aluminium, lost-wax | casting, aluminium, lost-wax | APOS, U</t>
  </si>
  <si>
    <t>This dataset represents the service of casting of aluminium parts using the lost-wax casting, or investment casting, method. This method is one of the oldest known metal working technics. While sand casting is the most frequently use casting technic, lost-wax casting is used for small, up to 32 kg, and precision parts, for exmple for the aeronautical sector. Although more expensive and intensive than sand casting or die casting, it requires less machining and surface finishing. Dataset represenst casting of 1 kg of aluminium and aluminum low-alloy parts by lost-wax casting. It includes materials and energy inputs, waste and emissions. Infrastructure are estimated. Production of metal in final part is excluded, only aluminum associated with losses and its waste management is included. Losses are estimated at 26.1% of aluminium input (or 35.3% of cast product), 97.5% are sent to recycling, the rest is lost in waste sludge. Lost-wax casting starting from the reception of aluminium and metal alloy inputs and other materials for casting process. This activity ends with the aluminium cast. The dataset includes mold manufacturing, melting of aluminium and alloy inputs, casting, dewaxing, cutting, grinding, straightening, machining, and non-destructive testing (NDT). The dataset does not inclue the final product material and alloying additives. Metal losses are included as generic primiary aluminium input. Dataset documentation https://v38.ecoquery.ecoinvent.org/Details/PDF/CE141C39-78D8-4901-8256-5CDEF37B5079/06590A66-662A-4885-8494-AD0CF410F956</t>
  </si>
  <si>
    <t>Calculated value. Correspond to aluminium losses. Aluminium is either sent to an external recycler or is disposed as aluminium containing sludge.</t>
  </si>
  <si>
    <t>Measured Value. Based on reported electricity consumption for the whole facility, including offices, over one year. From 7 to 10 times more metal is melted than in final cast part. The most of the unused metal is recoverd and internally recycled.</t>
  </si>
  <si>
    <t>Calculated value. Reported as gas volume.</t>
  </si>
  <si>
    <t>Calculated value. Reported as volume. Used in forklift.</t>
  </si>
  <si>
    <t>Measured value. Used for casting process (mixing, shell breaking, etc.) and for air emissions treatment (scrubbers).</t>
  </si>
  <si>
    <t>Calculated value. Water content of chemical solutions, namely in collodial silica, quenching agent and sulfuric acid.</t>
  </si>
  <si>
    <t>Measured value. Aluminium scrap send to recycling.</t>
  </si>
  <si>
    <t>casting, aluminium, lost-wax</t>
  </si>
  <si>
    <t>Measured value. Includes settling inorganic sludge (high water content) and aluminium containing sludge (from post-casting cutting, grinding and machining), other waste: fluorescent tubes, alcaline batteries and chromium contaminated leather.</t>
  </si>
  <si>
    <t>Partial proxy. Represents waste mineral oil and waste wax used for molds (sold to supplier who treats and resells it, there is no dataset in database to represent this rerefinement activity). Calculated value.</t>
  </si>
  <si>
    <t>Measured Value. Includes 0.1442 kg of isopropanol recovered from scrubbers (there is no specific wastewater treatment dataset in database for that substance).</t>
  </si>
  <si>
    <t>Drilling</t>
  </si>
  <si>
    <t>Powder Coating</t>
  </si>
  <si>
    <t>Liquid Painting</t>
  </si>
  <si>
    <t>Anodizing</t>
  </si>
  <si>
    <t>Primary Liquid Aluminum (Prebaked)</t>
  </si>
  <si>
    <t>Primary Liquid Aluminum (Söderberg)</t>
  </si>
  <si>
    <t>Aluminum Component</t>
  </si>
  <si>
    <t>Painted Product</t>
  </si>
  <si>
    <t>Electrode</t>
  </si>
  <si>
    <t>Finished Product</t>
  </si>
  <si>
    <t>Pitch Production</t>
  </si>
  <si>
    <t>Coke Production</t>
  </si>
  <si>
    <t>Caustic Soda Production</t>
  </si>
  <si>
    <t>Eletricidade</t>
  </si>
  <si>
    <t>Transferência de Calor</t>
  </si>
  <si>
    <t>Transferência de Calor (Outros)</t>
  </si>
  <si>
    <t>Transferência de Calor (Gás Natural)</t>
  </si>
  <si>
    <t>Milling</t>
  </si>
  <si>
    <t>Turning</t>
  </si>
  <si>
    <t>Welding</t>
  </si>
  <si>
    <t>hard Coal</t>
  </si>
  <si>
    <t>Soda Caustica</t>
  </si>
  <si>
    <t>Mix 5</t>
  </si>
  <si>
    <t>Electrolysis Aluminum Loss</t>
  </si>
  <si>
    <t>Impurezas / Perdas de Processo</t>
  </si>
  <si>
    <t>Dados de Processo</t>
  </si>
  <si>
    <t>Dados de Energia</t>
  </si>
  <si>
    <t>Observação</t>
  </si>
  <si>
    <t>Célula de Eletrólise</t>
  </si>
  <si>
    <t>Resfriamento</t>
  </si>
  <si>
    <t>Perda aproxima 0%</t>
  </si>
  <si>
    <t xml:space="preserve"> CADEIA DE PRODUÇÃO</t>
  </si>
  <si>
    <t>ENERGIA POR PROCESSO</t>
  </si>
  <si>
    <t>MATRIZ ENERGÉTICA % (gCO2e/MJ)</t>
  </si>
  <si>
    <t>FATORES DO BALANÇO UNITÁRIO</t>
  </si>
  <si>
    <t>FBU</t>
  </si>
  <si>
    <t>25be9059-3874-4cf3-924c-636910e3cea0</t>
  </si>
  <si>
    <t>Data on Al(OH)3 extraction and calcination to Al2O3 was aggregated on original source (International ALuminium Institute 2015 LCI survey, IAI personnal communication in 2017). In- and outputs of Al(OH)3 are calculated according to the stoichiometry (1.530 kg Al(OH)3 --&gt; 1.000 kg Al2O3 + 0.530 kg H2O). Separate energy data was provided by IAI for production of hydrate and calcination processes. The Al(OH)3 extraction process involves adding milled bauxite to a hot caustic soda (NaOH) solution, dissolving the aluminium-bearing minerals (gibbsite, böhmite and diaspore) present to form a sodium aluminate supersaturated solution or “pregnant liquor”. Flocculants are added to aid settling and the solution is progressively cooled causing aluminium hydroxide crystals to precipitate. Further information can be found at http://bauxite.world-aluminium.org/refining/process.html.;Two sources were used in the creation of this dataset: IAI 2015 Survey data (officially published in 2017);  and original ecoinvent 2 data (Althaus, 2007) for exchanges unreported by IAI. Unit process starts with the unloading of the process materials to their storage areas on site.  Includes transport of bauxite and other inputs to the calcination plant, the extraction of Al(OH)3 (grinding, digestion and precipitation) and the disposal of the wastes.  Also includes maintenance and repair of plant and equipment and  treatment of process air, liquids and solids.  
The output of the original IAI dataset is smelter grade alumina.  However, by removing the energy inputs for calcination, the intended output of this unit process is aluminium hydroxide.
 Dataset documentation https://v38.ecoquery.ecoinvent.org/Details/PDF/174AD08C-A037-43E2-B529-0A77C9188933/06590A66-662A-4885-8494-AD0CF410F956</t>
  </si>
  <si>
    <t>IAI 2015 data.  Reported on a wet mass basis, dry mass is estimated as 88%</t>
  </si>
  <si>
    <t>As reported by IAI energy survey (2015), reporting rate is 82% by production</t>
  </si>
  <si>
    <t>Diesel combustion.  As reported by IAI 2015 Energy survey</t>
  </si>
  <si>
    <t>(1;2;5;1;2)</t>
  </si>
  <si>
    <t xml:space="preserve">IAI 2015 data. </t>
  </si>
  <si>
    <t>Dry mass</t>
  </si>
  <si>
    <t>IAI 2015 data. recycled by products are excluded, only landfilled waste.</t>
  </si>
  <si>
    <t xml:space="preserve">IAI 2015 data.  </t>
  </si>
  <si>
    <t xml:space="preserve">IAI 2015 Data, </t>
  </si>
  <si>
    <t>IAI 2015 data.</t>
  </si>
  <si>
    <t>IAI data reported as "Fresh Water consumption"</t>
  </si>
  <si>
    <t>0% impureza da Bauxita, 2.048 com impureza alta</t>
  </si>
  <si>
    <t>Model Output Product</t>
  </si>
  <si>
    <t>Process ID</t>
  </si>
  <si>
    <t>Inventory result</t>
  </si>
  <si>
    <t>Impact assessment result</t>
  </si>
  <si>
    <t>IPCC 2013 GWP 100a</t>
  </si>
  <si>
    <t>kg CO2 eq</t>
  </si>
  <si>
    <t>Global Warming</t>
  </si>
  <si>
    <t>e254e0c9-e257-4a96-af46-e48b107b2709</t>
  </si>
  <si>
    <t>aluminum fluoride</t>
  </si>
  <si>
    <t>aluminum hydroxide</t>
  </si>
  <si>
    <t>Aluminum hydroxide</t>
  </si>
  <si>
    <t>aluminum oxide, metallurgical</t>
  </si>
  <si>
    <t>Process Electricity Consumption (kWh)</t>
  </si>
  <si>
    <t>Cast Aluminium</t>
  </si>
  <si>
    <t>068eaea8-4896-3123-b2e4-75fbd43e4649</t>
  </si>
  <si>
    <t>Aluminum Sheet</t>
  </si>
  <si>
    <t>b4272c41-1e77-35cd-8bc9-4512dddad6f8</t>
  </si>
  <si>
    <t xml:space="preserve">Aluminum Stamping </t>
  </si>
  <si>
    <t>Aluminum Drilling</t>
  </si>
  <si>
    <t>Aluminum Milling</t>
  </si>
  <si>
    <t>Aluminum Turning</t>
  </si>
  <si>
    <t>Aluminum Welding</t>
  </si>
  <si>
    <t>dfebb017-13d7-3d9c-9e6b-ac9dd7bdf657</t>
  </si>
  <si>
    <t>Aluminum Powder Coating</t>
  </si>
  <si>
    <t>Impact Analysis</t>
  </si>
  <si>
    <t>Ecoinvent (kg CO2eq/ ton of PO)</t>
  </si>
  <si>
    <t>Electrolytic  Coating</t>
  </si>
  <si>
    <t>Cryolite (HF)</t>
  </si>
  <si>
    <t>Cryolite (H2SiF6)</t>
  </si>
  <si>
    <t>Aluminum Rod/Bar</t>
  </si>
  <si>
    <t xml:space="preserve">Check Output Product </t>
  </si>
  <si>
    <t>This dataset describes the operation of a typical oil refinery in the given geography. Since refineries are very complex the actual unit process modeling is done in a separate refinery model by ifeu and this is a subdivided product-specific dataset.;The ifeu refinery model reproduces the complexity of petroleum refinery plants in which the combination and sequence of processes are usually very specific to the characteristics of the raw materials (i.e. the close relation between the composition of the crude oil and the products to be produced). Refineries differ not only in their configurations, process integration, feedstocks, product mixes, unit sizes, designs, and control systems but also the market situations, locations and ages of the refinery or environmental regulations can result in a wide variety of refinery concepts. It represents the current European state-of-the-art. The basic setting of the model reflects the technical characteristics of European refineries as described in the BREF - BAT reference document for the Refining of Mineral Oil and Gas. Further specific data was collected from companies and production plants and was incorporated in order to elaborate a comprehensive and robust model of a refinery.;The BREF contains not only aggregated numbers or weighted averages of emission and energy or water consumptions, but also encompasses primary data of the majority of refineries in Europe in anonymous form. The data quality is excellent. This data source has been complemented by various specific confidential refinery datasets, by values from Eurostat (e.g. in the case of the energy source mix or process energy), and by literature data. In the case of the BREF, a range of values were mentioned as process parameters for which the arithmetic averages were applied. After adapting the model to the up-to-date mass and energy flows within the European refineries, it has been validated and calibrated by comparing the results to the dataset of the BREF, the Eurostat and the European Pollutant Release and Transfer Register (E-PRTR).;Despite the default settings (weighted EU average), the refinery model was adjusted to fit typical refinery production data in the special geographies. In order to do this data from the refineries in the countries was analysed and an assessment of the refinery complexity (according to the BREF classes) was done. Furthermore crude oil qualities were researched an adjusted (e.g. sulphur content and API class) to fit the specified geography.;Documentation for this model can be found in the ecoinvent refinery report by Fehrenbach et al. (2018). Activity starts with crude oil entering the petroleum refinery.  Waste water treatment, fresh water supply (from nature), refinery infrastructure, crude oil and product storage on refinery grounds and energy provision is included. Activity ends with refinery products leaving the petroleum refinery. Mineral oil refineries are highly integrated multi-output production plants where nearly each process step creates a few co-products. ;Unlike many other refinery models, which tend to consider a refinery as a black-box, here a step by step calculation of the complex network of refinery processes was done and gives an integrated sum of all connected processes. The allocation is executed within each of these steps allowing the implementation of the allocation rules at process step level separately and globally, over the system of all steps.;The allocation approach implemented within the ifeu refinery model is designed to consider the complexity of the production system, the valuation of the products (upgrading/downgrading of feedstock material during a specific process), real physical mass flows. The combined allocation procedure is stated by the following sequence of four rules:;1. the general allocation rule refers to the energy content (Rationale: the majority of refinery products are used for energy purposes.);2. The expenditures for the first step of separation (atmospheric distillation) are allocated to all co-products, including the atmospheric residue (Rationale: all co-products from atmospheric distillation will end up in marketable final products.);3. The expenditures for any subsequent process step intended to reduce the quantity of non-intended products (i.e. vacuum distillation and cracking) are allocated to all co-products except for the non-intended products (residues). (Rationale: all these downstream processes within the refinery are intended to reduce non-intended products in favour to increase the yield of non-residual co-products; hence, the expenditures are only allocated to the yielded products.);4. Retention of feedstock: The 3rd rule refers to the allocation of the respective process expenditures; it does not include the allocation of feedstocks. The input material (feedstock) into a refinery process step is always allocated according to the 1st rule: e.g. visbreaker residue takes 40 % energy content of the totalized co-product output of a visbreaker cracker output therefore 40 % of the visbreaker input (vacuum distillate) and its upstream burden is allocated to the visbreaker residue . (Rationale: Although the downstream processing steps are not intended to produce residues only to reduce them, the residual final products derived from residues (e.g. heavy fuel oil, petroleum coke) are defined as refinery products and not as wastes; if the 3rd rule would apply also for the allocation of feedstock, all final products from non-intended products (residues) would finally achieve LCIs with zero expenditures and emission; de facto they would be treated the same way as waste.) ;The combined allocation procedure involves following consequences:;• The LCI of every refinery product encloses at least 1 MJ crude oil per MJ product feedstock; considering that some refinery products have lower LHVs than crude oil (e.g. petroleum coke or heavy fuel oil), such refinery products enclose less than 1 kg crude oil per kg product;;• Final products with relevant shares derived from sequential processing accumulate higher loads than products predominantly derived from straight-run;;• An exception is the heavy products derived from non-intended products, even if they pass a cascade of cracking processes; without rule 3 and 4 heavy fuel oil would turn out to be the product with the highest burden, which would contradict any value-based perception of the refining business.  Dataset documentation https://v38.ecoquery.ecoinvent.org/Details/PDF/2EC7D72B-98DF-49EC-8253-584F59B6072C/06590A66-662A-4885-8494-AD0CF410F956</t>
  </si>
  <si>
    <t>(3;2;3;1;2)</t>
  </si>
  <si>
    <t>petroleum and gas production, on-shore | petroleum | APOS, U</t>
  </si>
  <si>
    <t>Activity link set for input of petroleum (crude oil) to link refinery operation in Brazil to supply from domestic onshore/offshore oil production. The relative input shares were derived from national statistics (ANP 2019), based on total inland production and gross imports, resulting in 89.6% and 4.0% from domestic offshore and onshore production, respectively, and 6.3% from imports.
Source: Agência Nacional do Petróleo, Gás Natural e Biocombustíveis (2019). Anuário Estatístico 2019. Available at: www.anp.gov.br/publicacoes/anuario-estatistico/5237-anuario-estatistico-2019. [Accessed on 04/06/2020]</t>
  </si>
  <si>
    <t>The relative input shares of petroleum from domestic and foreign production were derived from national statistics (ANP 2019), based on total inland production and gross imports, resulting in 89.6% and 4.0% from domestic offshore and onshore production, respectively, and 6.3% from imports.
Source: Agência Nacional do Petróleo, Gás Natural e Biocombustíveis (2019). Anuário Estatístico 2019. Available at: www.anp.gov.br/publicacoes/anuario-estatistico/5237-anuario-estatistico-2019. [Accessed on 04/06/2020]</t>
  </si>
  <si>
    <t>petroleum and gas production, off-shore | petroleum | APOS, U</t>
  </si>
  <si>
    <t>Water, cooling, unspecified natural origin, BR</t>
  </si>
  <si>
    <t>Water, unspecified natural origin, BR</t>
  </si>
  <si>
    <t>share of DOC to TOC is estimated with 98%</t>
  </si>
  <si>
    <t>Water, BR</t>
  </si>
  <si>
    <t>New Scrap</t>
  </si>
  <si>
    <t>Primary</t>
  </si>
  <si>
    <t>Old Scrap</t>
  </si>
  <si>
    <t>%</t>
  </si>
  <si>
    <t>Geração de Calor</t>
  </si>
  <si>
    <t>Aluminium ingots of 500-700 mm thickness and up to 25 tonnes weight, are rolled, first hot, then cold, to a final sheet thickness ranging from 0.2 to 6 mm. The module can be applied also for section bar rolling of aluminium.;[This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All the process steps, which can be attributed to semi-fabrication (sawing, scalping, hot rolling, cold rolling, solution heat treatment, finishing and packaging), are included. Does not include the material beeing rolled, only the amount of scrap lost in waste is balanced as primary aluminium input. Includes the transport of the materials to the plant, but does not include the transport of the product to the customer. Dataset documentation https://v38.ecoquery.ecoinvent.org/Details/PDF/F4678EC6-DC0A-46D6-AA2A-7750F34A31F3/06590A66-662A-4885-8494-AD0CF410F956</t>
  </si>
  <si>
    <t>Calculated based on literature, (Vionnet, S., Quantis Water Database - Technical Report, 2012). It includes the processes: hot rolling, acid pickling, cold rolling and finishing. It is assumed that water use is reported as a sum and that 100% is used as process water (material conditioning = water comes into contact with the product).</t>
  </si>
  <si>
    <t>Geração de Calor (Gás Natural)</t>
  </si>
  <si>
    <t>Geração de Calor (Outros)</t>
  </si>
  <si>
    <t>Heated aluminium is forced through one or more dies under extreme force to produce the desired shape. A great number of different shapes, and therefore possible apllications, can be achieved by extrusion of aluminium.;[This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All the process steps, which can be attributed to semi-fabrication (sawing, scalping, preheating, extrusion, stretching, sawing, ageing and packaging), are included. Does not include the material beeing extruded, only the amount of scrap lost in waste is balanced as primary aluminium input. Includes the transport of the materials to the plant, but does not include the transport of the product to the customer. Dataset documentation https://v38.ecoquery.ecoinvent.org/Details/PDF/594F81B0-B7C7-4B21-B499-2CB2BDF8944E/06590A66-662A-4885-8494-AD0CF410F956</t>
  </si>
  <si>
    <t>e0691729-03a4-31b2-836d-1242d8b8c304</t>
  </si>
  <si>
    <t>impact extrusion of aluminium, deformation stroke | impact extrusion of aluminium, deformation stroke | APOS, U</t>
  </si>
  <si>
    <t>C:Manufacturing/25:Manufacture of fabricated metal products, except machinery and equipment/259:Manufacture of other fabricated metal products; metalworking service activit/2591:Forging, pressing, stamping and roll-forming of metal; powder metallurgy</t>
  </si>
  <si>
    <t>The reference for impact extrusion is 1 kg of metal formed by impact extrusion. As there is a large variation from factory to factory with regard to the LCI, it is advised that in case this dataset becomes important in the results, it has to be investigated further if the rough estimations made are applicable or not. ;[This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This dataset encompasses the electricity consumption of the machine as well as common pre- and post treatments. Furthermore, machine as well as factory infrastructure and operation are considered as well.  Dataset documentation https://v38.ecoquery.ecoinvent.org/Details/PDF/3D4871A9-2AEC-4E0A-84A7-61D8BE96B895/06590A66-662A-4885-8494-AD0CF410F956</t>
  </si>
  <si>
    <t>impact extrusion of aluminium, deformation stroke</t>
  </si>
  <si>
    <t>The powder inventoried is mainly used in exterior architectural applications. The coating thickness is 80 um. The heat consumption is calculated for a sheet of 2 mm thickness.;[This dataset was already contained in the ecoinvent database version 2. It was not individually updated during the transfer to ecoinvent version 3. Life Cycle Impact Assessment results may still have changed, as they are affected by changes in the supply chain, i.e. in other datasets. This dataset was generated following the ecoinvent quality guidelines for version 2. It may have been subject to central changes described in the ecoinvent version 3 change report (http://www.ecoinvent.org/database/ecoinvent-version-3/reports-of-changes/), and the results of the central updates were reviewed extensively. The changes added e.g. consistent water flows and other information throughout the database. The documentation of this dataset can be found in the ecoinvent reports of version 2, which are still available via the ecoinvent website. The change report linked above covers all central changes that were made during the conversion process.]  Chromatising of the aluminium sheet, powder coating and heat curing. No transports of the aluminium sheet to the coating plant or back are inventoried. Dataset documentation https://v38.ecoquery.ecoinvent.org/Details/PDF/BCE97B73-3D89-45C0-9B10-C8A536983069/06590A66-662A-4885-8494-AD0CF410F956</t>
  </si>
  <si>
    <t>chromium oxide, flakes</t>
  </si>
  <si>
    <t>market for chromium oxide, flakes | chromium oxide, flakes | APOS, U</t>
  </si>
  <si>
    <t>Calculated based on literature, (Vionnet, S., Quantis Water Database - Technical Report, 2012). Thickness of the coating layer is 2microm. The process starts when untreated surface (aluminium sheet) enters the coating plant. It includes the processes: pre-treatment (cleaning) and coating itself. 
Calculated based on literature, (Vionnet, S., Quantis Water Database - Technical Report, 2012). Thickness of the coating layer is 2£m. The process starts when untreated surface (aluminium sheet) enters the coating plant. It includes the processes: pre-treatment (cleaning) and coating itself.</t>
  </si>
  <si>
    <t>Twice the uncertainty of COD</t>
  </si>
  <si>
    <t>Twice the uncertainty of TOC</t>
  </si>
  <si>
    <t>Processes Group</t>
  </si>
  <si>
    <t>Parameters</t>
  </si>
  <si>
    <t>GJ</t>
  </si>
  <si>
    <t>kg CO2e</t>
  </si>
  <si>
    <t>kg CO2e/ GJ</t>
  </si>
  <si>
    <t>ND</t>
  </si>
  <si>
    <t>Freight (ton.km)</t>
  </si>
  <si>
    <r>
      <t>kg CO</t>
    </r>
    <r>
      <rPr>
        <vertAlign val="subscript"/>
        <sz val="11"/>
        <color rgb="FF000000"/>
        <rFont val="Calibri"/>
        <family val="2"/>
      </rPr>
      <t>2</t>
    </r>
    <r>
      <rPr>
        <sz val="11"/>
        <color theme="1"/>
        <rFont val="Calibri"/>
        <family val="2"/>
        <scheme val="minor"/>
      </rPr>
      <t>e</t>
    </r>
  </si>
  <si>
    <r>
      <t>kg CO</t>
    </r>
    <r>
      <rPr>
        <vertAlign val="subscript"/>
        <sz val="11"/>
        <color rgb="FF000000"/>
        <rFont val="Calibri"/>
        <family val="2"/>
      </rPr>
      <t>2</t>
    </r>
    <r>
      <rPr>
        <sz val="11"/>
        <color theme="1"/>
        <rFont val="Calibri"/>
        <family val="2"/>
        <scheme val="minor"/>
      </rPr>
      <t>e/ GJ</t>
    </r>
  </si>
  <si>
    <t>Electrolysis (prebaked)</t>
  </si>
  <si>
    <t>Electrolysis (Söderberg)</t>
  </si>
  <si>
    <t>Electrolysis (Prebaked)</t>
  </si>
  <si>
    <t>Cast Aluminum</t>
  </si>
  <si>
    <t>Mineração de Bauxita</t>
  </si>
  <si>
    <t>Processos Bayer</t>
  </si>
  <si>
    <t>Eletrólise</t>
  </si>
  <si>
    <t>Outros</t>
  </si>
  <si>
    <t>Produção de Ânodo</t>
  </si>
  <si>
    <t>Bibliografia (44% scrap)</t>
  </si>
  <si>
    <t>Dados Eugênia (?% scrap)</t>
  </si>
  <si>
    <t>Ecoinvent (44% scrap)</t>
  </si>
  <si>
    <t>kgCO2eq</t>
  </si>
  <si>
    <t>Total GHG</t>
  </si>
  <si>
    <t>Total Energia</t>
  </si>
  <si>
    <t>gCO2eq/kWh</t>
  </si>
  <si>
    <t>Frete</t>
  </si>
  <si>
    <t>Secundário</t>
  </si>
  <si>
    <t>Fonte de Energia</t>
  </si>
  <si>
    <t>ABAL</t>
  </si>
  <si>
    <t>Ecoinvent_P_noscrap</t>
  </si>
  <si>
    <t>Ecoinvent_P</t>
  </si>
  <si>
    <t>Ecoinvent_noscrap</t>
  </si>
  <si>
    <t>Ecoinvent_onlyscrap</t>
  </si>
  <si>
    <t>Fuel Oil</t>
  </si>
  <si>
    <t>ABAL_noscrap</t>
  </si>
  <si>
    <t>ABAL_onlyscrap</t>
  </si>
  <si>
    <t>ABAL_P</t>
  </si>
  <si>
    <t>ABAL_P_noscrap</t>
  </si>
  <si>
    <t>LPG</t>
  </si>
  <si>
    <t>ABAL (38.5% scrap)</t>
  </si>
  <si>
    <t>Anuário Estatístico ABAL 2022</t>
  </si>
  <si>
    <t>Albras</t>
  </si>
  <si>
    <t>Aluvale</t>
  </si>
  <si>
    <t>CBA</t>
  </si>
  <si>
    <t>Novelis</t>
  </si>
  <si>
    <t>South32</t>
  </si>
  <si>
    <t>Valesul</t>
  </si>
  <si>
    <t>Produção de Alumínio Primário (Mil Toneladas)</t>
  </si>
  <si>
    <t>Localização</t>
  </si>
  <si>
    <t>Extração de Bauxita (Mil Toneladas)</t>
  </si>
  <si>
    <t>Alcoa (Poços de Caldas)</t>
  </si>
  <si>
    <t>Alcoa (Juriti)</t>
  </si>
  <si>
    <t xml:space="preserve">CBA </t>
  </si>
  <si>
    <t>Ingot Casting</t>
  </si>
  <si>
    <t>Al Alloy Series 1</t>
  </si>
  <si>
    <t>Al Alloy Series 5</t>
  </si>
  <si>
    <t>Al Alloy Series 6</t>
  </si>
  <si>
    <t>Al Alloy Series 7</t>
  </si>
  <si>
    <t>general use Al</t>
  </si>
  <si>
    <t>Baixa Liga para Estruturas</t>
  </si>
  <si>
    <t>Liga para Uso Geral</t>
  </si>
  <si>
    <t>Low Allow - Structures</t>
  </si>
  <si>
    <t>Duralumin</t>
  </si>
  <si>
    <t>Duralumínio</t>
  </si>
  <si>
    <t>Alta Liga para Fundição</t>
  </si>
  <si>
    <t>Al Ingot</t>
  </si>
  <si>
    <t>Cr</t>
  </si>
  <si>
    <t>Ti</t>
  </si>
  <si>
    <t>Primary Aluminum</t>
  </si>
  <si>
    <t>Scrap Al</t>
  </si>
  <si>
    <t>Alloying Elements</t>
  </si>
  <si>
    <r>
      <t>Kg CO</t>
    </r>
    <r>
      <rPr>
        <b/>
        <vertAlign val="subscript"/>
        <sz val="11"/>
        <color rgb="FF7030A0"/>
        <rFont val="Calibri"/>
        <family val="2"/>
        <scheme val="minor"/>
      </rPr>
      <t>2</t>
    </r>
    <r>
      <rPr>
        <b/>
        <sz val="11"/>
        <color rgb="FF7030A0"/>
        <rFont val="Calibri"/>
        <family val="2"/>
        <scheme val="minor"/>
      </rPr>
      <t>e/KG</t>
    </r>
  </si>
  <si>
    <t>Matriz Energética</t>
  </si>
  <si>
    <t>Matriz de Processos</t>
  </si>
  <si>
    <r>
      <t>g CO</t>
    </r>
    <r>
      <rPr>
        <vertAlign val="subscript"/>
        <sz val="10"/>
        <color rgb="FF7030A0"/>
        <rFont val="Calibri"/>
        <family val="2"/>
        <scheme val="minor"/>
      </rPr>
      <t>2</t>
    </r>
    <r>
      <rPr>
        <sz val="10"/>
        <color rgb="FF7030A0"/>
        <rFont val="Calibri"/>
        <family val="2"/>
        <scheme val="minor"/>
      </rPr>
      <t>e/MJ</t>
    </r>
  </si>
  <si>
    <t>MJ/kg</t>
  </si>
  <si>
    <t>Índice</t>
  </si>
  <si>
    <t>Un.</t>
  </si>
  <si>
    <t>Etapas do Processo</t>
  </si>
  <si>
    <t>kg PI/AL</t>
  </si>
  <si>
    <t>MJ/kg PI</t>
  </si>
  <si>
    <t>MJ/kg AL</t>
  </si>
  <si>
    <t>% perdas</t>
  </si>
  <si>
    <t xml:space="preserve">% Al </t>
  </si>
  <si>
    <t>-</t>
  </si>
  <si>
    <t>Frete dos Insumos</t>
  </si>
  <si>
    <t>Natural Gas</t>
  </si>
  <si>
    <t>Frete da Alumina</t>
  </si>
  <si>
    <r>
      <t>kg CO</t>
    </r>
    <r>
      <rPr>
        <vertAlign val="subscript"/>
        <sz val="8"/>
        <color theme="1"/>
        <rFont val="Calibri"/>
        <family val="2"/>
        <scheme val="minor"/>
      </rPr>
      <t>2</t>
    </r>
    <r>
      <rPr>
        <sz val="8"/>
        <color theme="1"/>
        <rFont val="Calibri"/>
        <family val="2"/>
        <scheme val="minor"/>
      </rPr>
      <t>e/kg</t>
    </r>
  </si>
  <si>
    <t>Bauxite Processing</t>
  </si>
  <si>
    <t>Digestion</t>
  </si>
  <si>
    <t>% participação</t>
  </si>
  <si>
    <t>Manufacture</t>
  </si>
  <si>
    <t>Coating</t>
  </si>
  <si>
    <t>Frete do Alumínio</t>
  </si>
  <si>
    <t>Frete dos Produtos de Alumínio</t>
  </si>
  <si>
    <t>ECOINVENT</t>
  </si>
  <si>
    <t>BERKELEY</t>
  </si>
  <si>
    <t>Bibliografia E</t>
  </si>
  <si>
    <t>IAI</t>
  </si>
  <si>
    <t>TAA</t>
  </si>
  <si>
    <t>World Benchmark</t>
  </si>
  <si>
    <t>Limite Físico</t>
  </si>
  <si>
    <t>Average</t>
  </si>
  <si>
    <t>Scopo 1 e 2 (até primário c/ 38,5% scrap)</t>
  </si>
  <si>
    <t>kg CO2e/ton</t>
  </si>
  <si>
    <t>Scopo 1 e 2 (tudo com 38,5% scrap)</t>
  </si>
  <si>
    <t>ACV  (tudo com 38,5% scrap)</t>
  </si>
  <si>
    <t>gCO2e/MJ</t>
  </si>
  <si>
    <t>GJ/ton PA</t>
  </si>
  <si>
    <t>Unitário
GJ/ton AP</t>
  </si>
  <si>
    <t>Unitário
MWh/ton AP</t>
  </si>
  <si>
    <t>Observações</t>
  </si>
  <si>
    <t>Referências</t>
  </si>
  <si>
    <t>0.12 GJ/ton Bauxita</t>
  </si>
  <si>
    <t>ABAL 2017, ALUMÍNIO BRASILEIRO SOLUÇÕES PARA UMA VIDA SUSTENTÁVEL</t>
  </si>
  <si>
    <t>0.082 mmBTU/ton bauxite (5.6% electricity)</t>
  </si>
  <si>
    <t>GREET2 2023</t>
  </si>
  <si>
    <t>10.3 kg diesel oil, 45 MJ/kg diesel</t>
  </si>
  <si>
    <t>LIFE CYCLE ASSESSMENT OF ALUMINIUM: INVENTORY DATA FOR THE WORLDWIDE PRIMARY ALUMINIUM INDUSTRY</t>
  </si>
  <si>
    <t>range 40 MJ/tonne bauxite</t>
  </si>
  <si>
    <t>IAI., BAC., Wagner, C. (2016). Sustainable Bauxite Mining — A Global Perspective. In: Donaldson, D., Raahauge, B.E. (eds) Essential Readings in Light Metals. Springer, Cham.</t>
  </si>
  <si>
    <t>153 MJ/tonne of mined bauxite</t>
  </si>
  <si>
    <t>Refinaria de Alumina</t>
  </si>
  <si>
    <t>7.27 GJ/ton Alumina</t>
  </si>
  <si>
    <t xml:space="preserve">Balomenos, Efthymios &amp; Panias, Dimitrios &amp; Paspaliaris, Ioannis. (2011). Energy and Exergy Analysis of the Primary Aluminum Production Processes: A Review on Current and Future Sustainability. Mineral Processing and Extractive Metallurgy Review. 32. 69-89. 10.1080/08827508.2010.530721. </t>
  </si>
  <si>
    <t>20.1 total, 0.203MWh/ton alumina (1.925 kg alumina/ kg Al)</t>
  </si>
  <si>
    <t>World Best Practice Energy Intensity Values for Selected Industrial Sectors</t>
  </si>
  <si>
    <t>7.587 mmBTU/ton alumina (domestic North America) (3% electricity)</t>
  </si>
  <si>
    <t>10.205 GJ/ton alumina (Global) (8.3% electricity); 7.992 GJ/ton alumina (South America)</t>
  </si>
  <si>
    <t>https://international-aluminium.org/statistics</t>
  </si>
  <si>
    <t>7.2 GJ/tonne of refined alumina</t>
  </si>
  <si>
    <t>Scarsella, A.A., Noack, S., Gasafi, E., Klett, C., Koschnick, A. (2015). Energy in Alumina Refining: Setting New Limits. In: Hyland, M. (eds) Light Metals 2015. Springer, Cham.</t>
  </si>
  <si>
    <t>pushing to 7 GJ/tonne is possible</t>
  </si>
  <si>
    <t>13.8 GJ/tonne of refined alumina</t>
  </si>
  <si>
    <t>Produção de Alumínio Primário</t>
  </si>
  <si>
    <t>80.85 GJ/ton Al</t>
  </si>
  <si>
    <t>1.2 GJ/ton Al (0.21GJ electricity) (Anode Production); 13.6 MWh/ton Al (electrolysis); 0.35 GJ/ton Al (electricity) (ingot casting)</t>
  </si>
  <si>
    <t>2.78 mmBTU (Anode production 0.42 ton anode/ton Al)(27.6% electricity); 46.953 mmBTU (electrolysis); 1.016 mmBTU (ingot casting) (16.1% electricity)</t>
  </si>
  <si>
    <t>14.103 MWh/ton Al (total); 13.253 MWh/ton Al (electrolysis)</t>
  </si>
  <si>
    <t>World Benchmark 12 kWh/kg aluminum</t>
  </si>
  <si>
    <t>Gupta, A., Basu, B. Sustainable Primary Aluminium Production: Technology Status and Future Opportunities. Trans Indian Inst Met 72, 2135–2150 (2019).</t>
  </si>
  <si>
    <t>Theoretical limit 6.4 kWh/kg aluminum</t>
  </si>
  <si>
    <t>Average 14 kWh/kg aluminum</t>
  </si>
  <si>
    <t>Produção Secundária de Alumínio</t>
  </si>
  <si>
    <t>6% da produção primária</t>
  </si>
  <si>
    <t>natural gas</t>
  </si>
  <si>
    <t>4.983 mmBTU (8.4% electricity)</t>
  </si>
  <si>
    <t>(China) 5041.5 MJ/t (23% electricity)</t>
  </si>
  <si>
    <t>Life-cycle analysis of energy consumption and GHG emissions of aluminium production in China</t>
  </si>
  <si>
    <t>Transformação de Alumínio - Al. Bruto</t>
  </si>
  <si>
    <t>Ecoinvent/GREET2 2023</t>
  </si>
  <si>
    <t>12.51 mmBTU (média simples Extruded, Sheet &amp; Foil) (25.4668% electricity)</t>
  </si>
  <si>
    <t>Transformação de Alumínio - Al. Final</t>
  </si>
  <si>
    <t>11.6565 mmBTU (média simples Extruded &amp; Sheet + Stamping) (29.9946% electricity)</t>
  </si>
  <si>
    <t>ACV (sem Scrap)</t>
  </si>
  <si>
    <t>% GJ</t>
  </si>
  <si>
    <t>ACV (sem Scrap e sem Transformações)</t>
  </si>
  <si>
    <t>Modelo Detalhado</t>
  </si>
  <si>
    <t>Transformação de Alumínio</t>
  </si>
  <si>
    <t>gCO2eq/kg PI</t>
  </si>
  <si>
    <t>gCO2eq/kg Al</t>
  </si>
  <si>
    <t>MJ/kg Al</t>
  </si>
  <si>
    <t>kg PI/kg Al</t>
  </si>
  <si>
    <t>GJ/ton Al</t>
  </si>
  <si>
    <t>Al Alloys</t>
  </si>
  <si>
    <t>Usando Exclusivamente a Rota</t>
  </si>
  <si>
    <t>Ponderado</t>
  </si>
  <si>
    <t>Insumo</t>
  </si>
  <si>
    <t>Insumos do Processo</t>
  </si>
  <si>
    <t>Casting</t>
  </si>
  <si>
    <t>Al Casting Alloy 3</t>
  </si>
  <si>
    <t>Al Casting Alloy 4</t>
  </si>
  <si>
    <t>Elementos de Liga</t>
  </si>
  <si>
    <t>PI = Produto Intermediário (output); Al = Alumínio Secundário</t>
  </si>
  <si>
    <t>Mix Energético</t>
  </si>
  <si>
    <t>Elemento de Liga</t>
  </si>
  <si>
    <t>%Al</t>
  </si>
  <si>
    <t>Liga</t>
  </si>
  <si>
    <t>Fundição</t>
  </si>
  <si>
    <t>kg CO2e total</t>
  </si>
  <si>
    <t>Fator de Emissão</t>
  </si>
  <si>
    <t>Alumínio Secundário</t>
  </si>
  <si>
    <t>Eficiência Energética</t>
  </si>
  <si>
    <t>Mín</t>
  </si>
  <si>
    <t>Modelo</t>
  </si>
  <si>
    <t>Máx</t>
  </si>
  <si>
    <t>Energético Modelo</t>
  </si>
  <si>
    <t>Hidro + Gás</t>
  </si>
  <si>
    <t>Eletricidade + Gás</t>
  </si>
  <si>
    <t>gCO2e/
MJ</t>
  </si>
  <si>
    <t>Mín MJ/
kg PI</t>
  </si>
  <si>
    <t>MJ/
kg PI Adotado</t>
  </si>
  <si>
    <t>Máx MJ/
kg PI</t>
  </si>
  <si>
    <t>gCO2eq/
kg Al</t>
  </si>
  <si>
    <t>gCO2eq/
kg PI</t>
  </si>
  <si>
    <t>MJ/
kg Al</t>
  </si>
  <si>
    <t>MJ/
kg PI</t>
  </si>
  <si>
    <t>kg PI/
AL</t>
  </si>
  <si>
    <r>
      <t>g CO</t>
    </r>
    <r>
      <rPr>
        <vertAlign val="subscript"/>
        <sz val="8"/>
        <color theme="1"/>
        <rFont val="Calibri"/>
        <family val="2"/>
        <scheme val="minor"/>
      </rPr>
      <t>2</t>
    </r>
    <r>
      <rPr>
        <sz val="8"/>
        <color theme="1"/>
        <rFont val="Calibri"/>
        <family val="2"/>
        <scheme val="minor"/>
      </rPr>
      <t>e/
MJ</t>
    </r>
  </si>
  <si>
    <r>
      <t>kg CO</t>
    </r>
    <r>
      <rPr>
        <vertAlign val="subscript"/>
        <sz val="8"/>
        <color theme="1"/>
        <rFont val="Calibri"/>
        <family val="2"/>
        <scheme val="minor"/>
      </rPr>
      <t>2</t>
    </r>
    <r>
      <rPr>
        <sz val="8"/>
        <color theme="1"/>
        <rFont val="Calibri"/>
        <family val="2"/>
        <scheme val="minor"/>
      </rPr>
      <t>e/
kg alloy</t>
    </r>
  </si>
  <si>
    <t>Matérias Primas</t>
  </si>
  <si>
    <t>Frete Minério</t>
  </si>
  <si>
    <t>Conformação Siderúrgica</t>
  </si>
  <si>
    <t>Frete para as Autopeças</t>
  </si>
  <si>
    <t>Conformação Final (Autopeças &amp; Montadoras)</t>
  </si>
  <si>
    <t>Perdas de Processamento</t>
  </si>
  <si>
    <t>Frete para as Montadoras</t>
  </si>
  <si>
    <t>PARÂMETROS DE PROCESSO</t>
  </si>
  <si>
    <t>Ligas</t>
  </si>
  <si>
    <t>Alumínio Líquido Bruto (MJ/kg Alumínio)</t>
  </si>
  <si>
    <t>Alumínio Siderúrgico (MJ/kg Alumínio)</t>
  </si>
  <si>
    <t>Alumínio no Portão da Montadora (MJ/kg Alumínio)</t>
  </si>
  <si>
    <t>Alumínio Primário &amp; Secundário</t>
  </si>
  <si>
    <t>Min</t>
  </si>
  <si>
    <t>Med</t>
  </si>
  <si>
    <t>Max</t>
  </si>
  <si>
    <t>Prioridade</t>
  </si>
  <si>
    <t>Mínimo</t>
  </si>
  <si>
    <t>Médio</t>
  </si>
  <si>
    <t>Máximo</t>
  </si>
  <si>
    <r>
      <rPr>
        <b/>
        <sz val="12"/>
        <rFont val="Arial"/>
        <family val="2"/>
      </rPr>
      <t xml:space="preserve">PARÂMETROS DE EFICIÊNCIA </t>
    </r>
    <r>
      <rPr>
        <b/>
        <sz val="11"/>
        <rFont val="Arial"/>
        <family val="2"/>
      </rPr>
      <t xml:space="preserve">
</t>
    </r>
    <r>
      <rPr>
        <sz val="11"/>
        <rFont val="Arial"/>
        <family val="2"/>
      </rPr>
      <t>(MJ/kg  de produto processado)</t>
    </r>
  </si>
  <si>
    <t>Perdas de Processamento da Sucata</t>
  </si>
  <si>
    <t>PARÂMETROS DE PROCESSO (% da participação)</t>
  </si>
  <si>
    <r>
      <t>Alumínio Líquido Bruto (kg CO</t>
    </r>
    <r>
      <rPr>
        <b/>
        <vertAlign val="subscript"/>
        <sz val="12"/>
        <color theme="1"/>
        <rFont val="Arial"/>
        <family val="2"/>
      </rPr>
      <t>2</t>
    </r>
    <r>
      <rPr>
        <b/>
        <sz val="12"/>
        <color theme="1"/>
        <rFont val="Arial"/>
        <family val="2"/>
      </rPr>
      <t>e/kg Alumínio)</t>
    </r>
  </si>
  <si>
    <r>
      <t>Alumínio Siderúrgico (kg CO</t>
    </r>
    <r>
      <rPr>
        <b/>
        <vertAlign val="subscript"/>
        <sz val="12"/>
        <color theme="1"/>
        <rFont val="Arial"/>
        <family val="2"/>
      </rPr>
      <t>2</t>
    </r>
    <r>
      <rPr>
        <b/>
        <sz val="12"/>
        <color theme="1"/>
        <rFont val="Arial"/>
        <family val="2"/>
      </rPr>
      <t>e/kg Alumínio)</t>
    </r>
  </si>
  <si>
    <r>
      <t>Alumínio no Portão da Montadora (kg CO</t>
    </r>
    <r>
      <rPr>
        <b/>
        <vertAlign val="subscript"/>
        <sz val="12"/>
        <color theme="1"/>
        <rFont val="Arial"/>
        <family val="2"/>
      </rPr>
      <t>2</t>
    </r>
    <r>
      <rPr>
        <b/>
        <sz val="12"/>
        <color theme="1"/>
        <rFont val="Arial"/>
        <family val="2"/>
      </rPr>
      <t>e/kg Alumínio)</t>
    </r>
  </si>
  <si>
    <t>Acumulado</t>
  </si>
  <si>
    <t>Individual</t>
  </si>
  <si>
    <t>variação a menor</t>
  </si>
  <si>
    <t>valor médio da emissão</t>
  </si>
  <si>
    <t>variação a maior</t>
  </si>
  <si>
    <r>
      <t>g CO</t>
    </r>
    <r>
      <rPr>
        <vertAlign val="subscript"/>
        <sz val="10"/>
        <color rgb="FF000000"/>
        <rFont val="Arial"/>
        <family val="2"/>
      </rPr>
      <t>2</t>
    </r>
    <r>
      <rPr>
        <sz val="9"/>
        <color rgb="FF000000"/>
        <rFont val="Arial"/>
        <family val="2"/>
      </rPr>
      <t>e</t>
    </r>
  </si>
  <si>
    <t>Box1</t>
  </si>
  <si>
    <t>Box2</t>
  </si>
  <si>
    <t>Box3</t>
  </si>
  <si>
    <t xml:space="preserve"> (Autopeças &amp; Montadoras)</t>
  </si>
  <si>
    <t>Taxa de sucata no alumínio bruto</t>
  </si>
  <si>
    <t>PARÂMETROS DE EFICIÊNCIA 
(MJ/kg  de produto processado)</t>
  </si>
  <si>
    <t>Primário</t>
  </si>
  <si>
    <t>outras ABAL</t>
  </si>
  <si>
    <t>só energia</t>
  </si>
  <si>
    <t>Primary Ingot Melting</t>
  </si>
  <si>
    <t>Alumínio Primário + Secundário</t>
  </si>
  <si>
    <t>Alumínio Metalúrgico</t>
  </si>
  <si>
    <t>Metalurgical Aluminum Ingot Casting</t>
  </si>
  <si>
    <t>Alumínio Transformado</t>
  </si>
  <si>
    <t>Al Transformed</t>
  </si>
  <si>
    <t>Vetores Energéticos
(% de Energia Utilizada)</t>
  </si>
  <si>
    <t>Transformação</t>
  </si>
  <si>
    <t>Transformação Final</t>
  </si>
  <si>
    <t>Fator de Emissão da Energia Elétrica (gCO2e/MJ)</t>
  </si>
  <si>
    <t>Energia Elétrica</t>
  </si>
  <si>
    <t>MIX 1</t>
  </si>
  <si>
    <t>1XXX</t>
  </si>
  <si>
    <t>5XXX</t>
  </si>
  <si>
    <t>6XXX</t>
  </si>
  <si>
    <t>7XXX</t>
  </si>
  <si>
    <t>3.XXX</t>
  </si>
  <si>
    <t>4.XXX</t>
  </si>
  <si>
    <t>Primary &amp; Secondary Aluminum</t>
  </si>
  <si>
    <t>Metalurgical Aluminum</t>
  </si>
  <si>
    <t>Final Ingot</t>
  </si>
  <si>
    <t>MIX 3</t>
  </si>
  <si>
    <t>Mix 6</t>
  </si>
  <si>
    <t>Proporção de Criolita produzida a partir de Ácido Fluorídrico em relação à Ácido Fluossílico</t>
  </si>
  <si>
    <t>Proporção de Alumínio Primário produzido a partir da tecnologia Prebaked em relação à Söderberg</t>
  </si>
  <si>
    <t>Laminação</t>
  </si>
  <si>
    <t>Extrusão</t>
  </si>
  <si>
    <t>Produção de Peças Fundidas</t>
  </si>
  <si>
    <t>Laminação e Extrusão</t>
  </si>
  <si>
    <t>Fundição de Peças e Usinagem</t>
  </si>
  <si>
    <t>Perdas de Processamento dentro da Autopeças</t>
  </si>
  <si>
    <t>Acumulado até Alumínio Secundário</t>
  </si>
  <si>
    <t>Acumulado até Conformação Siderúrgica</t>
  </si>
  <si>
    <t>Alumínio Final</t>
  </si>
  <si>
    <t>Valor do Modelo Completo</t>
  </si>
  <si>
    <t>Energia Acumulada até Alumínio Secundário</t>
  </si>
  <si>
    <t>Energia Acumulada até Conformação Siderúrgica</t>
  </si>
  <si>
    <t>Energia do Alumínio Final</t>
  </si>
  <si>
    <t>Processo Bayer</t>
  </si>
  <si>
    <t>Eletrólise e Produção de Insumos</t>
  </si>
  <si>
    <t>Sucata</t>
  </si>
  <si>
    <t>Fator de Emissão da Eletricidade</t>
  </si>
  <si>
    <t>kg CO2e /t.km</t>
  </si>
  <si>
    <t>RESULTADOS kgCO2e/kg alumínio</t>
  </si>
  <si>
    <r>
      <t>Alumínio Líquido Bruto (kg CO</t>
    </r>
    <r>
      <rPr>
        <b/>
        <vertAlign val="subscript"/>
        <sz val="14"/>
        <color theme="1"/>
        <rFont val="Calibri"/>
        <family val="2"/>
        <scheme val="minor"/>
      </rPr>
      <t>2</t>
    </r>
    <r>
      <rPr>
        <b/>
        <sz val="14"/>
        <color theme="1"/>
        <rFont val="Calibri"/>
        <family val="2"/>
        <scheme val="minor"/>
      </rPr>
      <t>e/kg Alumínio)</t>
    </r>
  </si>
  <si>
    <r>
      <t>Alumínio Siderúrgico (kg CO</t>
    </r>
    <r>
      <rPr>
        <b/>
        <vertAlign val="subscript"/>
        <sz val="14"/>
        <color theme="1"/>
        <rFont val="Calibri"/>
        <family val="2"/>
        <scheme val="minor"/>
      </rPr>
      <t>2</t>
    </r>
    <r>
      <rPr>
        <b/>
        <sz val="14"/>
        <color theme="1"/>
        <rFont val="Calibri"/>
        <family val="2"/>
        <scheme val="minor"/>
      </rPr>
      <t>e/kg Alumínio)</t>
    </r>
  </si>
  <si>
    <r>
      <t>Alumínio no Portão da Montadora (kg CO</t>
    </r>
    <r>
      <rPr>
        <b/>
        <vertAlign val="subscript"/>
        <sz val="14"/>
        <color theme="1"/>
        <rFont val="Calibri"/>
        <family val="2"/>
        <scheme val="minor"/>
      </rPr>
      <t>2</t>
    </r>
    <r>
      <rPr>
        <b/>
        <sz val="14"/>
        <color theme="1"/>
        <rFont val="Calibri"/>
        <family val="2"/>
        <scheme val="minor"/>
      </rPr>
      <t>e/kg Alumínio)</t>
    </r>
  </si>
  <si>
    <t>PARÂMETROS DE EFICIÊNCIA                                           (MJ/kg  de produto processado)</t>
  </si>
  <si>
    <t>Fator de Emissão (gCO2e/MJ)</t>
  </si>
  <si>
    <t>W.Al Extrusion</t>
  </si>
  <si>
    <t>W.Al Sheet+Stamping</t>
  </si>
  <si>
    <t>C.Al</t>
  </si>
  <si>
    <t>W.Al Sheet</t>
  </si>
  <si>
    <t>Simapro</t>
  </si>
  <si>
    <t>Processos</t>
  </si>
  <si>
    <t>Inventário Simapro</t>
  </si>
  <si>
    <t>ICV Simulador</t>
  </si>
  <si>
    <t>Mineração da bauxita</t>
  </si>
  <si>
    <t>Products</t>
  </si>
  <si>
    <t>Qtd</t>
  </si>
  <si>
    <t>Unidade</t>
  </si>
  <si>
    <t>Link ecoquery</t>
  </si>
  <si>
    <t>[BP] Bauxite {BR}| bauxite mine operation | Cut-off, U</t>
  </si>
  <si>
    <t>https://v391.ecoquery.ecoinvent.org/Details/PDF/85748192-4e10-4e2c-99f2-a967f9f21aee/290c1f85-4cc4-4fa1-b0c8-2cb7f4276dce</t>
  </si>
  <si>
    <t>Resources</t>
  </si>
  <si>
    <t>in ground</t>
  </si>
  <si>
    <t>Gallium</t>
  </si>
  <si>
    <t>Gangue</t>
  </si>
  <si>
    <t>in water</t>
  </si>
  <si>
    <t>m2a</t>
  </si>
  <si>
    <t>land</t>
  </si>
  <si>
    <t>Materials/fuels</t>
  </si>
  <si>
    <t>Blasting {GLO}| market for blasting | Cut-off, U</t>
  </si>
  <si>
    <t>Mine infrastructure, bauxite {GLO}| market for mine infrastructure, bauxite | Cut-off, U</t>
  </si>
  <si>
    <t>p</t>
  </si>
  <si>
    <t>Recultivation, bauxite mine {GLO}| market for recultivation, bauxite mine | Cut-off, U</t>
  </si>
  <si>
    <t>Electricity/heat</t>
  </si>
  <si>
    <t>[BP] Electricity, medium voltage {BR}| market for electricity, medium voltage | Cut-off, U</t>
  </si>
  <si>
    <t>Mix de eletricidade - média dos últimos 5 anos</t>
  </si>
  <si>
    <t>Heat, district or industrial, other than natural gas {RoW}| heat production, heavy fuel oil, at industrial furnace 1MW | Cut-off, U</t>
  </si>
  <si>
    <t>Heat, district or industrial, other than natural gas {RoW}| heat production, light fuel oil, at industrial furnace 1MW | Cut-off, U</t>
  </si>
  <si>
    <t>Emissions to air</t>
  </si>
  <si>
    <t/>
  </si>
  <si>
    <t>Water/m3</t>
  </si>
  <si>
    <t>low. pop.</t>
  </si>
  <si>
    <t>Emissions to water</t>
  </si>
  <si>
    <t>river</t>
  </si>
  <si>
    <t>Waste to treatment</t>
  </si>
  <si>
    <t>Inert waste {CH}| market for inert waste | Cut-off, U</t>
  </si>
  <si>
    <t>Inert waste {Europe without Switzerland}| market for inert waste | Cut-off, U</t>
  </si>
  <si>
    <t>Inert waste {RoW}| market for inert waste | Cut-off, U</t>
  </si>
  <si>
    <t>Bauxita, market</t>
  </si>
  <si>
    <t>[BP] Bauxite {BR}| market for bauxite | Cut-off, U</t>
  </si>
  <si>
    <t>https://v391.ecoquery.ecoinvent.org/Details/PDF/8077c9b7-bcda-4d19-a62d-c8569f7368ce/290c1f85-4cc4-4fa1-b0c8-2cb7f4276dce</t>
  </si>
  <si>
    <t>Transport, freight train {GLO}| market group for transport, freight train | Cut-off, U</t>
  </si>
  <si>
    <t>tkm</t>
  </si>
  <si>
    <t>Referência Velandia Vargas et al., 2019</t>
  </si>
  <si>
    <t>Transport, freight, lorry, unspecified {BR}| transport, freight, lorry, all sizes, unregulated to generic market for transport, freight, lorry, unspecified | Cut-off, U</t>
  </si>
  <si>
    <t>Transport, freight, sea, bulk carrier for dry goods {GLO}| market for transport, freight, sea, bulk carrier for dry goods | Cut-off, U</t>
  </si>
  <si>
    <t>Hidróxido de alumínio</t>
  </si>
  <si>
    <t>[BP] Aluminium hydroxide {BR}| aluminium hydroxide production | Cut-off, U</t>
  </si>
  <si>
    <t>https://v391.ecoquery.ecoinvent.org/Details/PDF/9b42a39f-fb8c-4996-983d-010d8efbb956/290c1f85-4cc4-4fa1-b0c8-2cb7f4276dce</t>
  </si>
  <si>
    <t>Aluminium hydroxide factory {GLO}| market for aluminium hydroxide factory | Cut-off, U</t>
  </si>
  <si>
    <t>Quicklime, milled, loose {RoW}| market for quicklime, milled, loose | Cut-off, U</t>
  </si>
  <si>
    <t>Sodium hydroxide, without water, in 50% solution state {GLO}| market for sodium hydroxide, without water, in 50% solution state | Cut-off, U</t>
  </si>
  <si>
    <t>Heat, district or industrial, natural gas {RoW}| market for heat, district or industrial, natural gas | Cut-off, U</t>
  </si>
  <si>
    <t>Heat, district or industrial, other than natural gas {RoW}| heat production, at hard coal industrial furnace 1-10MW | Cut-off, U</t>
  </si>
  <si>
    <t>Mercury (II)</t>
  </si>
  <si>
    <t>high. pop.</t>
  </si>
  <si>
    <t>BOD5 (Biological Oxygen Demand)</t>
  </si>
  <si>
    <t>COD (Chemical Oxygen Demand)</t>
  </si>
  <si>
    <t>Inert waste, for final disposal {RoW}| market for inert waste, for final disposal | Cut-off, U</t>
  </si>
  <si>
    <t>Redmud from bauxite digestion {GLO}| market for redmud from bauxite digestion | Cut-off, U</t>
  </si>
  <si>
    <t>Óxido de aluminio ou alumina</t>
  </si>
  <si>
    <t>[BP] Aluminium oxide, metallurgical {BR}| aluminium oxide production | Cut-off, U</t>
  </si>
  <si>
    <t>https://v391.ecoquery.ecoinvent.org/Details/PDF/303dd565-d7b2-439f-a69a-a7909f959912/290c1f85-4cc4-4fa1-b0c8-2cb7f4276dce</t>
  </si>
  <si>
    <t>Aluminium oxide factory {GLO}| market for aluminium oxide factory | Cut-off, U</t>
  </si>
  <si>
    <t>Alumínio primário líquido, soderberg</t>
  </si>
  <si>
    <t>[BP] Aluminium, primary, liquid {BR}| aluminium production, primary, liquid, Soderberg | Cut-off, U</t>
  </si>
  <si>
    <t>https://v391.ecoquery.ecoinvent.org/Details/PDF/38bebfbe-10c8-4665-a52f-af285db78acf/290c1f85-4cc4-4fa1-b0c8-2cb7f4276dce</t>
  </si>
  <si>
    <t>Aluminium electrolysis facility {GLO}| market for aluminium electrolysis facility | Cut-off, U</t>
  </si>
  <si>
    <t>Aluminium fluoride {GLO}| market for aluminium fluoride | Cut-off, U</t>
  </si>
  <si>
    <t>ICV adaptado para BR com eletricidade</t>
  </si>
  <si>
    <t>[BP] Anode, paste, for aluminium electrolysis {BR}| anode production, paste, for aluminium electrolysis | Cut-off, U</t>
  </si>
  <si>
    <t>Cast iron {GLO}| market for cast iron | Cut-off, U</t>
  </si>
  <si>
    <t>Cathode, for aluminium electrolysis {GLO}| market for cathode, for aluminium electrolysis | Cut-off, U</t>
  </si>
  <si>
    <t>[BP] Coke {BR-Grid}| coking | Cut-off, U</t>
  </si>
  <si>
    <t>[BP] Cryolite {BR}| cryolite production | Cut-off, U</t>
  </si>
  <si>
    <t>Pitch {BR}| market for pitch | Cut-off, U</t>
  </si>
  <si>
    <t>Refractory, fireclay, packed {GLO}| market for refractory, fireclay, packed | Cut-off, U</t>
  </si>
  <si>
    <t>Reinforcing steel {GLO}| market for reinforcing steel | Cut-off, U</t>
  </si>
  <si>
    <t>Methane, tetrafluoro-, CFC-14</t>
  </si>
  <si>
    <t>Filter dust from Al electrolysis {GLO}| market for filter dust from Al electrolysis | Cut-off, U</t>
  </si>
  <si>
    <t>Refractory spent pot liner from Al electrolysis {GLO}| market for refractory spent pot liner from Al electrolysis | Cut-off, U</t>
  </si>
  <si>
    <t>Scrap steel {RoW}| market for scrap steel | Cut-off, U</t>
  </si>
  <si>
    <t>Waste asphalt {RoW}| market for waste asphalt | Cut-off, U</t>
  </si>
  <si>
    <t>Alumínio primário líquido, prebake</t>
  </si>
  <si>
    <t>[BP] Aluminium, primary, liquid {BR}| aluminium production, primary, liquid, prebake | Cut-off, U</t>
  </si>
  <si>
    <t>https://v391.ecoquery.ecoinvent.org/Details/PDF/33734901-4bee-4a06-9db2-b041186e672f/290c1f85-4cc4-4fa1-b0c8-2cb7f4276dce</t>
  </si>
  <si>
    <t>[BP] Anode, prebake, for aluminium electrolysis {BR}| anode production, prebake, for aluminium electrolysis | Cut-off, U</t>
  </si>
  <si>
    <t>Lingote de alumínio primário, mix de rotas (Prebake e Soderberg)</t>
  </si>
  <si>
    <t>[BP] Aluminium, primary, ingot {BR}| aluminium production, primary, mix de rotas, ingot | Cut-off, U</t>
  </si>
  <si>
    <t>https://v391.ecoquery.ecoinvent.org/Details/PDF/d52178c0-0e23-44d1-9b49-f5ecc5291775/290c1f85-4cc4-4fa1-b0c8-2cb7f4276dce</t>
  </si>
  <si>
    <t>[BP] Aluminium casting facility {BR}| aluminium casting facility construction | Cut-off, U</t>
  </si>
  <si>
    <t>[BP] Aluminium, primary, liquid {BR novo}| aluminium production, primary, liquid, prebake | Cut-off, U</t>
  </si>
  <si>
    <t>ABAL, 2023</t>
  </si>
  <si>
    <t>Argon, liquid {RoW}| market for argon, liquid | Cut-off, U</t>
  </si>
  <si>
    <t>Chlorine, liquid {RoW}| market for chlorine, liquid | Cut-off, U</t>
  </si>
  <si>
    <t>Corrugated board box {RoW}| market for corrugated board box | Cut-off, U</t>
  </si>
  <si>
    <t>Nitrogen, liquid {RoW}| market for nitrogen, liquid | Cut-off, U</t>
  </si>
  <si>
    <t>Palm oil, crude {GLO}| market for palm oil, crude | Cut-off, U</t>
  </si>
  <si>
    <t>Silicon, metallurgical grade {GLO}| market for silicon, metallurgical grade | Cut-off, U</t>
  </si>
  <si>
    <t>Stone wool {GLO}| market for stone wool | Cut-off, U</t>
  </si>
  <si>
    <t>Dioxin, 2,3,7,8 Tetrachlorodibenzo-p-</t>
  </si>
  <si>
    <t>Hydrochloric acid</t>
  </si>
  <si>
    <t>stratosphere + troposphere</t>
  </si>
  <si>
    <t>Dross from Al electrolysis {GLO}| market for dross from Al electrolysis | Cut-off, U</t>
  </si>
  <si>
    <t>Lingote de alumínio primário, fundido (cast alloy)</t>
  </si>
  <si>
    <t>[BP] Aluminium, cast alloy {BR}| aluminium ingot, primary, to aluminium, cast alloy market | Cut-off, U</t>
  </si>
  <si>
    <t>https://v391.ecoquery.ecoinvent.org/Details/PDF/5731b862-9817-4529-b9a6-15395217b739/290c1f85-4cc4-4fa1-b0c8-2cb7f4276dce</t>
  </si>
  <si>
    <t xml:space="preserve">Esse processo foi alterado, inserindo apenas a entrada de lingote de Al </t>
  </si>
  <si>
    <t>Valor baseado na planilha LCI do AI (Aluminium Institute, 2019)</t>
  </si>
  <si>
    <t>Particulates</t>
  </si>
  <si>
    <t>Sulfur dioxide, BR</t>
  </si>
  <si>
    <t>Nitrogen dioxide, BR</t>
  </si>
  <si>
    <t>Lingote de alumínio primário forjado (wrought alloy)</t>
  </si>
  <si>
    <t>[BP] Aluminium, wrought alloy {BR}| aluminium ingot, primary, to aluminium, wrought alloy market | Cut-off, U</t>
  </si>
  <si>
    <t>https://v391.ecoquery.ecoinvent.org/Details/PDF/8ae6f7d6-a1f2-4d02-84ed-6af935bfe436/290c1f85-4cc4-4fa1-b0c8-2cb7f4276dce</t>
  </si>
  <si>
    <t>alumínio fundido, inserção de reciclagem</t>
  </si>
  <si>
    <t>[BP] Aluminium, cast alloy {BR}| mix recycle, cast alloy | Cut-off, U</t>
  </si>
  <si>
    <t>https://v391.ecoquery.ecoinvent.org/Details/PDF/35886935-d8b8-48a4-847c-f353a13a081e/290c1f85-4cc4-4fa1-b0c8-2cb7f4276dce</t>
  </si>
  <si>
    <t>1-al_recycle</t>
  </si>
  <si>
    <t>Valor = 0,453. Parâmetro criado com base no valor informado no Relatório Anual da Abal 2023</t>
  </si>
  <si>
    <t>[BP] Aluminium, cast alloy {BR}| treatment of aluminium scrap, post-consumer, prepared for recycling, at refiner | Cut-off, U</t>
  </si>
  <si>
    <t>al_recycle</t>
  </si>
  <si>
    <t>Valor = 0,547. Parâmetro criado com base no valor informado no Relatório Anual da ABAL 2023</t>
  </si>
  <si>
    <t>alumínio fundido, market</t>
  </si>
  <si>
    <t>[BP] Aluminium, cast alloy {BR}| market for aluminium, cast alloy | Cut-off, U</t>
  </si>
  <si>
    <t>Velandia Vargas - transporte até SP 400 km - 0,4 tkm</t>
  </si>
  <si>
    <t>alumínio forjado, inserção de reciclagem</t>
  </si>
  <si>
    <t>[BP] Aluminium, wrought alloy {BR}| mix recycle, wrought alloy | Cut-off, U</t>
  </si>
  <si>
    <t>https://v391.ecoquery.ecoinvent.org/Details/PDF/946ecb91-72e1-412b-933a-ca21c5ca69e4/290c1f85-4cc4-4fa1-b0c8-2cb7f4276dce</t>
  </si>
  <si>
    <t>[BP] Aluminium, wrought alloy {BR}| treatment of aluminium scrap, post-consumer, prepared for recycling, at remelter | Cut-off, U</t>
  </si>
  <si>
    <t>alumínio forjado, market</t>
  </si>
  <si>
    <t>[BP] Aluminium, wrought alloy {BR}| market for aluminium, wrought alloy | Cut-off, U</t>
  </si>
  <si>
    <t>Mix de alumínio forjado e fundido</t>
  </si>
  <si>
    <t>[BP] Aluminium primary {BR} mix cast + wrought alloys</t>
  </si>
  <si>
    <t xml:space="preserve">Processo criado do zero, sem referência. </t>
  </si>
  <si>
    <t>Valor baseado na planilha enviada pela Bright Consulting para ICEV BR</t>
  </si>
  <si>
    <t>MIX 3 - Sheet rolling + extrusion + casting</t>
  </si>
  <si>
    <t>[BP] Basic aluminium products - MIX 3</t>
  </si>
  <si>
    <t xml:space="preserve">Processo criado do zero, sem referência. 	</t>
  </si>
  <si>
    <t>[BP] Sheet rolling, aluminium {BR}| sheet rolling, aluminium | Cut-off, U</t>
  </si>
  <si>
    <t>al_mix3_sheetrolling = 0,265</t>
  </si>
  <si>
    <t>Valor de parâmetro baseado na planilha UNICAMP. Só processo</t>
  </si>
  <si>
    <t>[BP] Section bar extrusion, aluminium {BR}| section bar extrusion, aluminium | Cut-off, U</t>
  </si>
  <si>
    <t>1-(al_mix3_casting+al_mix3_sheetrolling) = 0,135</t>
  </si>
  <si>
    <t>Valor de parâmetro baseado na planilha UNICAMP. Processo + alumínio</t>
  </si>
  <si>
    <t>[BP] Aluminium, market {BR} mix cast + wrought alloys</t>
  </si>
  <si>
    <t>Entrada de alumínio seria 1 kg, descontando 0,6 do alumínio fundido = 0,4</t>
  </si>
  <si>
    <t xml:space="preserve">Processo </t>
  </si>
  <si>
    <t>MIX 3 - Sheet and Rolling + extrusion + casting</t>
  </si>
  <si>
    <t>GWP100 - fossil</t>
  </si>
  <si>
    <t>kg CO2-eq</t>
  </si>
  <si>
    <t>GWP100 - biogenic</t>
  </si>
  <si>
    <t>GWP100 - land transformation</t>
  </si>
  <si>
    <t>GWP Total</t>
  </si>
  <si>
    <t>PO
Output Product
(used for energy factor)</t>
  </si>
  <si>
    <t>Calibragem Simapro</t>
  </si>
  <si>
    <t>Comprado</t>
  </si>
  <si>
    <t>Processado</t>
  </si>
  <si>
    <t>comprado</t>
  </si>
  <si>
    <t>processado</t>
  </si>
  <si>
    <t>Descartado</t>
  </si>
  <si>
    <t>Energéticos</t>
  </si>
  <si>
    <t>CO2eq</t>
  </si>
  <si>
    <t>Emissão</t>
  </si>
  <si>
    <t>Fatores de emissão por processo</t>
  </si>
  <si>
    <t xml:space="preserve">Calculation: </t>
  </si>
  <si>
    <t>Analisar</t>
  </si>
  <si>
    <t xml:space="preserve">Results: </t>
  </si>
  <si>
    <t>Avaliação de impacto</t>
  </si>
  <si>
    <t xml:space="preserve">Product: </t>
  </si>
  <si>
    <t>1 kg [BP] Bauxite {BR}| bauxite mine operation | Cut-off, U (do projeto Projeto do Berco ao Portao)</t>
  </si>
  <si>
    <t xml:space="preserve">Método: </t>
  </si>
  <si>
    <t>IPCC 2021 GWP100 V1.02</t>
  </si>
  <si>
    <t xml:space="preserve">Indicador: </t>
  </si>
  <si>
    <t>Caracterização</t>
  </si>
  <si>
    <t xml:space="preserve">Skip categories: </t>
  </si>
  <si>
    <t>Nunca</t>
  </si>
  <si>
    <t xml:space="preserve">Excluir processos de infra-estrutura: </t>
  </si>
  <si>
    <t>N.º</t>
  </si>
  <si>
    <t xml:space="preserve">Excluir emissões de longo prazo: </t>
  </si>
  <si>
    <t xml:space="preserve">Sorted on item: </t>
  </si>
  <si>
    <t>Categoria de impacte</t>
  </si>
  <si>
    <t xml:space="preserve">Sort order: </t>
  </si>
  <si>
    <t>Ascendente</t>
  </si>
  <si>
    <t>Totalt</t>
  </si>
  <si>
    <t>1 kg [BP] Bauxite {BR}| market for bauxite | Cut-off, U (do projeto Projeto do Berco ao Portao)</t>
  </si>
  <si>
    <t>Produto</t>
  </si>
  <si>
    <t>1 kg [BP] Aluminium hydroxide {BR}| aluminium hydroxide production | Cut-off, U (do projeto Projeto do Berco ao Portao)</t>
  </si>
  <si>
    <t>Óxido de alumínio ou alumina</t>
  </si>
  <si>
    <t>1 kg [BP] Aluminium oxide, metallurgical {BR}| aluminium oxide production | Cut-off, U (do projeto Projeto do Berco ao Portao)</t>
  </si>
  <si>
    <t>Alumínio líquido Prebake</t>
  </si>
  <si>
    <t>1 kg [BP] Aluminium, primary, liquid {BR novo}| aluminium production, primary, liquid, prebake | Cut-off, U (do projeto Projeto do Berco ao Portao)</t>
  </si>
  <si>
    <t>Alumínio líquido Soderberg</t>
  </si>
  <si>
    <t>1 kg [BP] Aluminium, primary, liquid {BR}| aluminium production, primary, liquid, Soderberg | Cut-off, U (do projeto Projeto do Berco ao Portao)</t>
  </si>
  <si>
    <t>1 kg [BP] Aluminium, primary, ingot {BR}| aluminium production, primary, mix de rotas, ingot | Cut-off, U (do projeto Projeto do Berco ao Portao)</t>
  </si>
  <si>
    <t>Lingote de alumínio fundido</t>
  </si>
  <si>
    <t>1 kg [BP] Aluminium, cast alloy {BR}| aluminium ingot, primary, to aluminium, cast alloy market | Cut-off, U (do projeto Projeto do Berco ao Portao)</t>
  </si>
  <si>
    <t>Lingote de alumínio forjado</t>
  </si>
  <si>
    <t>1 kg [BP] Aluminium, wrought alloy {BR}| aluminium ingot, primary, to aluminium, wrought alloy market | Cut-off, U (do projeto Projeto do Berco ao Portao)</t>
  </si>
  <si>
    <t>Alumínio fundido + reciclado</t>
  </si>
  <si>
    <t>1 kg [BP] Aluminium, cast alloy {BR}| mix recycle, cast alloy | Cut-off, U (do projeto Projeto do Berco ao Portao)</t>
  </si>
  <si>
    <t>Alumínio fundido + reciclado + market</t>
  </si>
  <si>
    <t>1 kg [BP] Aluminium, cast alloy {BR}| market for aluminium, cast alloy | Cut-off, U (do projeto Projeto do Berco ao Portao)</t>
  </si>
  <si>
    <t>1 kg [BP] Aluminium, wrought alloy {BR}| mix recycle, wrought alloy | Cut-off, U (do projeto Projeto do Berco ao Portao)</t>
  </si>
  <si>
    <t>Alumínio forjado + reciclado + market</t>
  </si>
  <si>
    <t>1 kg [BP] Aluminium, wrought alloy {BR}| market for aluminium, wrought alloy | Cut-off, U (do projeto Projeto do Berco ao Portao)</t>
  </si>
  <si>
    <t>Transport, freight, inland waterways, barge {GLO}| market group for transport, freight, inland waterways, barge | Cut-off, U</t>
  </si>
  <si>
    <t>Transport, freight, lorry, unspecified {GLO}| market group for transport, freight, lorry, unspecified | Cut-off, U</t>
  </si>
  <si>
    <t>Transport, freight, sea, container ship {GLO}| market for transport, freight, sea, container ship | Cut-off, U</t>
  </si>
  <si>
    <t>Alumínio, mix forjado e fundido</t>
  </si>
  <si>
    <t>1 kg [BP] Basic aluminium products - MIX 3 (do projeto Projeto do Berco ao Portao)</t>
  </si>
  <si>
    <t>Emissão De Processo</t>
  </si>
  <si>
    <t>Metalurgical Aluminum Ingot Melting &amp; Continuous Casting</t>
  </si>
  <si>
    <t>MODELO</t>
  </si>
  <si>
    <t>SIMAPRO</t>
  </si>
  <si>
    <t>Normalização do Modelo</t>
  </si>
  <si>
    <t>Al Primário</t>
  </si>
  <si>
    <t>Al Secundário</t>
  </si>
  <si>
    <t>Coke {RoW}| coking | Cut-off, U</t>
  </si>
  <si>
    <t xml:space="preserve">Produto </t>
  </si>
  <si>
    <t>Lingote de alumínio primário - mix de rotas (soderberg e prebake)</t>
  </si>
  <si>
    <t>% de reciclado</t>
  </si>
  <si>
    <t>57,3% reciclado</t>
  </si>
  <si>
    <t xml:space="preserve">Alumínio fundido 100% reciclado  </t>
  </si>
  <si>
    <t>100% reciclado</t>
  </si>
  <si>
    <t>1 kg [BP] Aluminium, cast alloy {GLO}| mix recycle, cast alloy | Cut-off, U (do projeto Projeto do Berco ao Portao)</t>
  </si>
  <si>
    <t>[BP] Aluminium, cast alloy {GLO}| mix recycle, cast alloy | Cut-off, U</t>
  </si>
  <si>
    <t>Aluminium, cast alloy {RER}| treatment of aluminium scrap, post-consumer, prepared for recycling, at refiner | Cut-off, U</t>
  </si>
  <si>
    <t>Alumínio fundido 100% reciclado + market</t>
  </si>
  <si>
    <t>Alumínio forjado + reciclado</t>
  </si>
  <si>
    <t>Alumínio forjado 100% reciclado</t>
  </si>
  <si>
    <t>Alumínio forjado 100% reciclado + market</t>
  </si>
  <si>
    <t>1 kg [BP] Aluminium, market {BR} mix cast + wrought alloys (do projeto Projeto do Berco ao Portao)</t>
  </si>
  <si>
    <t>Alumínio, mix forjado e fundido 100% reciclado</t>
  </si>
  <si>
    <t>Alumínio, mix forjado e fundido 100% Al Primário</t>
  </si>
  <si>
    <t>MIX 3 - Sheet and Rolling + extrusion + casting 100% reciclado</t>
  </si>
  <si>
    <t>MIX 3 - Sheet and Rolling + extrusion + casting 100% Al primário</t>
  </si>
  <si>
    <t>Simapro Primário</t>
  </si>
  <si>
    <t>Simapro Secundário</t>
  </si>
  <si>
    <t>løvik-et-al-2014-long-term-strategies-for-increased-recycling-of-automotive-aluminum-and-its-alloying-elements</t>
  </si>
  <si>
    <t>Estimativa</t>
  </si>
  <si>
    <t>Ecoinvent (36ea53c8-afe2-325a-96e7-65b5e72bf020)</t>
  </si>
  <si>
    <t>Anuário Estatístico ABAL 2023</t>
  </si>
  <si>
    <t>JIRANG, C. U. I.; ROVEN, Hans J. Recycling of automotive aluminum. Transactions of Nonferrous Metals Society of China, v. 20, n. 11, p. 2057-2063, 2010.</t>
  </si>
  <si>
    <t>Ducker ATG Aluminum Study Summary Report April 2023 Final</t>
  </si>
  <si>
    <t>Proporção - Scarsella, A.A., Noack, S., Gasafi, E., Klett, C., Koschnick, A. (2015). Energy in Alumina Refining: Setting New Limits. In: Hyland, M. (eds) Light Metals 2015. Springer, Cham.          Valor total - Anuário Estatístico ABAL 2023</t>
  </si>
  <si>
    <t>Proporção - Ecoinvent (prebaked aa814620-2634-3a4f-a469-21ac00882505 , söderberg 337778c0-05d8-354c-8b8f-a3bcf2b6145d)          Valor final - Anuário Estatístico ABAL 2023</t>
  </si>
  <si>
    <t>GREET 2023</t>
  </si>
  <si>
    <t>Ecoinvent (prebaked - b21eec21-2ebc-4dd2-a54b-4f10f6dd81d7          paste - e3e9b98b-94a7-4bd0-b438-228f1de736e9)</t>
  </si>
  <si>
    <t>ABAL Alumínio Brasileiro Soluções Para uma Vida Sustentável 2017</t>
  </si>
  <si>
    <t>Fontes Externas</t>
  </si>
  <si>
    <t>Novellis</t>
  </si>
  <si>
    <t>CBA 2023</t>
  </si>
  <si>
    <t>CBA 2024</t>
  </si>
  <si>
    <t>Observações e Referências</t>
  </si>
  <si>
    <t>Resultados do Simulador (kgCO2e/kgAl)</t>
  </si>
  <si>
    <t>Dif Simapro</t>
  </si>
  <si>
    <t>Fatores de Emissão g CO2 eq/MJ</t>
  </si>
  <si>
    <t>GHG Protocol</t>
  </si>
  <si>
    <t>Ponderado Simapro</t>
  </si>
  <si>
    <t>Primário Simapro</t>
  </si>
  <si>
    <t>Secundário Simapro</t>
  </si>
  <si>
    <t>Dados Simapro</t>
  </si>
  <si>
    <t>Modelo com Parâmetros Simapro</t>
  </si>
  <si>
    <t>Soma Energéticos</t>
  </si>
  <si>
    <t>Dif Total</t>
  </si>
  <si>
    <t>Soma Transporte</t>
  </si>
  <si>
    <t>Soda Cáusica</t>
  </si>
  <si>
    <t>Dif</t>
  </si>
  <si>
    <t>Hidróxido</t>
  </si>
  <si>
    <t>Fluoreto de Al</t>
  </si>
  <si>
    <t>Ânodo</t>
  </si>
  <si>
    <t>Emissões Processo</t>
  </si>
  <si>
    <t>Al Prebake</t>
  </si>
  <si>
    <t>Al Söderberg</t>
  </si>
  <si>
    <t>Sem Extras</t>
  </si>
  <si>
    <t>Produto (market)</t>
  </si>
  <si>
    <t>Heating Value</t>
  </si>
  <si>
    <t>FE</t>
  </si>
  <si>
    <t>Diesel RoW</t>
  </si>
  <si>
    <t>kg co2/kg</t>
  </si>
  <si>
    <t>heavy fuel oil RoW</t>
  </si>
  <si>
    <t>natural gas RoW</t>
  </si>
  <si>
    <t>kg co2/m3</t>
  </si>
  <si>
    <t>LPG RoW</t>
  </si>
  <si>
    <t>Charcoal GLO</t>
  </si>
  <si>
    <t>kg co2/MJ</t>
  </si>
  <si>
    <t>Coke GLO</t>
  </si>
  <si>
    <t>Simapro (kg CO2 eq/ton PO)</t>
  </si>
  <si>
    <t>Outros Gases (CO2 eq)</t>
  </si>
  <si>
    <t>Fontes Externas (kg CO2eq/kg PO)</t>
  </si>
  <si>
    <t>Energia CBA</t>
  </si>
  <si>
    <t>Hidreléteica</t>
  </si>
  <si>
    <t>Eólica</t>
  </si>
  <si>
    <t>1.702/2.443/3.177</t>
  </si>
  <si>
    <t>54/27/0</t>
  </si>
  <si>
    <t>1.139/1.387/1175</t>
  </si>
  <si>
    <t>0.455/0.585/0.618</t>
  </si>
  <si>
    <t>77%/80%/83%</t>
  </si>
  <si>
    <t>28.8%/28%/27.3%</t>
  </si>
  <si>
    <t>Ecoinvent + GHG Protocol</t>
  </si>
  <si>
    <t>GREET 2024</t>
  </si>
  <si>
    <t>8 / 11</t>
  </si>
  <si>
    <t>0.67/1.2</t>
  </si>
  <si>
    <t>ESCOLHAS UNICAMP P/ Al AUTOMOTIVO</t>
  </si>
  <si>
    <t>Sem Ligas</t>
  </si>
  <si>
    <t>Separado de acordo com o GREET</t>
  </si>
  <si>
    <t>Com Ligas e Sucata Automotiva</t>
  </si>
  <si>
    <t>Sem Ligas e Sucata Automotiva</t>
  </si>
  <si>
    <t>W.Al Extrusion 2</t>
  </si>
  <si>
    <t>W.Al Sheet 2</t>
  </si>
  <si>
    <t>W.Al Sheet+Stamping 2</t>
  </si>
  <si>
    <t>C.Al 2</t>
  </si>
  <si>
    <t>Min 2</t>
  </si>
  <si>
    <t>Med 2</t>
  </si>
  <si>
    <t>Max 2</t>
  </si>
  <si>
    <t>Sem Ligas e Sucata ABAL (sem latas)</t>
  </si>
  <si>
    <t>W.Al Extrusion 3</t>
  </si>
  <si>
    <t>W.Al Sheet 3</t>
  </si>
  <si>
    <t>W.Al Sheet+Stamping 3</t>
  </si>
  <si>
    <t>C.Al 3</t>
  </si>
  <si>
    <t>Min 3</t>
  </si>
  <si>
    <t>Med 3</t>
  </si>
  <si>
    <t>Max 3</t>
  </si>
  <si>
    <t>Cabotagem</t>
  </si>
  <si>
    <t>Trabalho Unicamp de Logística</t>
  </si>
  <si>
    <t>Emissões diferentes com novos energéticos</t>
  </si>
  <si>
    <t>ABAL 2017</t>
  </si>
  <si>
    <t>ABAL 2017/ Não achei LNG no Ecoinvent para South America</t>
  </si>
  <si>
    <t>Contribuição dos outros gases em CO2eq</t>
  </si>
  <si>
    <t>ABAL 2023</t>
  </si>
  <si>
    <t>Fonte</t>
  </si>
  <si>
    <t>GHG Protocol g CO2e/MJ</t>
  </si>
  <si>
    <t>Energético</t>
  </si>
  <si>
    <t>CO2 eq (combustão dos energéticos)</t>
  </si>
  <si>
    <t>2.39 kg/kg alumina</t>
  </si>
  <si>
    <t>9.4 MJ/kg</t>
  </si>
  <si>
    <t>1.98 kg/kg Al Primário</t>
  </si>
  <si>
    <t>Eletrólise Prebaked</t>
  </si>
  <si>
    <t>Eletrólise Söderberg</t>
  </si>
  <si>
    <t>56.7 MJ/kg</t>
  </si>
  <si>
    <t>61.0 MJ/kg</t>
  </si>
  <si>
    <t>58.2% do Al Total</t>
  </si>
  <si>
    <t>41.8% do Al Total</t>
  </si>
  <si>
    <t>Scrap Melting</t>
  </si>
  <si>
    <t>5.8 MJ/kg</t>
  </si>
  <si>
    <t>3.75 MJ/kg</t>
  </si>
  <si>
    <t>3.88 MJ/kg</t>
  </si>
  <si>
    <t>6.83 MJ/kg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</si>
</sst>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0.000"/>
    <numFmt numFmtId="165" formatCode="0.0%"/>
    <numFmt numFmtId="166" formatCode="#,##0.0_ ;[Red]\-#,##0.0\ "/>
    <numFmt numFmtId="167" formatCode="#,##0.000"/>
    <numFmt numFmtId="168" formatCode="#,##0.0000"/>
    <numFmt numFmtId="169" formatCode="_(* #,##0.00_);_(* \(#,##0.00\);_(* &quot;-&quot;??_);_(@_)"/>
    <numFmt numFmtId="170" formatCode="#,##0.000_);\(#,##0.000\)"/>
    <numFmt numFmtId="171" formatCode="#,##0.00000"/>
    <numFmt numFmtId="172" formatCode="#,##0.00;[Black]\(#,##0.00\)"/>
    <numFmt numFmtId="173" formatCode="#,##0_ ;[Red]\-#,##0\ "/>
    <numFmt numFmtId="174" formatCode="#,##0.000_ ;[Red]\-#,##0.000\ "/>
    <numFmt numFmtId="175" formatCode="#,##0.0;\(#,##0\)"/>
    <numFmt numFmtId="176" formatCode="#,##0;\(#,##0\)"/>
    <numFmt numFmtId="177" formatCode="#,##0;[Black]\(#,##0\)"/>
    <numFmt numFmtId="178" formatCode="0.0"/>
    <numFmt numFmtId="179" formatCode="0.000000000000000%"/>
    <numFmt numFmtId="180" formatCode="#,##0.00_ ;[Red]\-#,##0.00\ "/>
    <numFmt numFmtId="181" formatCode="0.00000%"/>
    <numFmt numFmtId="182" formatCode="0.0000"/>
    <numFmt numFmtId="183" formatCode="0.0000000000%"/>
    <numFmt numFmtId="184" formatCode="#,##0.0000_ ;[Red]\-#,##0.0000\ "/>
    <numFmt numFmtId="185" formatCode="#,##0.000;\(#,##0.000\)"/>
    <numFmt numFmtId="186" formatCode="#,##0.00000_ ;[Red]\-#,##0.00000\ "/>
    <numFmt numFmtId="187" formatCode="#,##0.0000000000000"/>
  </numFmts>
  <fonts count="97">
    <font>
      <sz val="11"/>
      <color theme="1"/>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11"/>
      <color theme="1"/>
      <name val="Calibri"/>
      <family val="2"/>
      <scheme val="minor"/>
    </font>
    <font>
      <b/>
      <sz val="14"/>
      <color theme="1"/>
      <name val="Calibri"/>
      <family val="2"/>
      <scheme val="minor"/>
    </font>
    <font>
      <sz val="10"/>
      <name val="Arial"/>
      <family val="2"/>
    </font>
    <font>
      <b/>
      <sz val="10"/>
      <name val="Arial"/>
      <family val="2"/>
    </font>
    <font>
      <sz val="11"/>
      <color theme="4"/>
      <name val="Calibri"/>
      <family val="2"/>
      <scheme val="minor"/>
    </font>
    <font>
      <b/>
      <sz val="12"/>
      <name val="Arial"/>
      <family val="2"/>
    </font>
    <font>
      <b/>
      <sz val="11"/>
      <name val="Arial"/>
      <family val="2"/>
    </font>
    <font>
      <sz val="10"/>
      <color theme="0"/>
      <name val="Arial"/>
      <family val="2"/>
    </font>
    <font>
      <sz val="11"/>
      <color theme="1"/>
      <name val="Arial"/>
      <family val="2"/>
    </font>
    <font>
      <sz val="11"/>
      <name val="Calibri"/>
      <family val="2"/>
      <scheme val="minor"/>
    </font>
    <font>
      <sz val="10"/>
      <color theme="1"/>
      <name val="Arial"/>
      <family val="2"/>
    </font>
    <font>
      <sz val="12"/>
      <color rgb="FF0033CC"/>
      <name val="Arial"/>
      <family val="2"/>
    </font>
    <font>
      <sz val="11"/>
      <color rgb="FF0033CC"/>
      <name val="Calibri"/>
      <family val="2"/>
      <scheme val="minor"/>
    </font>
    <font>
      <sz val="11"/>
      <color rgb="FF0033CC"/>
      <name val="Arial"/>
      <family val="2"/>
    </font>
    <font>
      <sz val="12"/>
      <color theme="1"/>
      <name val="Calibri"/>
      <family val="2"/>
      <scheme val="minor"/>
    </font>
    <font>
      <sz val="11"/>
      <name val="Arial"/>
      <family val="2"/>
    </font>
    <font>
      <sz val="11"/>
      <color rgb="FFFF0000"/>
      <name val="Arial"/>
      <family val="2"/>
    </font>
    <font>
      <b/>
      <sz val="11"/>
      <color theme="1"/>
      <name val="Arial"/>
      <family val="2"/>
    </font>
    <font>
      <sz val="9"/>
      <color theme="1"/>
      <name val="Arial"/>
      <family val="2"/>
    </font>
    <font>
      <b/>
      <sz val="16"/>
      <color theme="1"/>
      <name val="Arial"/>
      <family val="2"/>
    </font>
    <font>
      <sz val="16"/>
      <color theme="1"/>
      <name val="Arial"/>
      <family val="2"/>
    </font>
    <font>
      <sz val="12"/>
      <name val="Calibri"/>
      <family val="2"/>
      <scheme val="minor"/>
    </font>
    <font>
      <b/>
      <sz val="11"/>
      <color rgb="FF0033CC"/>
      <name val="Arial"/>
      <family val="2"/>
    </font>
    <font>
      <sz val="8"/>
      <color theme="0" tint="-0.499984740745262"/>
      <name val="Arial"/>
      <family val="2"/>
    </font>
    <font>
      <b/>
      <sz val="12"/>
      <color rgb="FF00B050"/>
      <name val="Arial"/>
      <family val="2"/>
    </font>
    <font>
      <sz val="8"/>
      <name val="Calibri"/>
      <family val="2"/>
      <scheme val="minor"/>
    </font>
    <font>
      <sz val="8"/>
      <color theme="1"/>
      <name val="Calibri"/>
      <family val="2"/>
      <scheme val="minor"/>
    </font>
    <font>
      <b/>
      <sz val="20"/>
      <color theme="4"/>
      <name val="Arial"/>
      <family val="2"/>
    </font>
    <font>
      <b/>
      <sz val="14"/>
      <color theme="1"/>
      <name val="Arial"/>
      <family val="2"/>
    </font>
    <font>
      <b/>
      <vertAlign val="subscript"/>
      <sz val="16"/>
      <color theme="1"/>
      <name val="Arial"/>
      <family val="2"/>
    </font>
    <font>
      <b/>
      <sz val="11"/>
      <name val="Calibri"/>
      <family val="2"/>
    </font>
    <font>
      <b/>
      <sz val="11"/>
      <name val="Calibri"/>
      <family val="2"/>
    </font>
    <font>
      <b/>
      <sz val="16"/>
      <color theme="1"/>
      <name val="Calibri"/>
      <family val="2"/>
      <scheme val="minor"/>
    </font>
    <font>
      <sz val="8"/>
      <color theme="0" tint="-0.499984740745262"/>
      <name val="Calibri"/>
      <family val="2"/>
      <scheme val="minor"/>
    </font>
    <font>
      <b/>
      <sz val="14"/>
      <name val="Arial"/>
      <family val="2"/>
    </font>
    <font>
      <b/>
      <sz val="20"/>
      <color theme="1"/>
      <name val="Calibri"/>
      <family val="2"/>
      <scheme val="minor"/>
    </font>
    <font>
      <sz val="8"/>
      <color theme="0" tint="-0.34998626667073579"/>
      <name val="Calibri"/>
      <family val="2"/>
      <scheme val="minor"/>
    </font>
    <font>
      <sz val="18"/>
      <color theme="1"/>
      <name val="Calibri"/>
      <family val="2"/>
      <scheme val="minor"/>
    </font>
    <font>
      <sz val="11"/>
      <color theme="1"/>
      <name val="Calibri"/>
      <family val="2"/>
    </font>
    <font>
      <sz val="11"/>
      <color rgb="FF0000FF"/>
      <name val="Arial"/>
      <family val="2"/>
    </font>
    <font>
      <b/>
      <sz val="11"/>
      <color rgb="FF000000"/>
      <name val="Calibri"/>
      <family val="2"/>
    </font>
    <font>
      <sz val="8"/>
      <color rgb="FF000000"/>
      <name val="Calibri"/>
      <family val="2"/>
    </font>
    <font>
      <vertAlign val="subscript"/>
      <sz val="11"/>
      <color rgb="FF000000"/>
      <name val="Calibri"/>
      <family val="2"/>
    </font>
    <font>
      <b/>
      <sz val="11"/>
      <color theme="4"/>
      <name val="Calibri"/>
      <family val="2"/>
      <scheme val="minor"/>
    </font>
    <font>
      <sz val="14"/>
      <color theme="1"/>
      <name val="Calibri"/>
      <family val="2"/>
    </font>
    <font>
      <b/>
      <sz val="18"/>
      <color rgb="FF7030A0"/>
      <name val="Calibri"/>
      <family val="2"/>
      <scheme val="minor"/>
    </font>
    <font>
      <sz val="8"/>
      <color rgb="FF7030A0"/>
      <name val="Calibri"/>
      <family val="2"/>
      <scheme val="minor"/>
    </font>
    <font>
      <b/>
      <sz val="11"/>
      <color rgb="FF7030A0"/>
      <name val="Calibri"/>
      <family val="2"/>
      <scheme val="minor"/>
    </font>
    <font>
      <b/>
      <vertAlign val="subscript"/>
      <sz val="11"/>
      <color rgb="FF7030A0"/>
      <name val="Calibri"/>
      <family val="2"/>
      <scheme val="minor"/>
    </font>
    <font>
      <b/>
      <sz val="14"/>
      <color rgb="FF7030A0"/>
      <name val="Calibri"/>
      <family val="2"/>
      <scheme val="minor"/>
    </font>
    <font>
      <sz val="10"/>
      <color rgb="FF7030A0"/>
      <name val="Calibri"/>
      <family val="2"/>
      <scheme val="minor"/>
    </font>
    <font>
      <vertAlign val="subscript"/>
      <sz val="10"/>
      <color rgb="FF7030A0"/>
      <name val="Calibri"/>
      <family val="2"/>
      <scheme val="minor"/>
    </font>
    <font>
      <vertAlign val="subscript"/>
      <sz val="8"/>
      <color theme="1"/>
      <name val="Calibri"/>
      <family val="2"/>
      <scheme val="minor"/>
    </font>
    <font>
      <sz val="8"/>
      <color rgb="FF0066FF"/>
      <name val="Arial"/>
      <family val="2"/>
    </font>
    <font>
      <sz val="8"/>
      <color theme="1"/>
      <name val="Arial"/>
      <family val="2"/>
    </font>
    <font>
      <sz val="8"/>
      <name val="Arial"/>
      <family val="2"/>
    </font>
    <font>
      <sz val="10"/>
      <color rgb="FF0033CC"/>
      <name val="Arial"/>
      <family val="2"/>
    </font>
    <font>
      <u/>
      <sz val="11"/>
      <color theme="10"/>
      <name val="Calibri"/>
      <family val="2"/>
      <scheme val="minor"/>
    </font>
    <font>
      <sz val="11"/>
      <color rgb="FF000000"/>
      <name val="Arial"/>
      <family val="2"/>
    </font>
    <font>
      <b/>
      <sz val="11"/>
      <color rgb="FF000000"/>
      <name val="Arial"/>
      <family val="2"/>
    </font>
    <font>
      <sz val="11"/>
      <color rgb="FF000000"/>
      <name val="Aptos Narrow"/>
      <family val="2"/>
    </font>
    <font>
      <sz val="8"/>
      <color rgb="FF000000"/>
      <name val="Arial"/>
      <family val="2"/>
    </font>
    <font>
      <sz val="10"/>
      <color rgb="FF000000"/>
      <name val="Arial"/>
      <family val="2"/>
    </font>
    <font>
      <u/>
      <sz val="11"/>
      <color rgb="FF0000FF"/>
      <name val="Aptos Narrow"/>
      <family val="2"/>
    </font>
    <font>
      <b/>
      <sz val="12"/>
      <color theme="1"/>
      <name val="Calibri"/>
      <family val="2"/>
      <scheme val="minor"/>
    </font>
    <font>
      <sz val="12"/>
      <color rgb="FF0000FF"/>
      <name val="Arial"/>
      <family val="2"/>
    </font>
    <font>
      <b/>
      <sz val="18"/>
      <color theme="1"/>
      <name val="Calibri"/>
      <family val="2"/>
      <scheme val="minor"/>
    </font>
    <font>
      <sz val="12"/>
      <color theme="1"/>
      <name val="Arial"/>
      <family val="2"/>
    </font>
    <font>
      <sz val="12"/>
      <name val="Arial"/>
      <family val="2"/>
    </font>
    <font>
      <sz val="14"/>
      <color rgb="FF0000FF"/>
      <name val="Arial"/>
      <family val="2"/>
    </font>
    <font>
      <b/>
      <sz val="12"/>
      <color theme="1"/>
      <name val="Arial"/>
      <family val="2"/>
    </font>
    <font>
      <b/>
      <sz val="14"/>
      <color rgb="FF0000FF"/>
      <name val="Arial"/>
      <family val="2"/>
    </font>
    <font>
      <sz val="12"/>
      <color rgb="FFFF0000"/>
      <name val="Arial"/>
      <family val="2"/>
    </font>
    <font>
      <sz val="8"/>
      <color rgb="FFFF0000"/>
      <name val="Arial"/>
      <family val="2"/>
    </font>
    <font>
      <sz val="11"/>
      <color theme="0" tint="-0.499984740745262"/>
      <name val="Calibri"/>
      <family val="2"/>
      <scheme val="minor"/>
    </font>
    <font>
      <b/>
      <vertAlign val="subscript"/>
      <sz val="12"/>
      <color theme="1"/>
      <name val="Arial"/>
      <family val="2"/>
    </font>
    <font>
      <sz val="9"/>
      <color rgb="FF000000"/>
      <name val="Arial"/>
      <family val="2"/>
    </font>
    <font>
      <vertAlign val="subscript"/>
      <sz val="10"/>
      <color rgb="FF000000"/>
      <name val="Arial"/>
      <family val="2"/>
    </font>
    <font>
      <b/>
      <sz val="11"/>
      <name val="Calibri"/>
      <family val="2"/>
      <scheme val="minor"/>
    </font>
    <font>
      <b/>
      <sz val="18"/>
      <color theme="0" tint="-0.499984740745262"/>
      <name val="Arial"/>
      <family val="2"/>
    </font>
    <font>
      <b/>
      <sz val="16"/>
      <color theme="1"/>
      <name val="Aral"/>
    </font>
    <font>
      <b/>
      <vertAlign val="subscript"/>
      <sz val="14"/>
      <color theme="1"/>
      <name val="Calibri"/>
      <family val="2"/>
      <scheme val="minor"/>
    </font>
    <font>
      <b/>
      <sz val="11"/>
      <color theme="0"/>
      <name val="Calibri"/>
      <family val="2"/>
      <scheme val="minor"/>
    </font>
    <font>
      <b/>
      <sz val="14"/>
      <color theme="0"/>
      <name val="Calibri"/>
      <family val="2"/>
      <scheme val="minor"/>
    </font>
    <font>
      <sz val="11"/>
      <color rgb="FF242424"/>
      <name val="Aptos Narrow"/>
      <family val="2"/>
    </font>
    <font>
      <b/>
      <sz val="11"/>
      <color rgb="FF000000"/>
      <name val="Calibri"/>
      <family val="2"/>
      <scheme val="minor"/>
    </font>
    <font>
      <sz val="11"/>
      <color indexed="8"/>
      <name val="Calibri"/>
      <family val="2"/>
      <scheme val="minor"/>
    </font>
    <font>
      <sz val="8"/>
      <name val="Comic Sans MS"/>
      <family val="4"/>
    </font>
    <font>
      <sz val="8"/>
      <color theme="0" tint="-0.14999847407452621"/>
      <name val="Calibri"/>
      <family val="2"/>
      <scheme val="minor"/>
    </font>
    <font>
      <sz val="8"/>
      <color theme="0" tint="-4.9989318521683403E-2"/>
      <name val="Calibri"/>
      <family val="2"/>
      <scheme val="minor"/>
    </font>
    <font>
      <sz val="10"/>
      <color theme="1"/>
      <name val="Calibri"/>
      <family val="2"/>
      <scheme val="minor"/>
    </font>
    <font>
      <sz val="16"/>
      <color theme="1"/>
      <name val="Calibri"/>
      <family val="2"/>
      <scheme val="minor"/>
    </font>
    <font>
      <sz val="20"/>
      <color theme="1"/>
      <name val="Times New Roman"/>
      <family val="1"/>
    </font>
  </fonts>
  <fills count="61">
    <fill>
      <patternFill patternType="none"/>
    </fill>
    <fill>
      <patternFill patternType="gray125"/>
    </fill>
    <fill>
      <patternFill patternType="solid">
        <fgColor theme="5" tint="0.79998168889431442"/>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39997558519241921"/>
        <bgColor indexed="65"/>
      </patternFill>
    </fill>
    <fill>
      <patternFill patternType="solid">
        <fgColor theme="9" tint="0.79998168889431442"/>
        <bgColor indexed="65"/>
      </patternFill>
    </fill>
    <fill>
      <patternFill patternType="solid">
        <fgColor theme="9" tint="0.39997558519241921"/>
        <bgColor indexed="65"/>
      </patternFill>
    </fill>
    <fill>
      <patternFill patternType="solid">
        <fgColor theme="6"/>
      </patternFill>
    </fill>
    <fill>
      <patternFill patternType="solid">
        <fgColor theme="6" tint="0.59999389629810485"/>
        <bgColor indexed="65"/>
      </patternFill>
    </fill>
    <fill>
      <patternFill patternType="solid">
        <fgColor theme="4" tint="0.39997558519241921"/>
        <bgColor indexed="65"/>
      </patternFill>
    </fill>
    <fill>
      <patternFill patternType="solid">
        <fgColor theme="5" tint="0.59999389629810485"/>
        <bgColor indexed="65"/>
      </patternFill>
    </fill>
    <fill>
      <patternFill patternType="solid">
        <fgColor theme="0" tint="-0.34998626667073579"/>
        <bgColor indexed="64"/>
      </patternFill>
    </fill>
    <fill>
      <patternFill patternType="solid">
        <fgColor theme="0" tint="-0.24994659260841701"/>
        <bgColor indexed="64"/>
      </patternFill>
    </fill>
    <fill>
      <patternFill patternType="solid">
        <fgColor rgb="FFFFFF00"/>
        <bgColor indexed="64"/>
      </patternFill>
    </fill>
    <fill>
      <patternFill patternType="solid">
        <fgColor rgb="FFFFFFCC"/>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EF"/>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8" tint="0.79998168889431442"/>
        <bgColor indexed="65"/>
      </patternFill>
    </fill>
    <fill>
      <patternFill patternType="solid">
        <fgColor theme="4" tint="0.59999389629810485"/>
        <bgColor indexed="65"/>
      </patternFill>
    </fill>
    <fill>
      <patternFill patternType="solid">
        <fgColor theme="7" tint="0.79998168889431442"/>
        <bgColor indexed="65"/>
      </patternFill>
    </fill>
    <fill>
      <patternFill patternType="solid">
        <fgColor rgb="FFFFC8C8"/>
        <bgColor indexed="64"/>
      </patternFill>
    </fill>
    <fill>
      <patternFill patternType="solid">
        <fgColor rgb="FFF2F2F2"/>
        <bgColor rgb="FF000000"/>
      </patternFill>
    </fill>
    <fill>
      <patternFill patternType="solid">
        <fgColor rgb="FFE4DFEC"/>
        <bgColor rgb="FF000000"/>
      </patternFill>
    </fill>
    <fill>
      <patternFill patternType="solid">
        <fgColor rgb="FFD9D9D9"/>
        <bgColor rgb="FF000000"/>
      </patternFill>
    </fill>
    <fill>
      <patternFill patternType="solid">
        <fgColor rgb="FFEBF1DE"/>
        <bgColor rgb="FF000000"/>
      </patternFill>
    </fill>
    <fill>
      <patternFill patternType="solid">
        <fgColor rgb="FFFFFFEF"/>
        <bgColor rgb="FF000000"/>
      </patternFill>
    </fill>
    <fill>
      <patternFill patternType="solid">
        <fgColor rgb="FFFFFFEB"/>
        <bgColor indexed="64"/>
      </patternFill>
    </fill>
    <fill>
      <patternFill patternType="solid">
        <fgColor rgb="FFFFFFCC"/>
        <bgColor rgb="FFFFFFFF"/>
      </patternFill>
    </fill>
    <fill>
      <patternFill patternType="solid">
        <fgColor rgb="FFEBF1DE"/>
        <bgColor rgb="FFFFFFFF"/>
      </patternFill>
    </fill>
    <fill>
      <patternFill patternType="solid">
        <fgColor rgb="FFDAEEF3"/>
        <bgColor rgb="FF000000"/>
      </patternFill>
    </fill>
    <fill>
      <patternFill patternType="solid">
        <fgColor rgb="FFFFFFE5"/>
        <bgColor rgb="FF000000"/>
      </patternFill>
    </fill>
    <fill>
      <patternFill patternType="solid">
        <fgColor theme="8" tint="0.59999389629810485"/>
        <bgColor indexed="65"/>
      </patternFill>
    </fill>
    <fill>
      <patternFill patternType="solid">
        <fgColor rgb="FFE8D9F3"/>
        <bgColor indexed="64"/>
      </patternFill>
    </fill>
    <fill>
      <patternFill patternType="solid">
        <fgColor rgb="FF66FFFF"/>
        <bgColor indexed="64"/>
      </patternFill>
    </fill>
    <fill>
      <patternFill patternType="solid">
        <fgColor theme="7" tint="0.59999389629810485"/>
        <bgColor indexed="64"/>
      </patternFill>
    </fill>
    <fill>
      <patternFill patternType="solid">
        <fgColor rgb="FFFFDFD9"/>
        <bgColor indexed="64"/>
      </patternFill>
    </fill>
    <fill>
      <patternFill patternType="solid">
        <fgColor rgb="FFCCFFCC"/>
        <bgColor indexed="64"/>
      </patternFill>
    </fill>
    <fill>
      <patternFill patternType="solid">
        <fgColor rgb="FFF2F2F2"/>
        <bgColor indexed="64"/>
      </patternFill>
    </fill>
    <fill>
      <patternFill patternType="solid">
        <fgColor rgb="FF00FFFF"/>
        <bgColor indexed="64"/>
      </patternFill>
    </fill>
    <fill>
      <patternFill patternType="solid">
        <fgColor rgb="FFE1FFFF"/>
        <bgColor indexed="64"/>
      </patternFill>
    </fill>
    <fill>
      <patternFill patternType="solid">
        <fgColor theme="0"/>
        <bgColor indexed="64"/>
      </patternFill>
    </fill>
    <fill>
      <patternFill patternType="solid">
        <fgColor theme="4"/>
        <bgColor indexed="64"/>
      </patternFill>
    </fill>
    <fill>
      <patternFill patternType="solid">
        <fgColor theme="6"/>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7" tint="0.39997558519241921"/>
        <bgColor indexed="65"/>
      </patternFill>
    </fill>
  </fills>
  <borders count="88">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style="thin">
        <color auto="1"/>
      </right>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style="medium">
        <color auto="1"/>
      </right>
      <top style="thin">
        <color theme="0" tint="-0.499984740745262"/>
      </top>
      <bottom style="thin">
        <color theme="0" tint="-0.499984740745262"/>
      </bottom>
      <diagonal/>
    </border>
    <border>
      <left style="medium">
        <color indexed="64"/>
      </left>
      <right style="medium">
        <color indexed="64"/>
      </right>
      <top style="thin">
        <color theme="0" tint="-0.499984740745262"/>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medium">
        <color indexed="64"/>
      </bottom>
      <diagonal/>
    </border>
    <border>
      <left style="thin">
        <color theme="0" tint="-0.499984740745262"/>
      </left>
      <right style="thin">
        <color theme="0" tint="-0.499984740745262"/>
      </right>
      <top/>
      <bottom/>
      <diagonal/>
    </border>
    <border>
      <left style="medium">
        <color indexed="64"/>
      </left>
      <right style="medium">
        <color indexed="64"/>
      </right>
      <top style="thin">
        <color auto="1"/>
      </top>
      <bottom style="thin">
        <color auto="1"/>
      </bottom>
      <diagonal/>
    </border>
    <border>
      <left style="thin">
        <color rgb="FFB2B2B2"/>
      </left>
      <right style="thin">
        <color rgb="FFB2B2B2"/>
      </right>
      <top style="thin">
        <color rgb="FFB2B2B2"/>
      </top>
      <bottom/>
      <diagonal/>
    </border>
    <border>
      <left style="thin">
        <color rgb="FFB2B2B2"/>
      </left>
      <right style="thin">
        <color rgb="FFB2B2B2"/>
      </right>
      <top/>
      <bottom style="thin">
        <color rgb="FFB2B2B2"/>
      </bottom>
      <diagonal/>
    </border>
    <border>
      <left style="medium">
        <color indexed="64"/>
      </left>
      <right style="medium">
        <color indexed="64"/>
      </right>
      <top style="thin">
        <color auto="1"/>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right style="medium">
        <color indexed="64"/>
      </right>
      <top style="medium">
        <color indexed="64"/>
      </top>
      <bottom style="thin">
        <color auto="1"/>
      </bottom>
      <diagonal/>
    </border>
    <border>
      <left/>
      <right style="medium">
        <color indexed="64"/>
      </right>
      <top style="thin">
        <color auto="1"/>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0" tint="-0.499984740745262"/>
      </left>
      <right/>
      <top/>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bottom style="thin">
        <color rgb="FF808080"/>
      </bottom>
      <diagonal/>
    </border>
    <border>
      <left/>
      <right style="thin">
        <color rgb="FF808080"/>
      </right>
      <top/>
      <bottom style="thin">
        <color rgb="FF808080"/>
      </bottom>
      <diagonal/>
    </border>
    <border>
      <left/>
      <right style="thin">
        <color rgb="FF808080"/>
      </right>
      <top/>
      <bottom/>
      <diagonal/>
    </border>
    <border>
      <left style="medium">
        <color indexed="64"/>
      </left>
      <right style="medium">
        <color indexed="64"/>
      </right>
      <top/>
      <bottom style="thin">
        <color auto="1"/>
      </bottom>
      <diagonal/>
    </border>
    <border>
      <left style="medium">
        <color indexed="64"/>
      </left>
      <right style="medium">
        <color indexed="64"/>
      </right>
      <top style="medium">
        <color indexed="64"/>
      </top>
      <bottom style="medium">
        <color indexed="64"/>
      </bottom>
      <diagonal/>
    </border>
    <border>
      <left/>
      <right style="thin">
        <color auto="1"/>
      </right>
      <top style="thin">
        <color theme="0" tint="-0.499984740745262"/>
      </top>
      <bottom style="thin">
        <color theme="0" tint="-0.499984740745262"/>
      </bottom>
      <diagonal/>
    </border>
    <border>
      <left style="thin">
        <color auto="1"/>
      </left>
      <right/>
      <top style="thin">
        <color theme="0" tint="-0.499984740745262"/>
      </top>
      <bottom style="thin">
        <color theme="0" tint="-0.499984740745262"/>
      </bottom>
      <diagonal/>
    </border>
    <border>
      <left style="medium">
        <color indexed="64"/>
      </left>
      <right style="medium">
        <color indexed="64"/>
      </right>
      <top style="medium">
        <color indexed="64"/>
      </top>
      <bottom style="thin">
        <color theme="0" tint="-0.499984740745262"/>
      </bottom>
      <diagonal/>
    </border>
    <border>
      <left style="medium">
        <color indexed="64"/>
      </left>
      <right style="medium">
        <color indexed="64"/>
      </right>
      <top/>
      <bottom style="thin">
        <color theme="0" tint="-0.499984740745262"/>
      </bottom>
      <diagonal/>
    </border>
    <border>
      <left style="medium">
        <color indexed="64"/>
      </left>
      <right style="medium">
        <color indexed="64"/>
      </right>
      <top style="thin">
        <color theme="0" tint="-0.499984740745262"/>
      </top>
      <bottom style="medium">
        <color indexed="64"/>
      </bottom>
      <diagonal/>
    </border>
    <border>
      <left style="medium">
        <color indexed="64"/>
      </left>
      <right style="medium">
        <color indexed="64"/>
      </right>
      <top style="medium">
        <color indexed="64"/>
      </top>
      <bottom style="thin">
        <color rgb="FFB2B2B2"/>
      </bottom>
      <diagonal/>
    </border>
    <border>
      <left style="medium">
        <color indexed="64"/>
      </left>
      <right style="medium">
        <color indexed="64"/>
      </right>
      <top style="thin">
        <color rgb="FFB2B2B2"/>
      </top>
      <bottom style="medium">
        <color indexed="64"/>
      </bottom>
      <diagonal/>
    </border>
    <border>
      <left style="thin">
        <color auto="1"/>
      </left>
      <right/>
      <top style="thin">
        <color auto="1"/>
      </top>
      <bottom style="thin">
        <color theme="0" tint="-0.499984740745262"/>
      </bottom>
      <diagonal/>
    </border>
    <border>
      <left/>
      <right style="thin">
        <color auto="1"/>
      </right>
      <top style="thin">
        <color auto="1"/>
      </top>
      <bottom style="thin">
        <color theme="0" tint="-0.499984740745262"/>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theme="0" tint="-0.499984740745262"/>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4">
    <xf numFmtId="0" fontId="0" fillId="0" borderId="0"/>
    <xf numFmtId="0" fontId="2" fillId="2" borderId="2" applyNumberFormat="0" applyBorder="0" applyAlignment="0" applyProtection="0"/>
    <xf numFmtId="0" fontId="2" fillId="3" borderId="0" applyNumberFormat="0" applyBorder="0" applyAlignment="0" applyProtection="0"/>
    <xf numFmtId="0" fontId="2" fillId="4" borderId="1"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3" fillId="8" borderId="0" applyNumberFormat="0" applyBorder="0" applyAlignment="0" applyProtection="0"/>
    <xf numFmtId="0" fontId="2" fillId="9" borderId="0" applyNumberFormat="0" applyBorder="0" applyAlignment="0" applyProtection="0"/>
    <xf numFmtId="9" fontId="2" fillId="0" borderId="0" applyFont="0" applyFill="0" applyBorder="0" applyAlignment="0" applyProtection="0"/>
    <xf numFmtId="0" fontId="2" fillId="32"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5" fillId="12" borderId="0"/>
    <xf numFmtId="0" fontId="1" fillId="13" borderId="0"/>
    <xf numFmtId="0" fontId="6" fillId="0" borderId="0"/>
    <xf numFmtId="9" fontId="6" fillId="0" borderId="0" applyFont="0" applyFill="0" applyBorder="0" applyAlignment="0" applyProtection="0"/>
    <xf numFmtId="169" fontId="6" fillId="0" borderId="0" applyFont="0" applyFill="0" applyBorder="0" applyAlignment="0" applyProtection="0"/>
    <xf numFmtId="0" fontId="2" fillId="15" borderId="16" applyNumberFormat="0" applyFont="0" applyAlignment="0" applyProtection="0"/>
    <xf numFmtId="0" fontId="2"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43" fillId="37" borderId="48">
      <alignment horizontal="left" vertical="center" indent="1"/>
    </xf>
    <xf numFmtId="0" fontId="61" fillId="0" borderId="0" applyNumberFormat="0" applyFill="0" applyBorder="0" applyAlignment="0" applyProtection="0"/>
    <xf numFmtId="0" fontId="2" fillId="43" borderId="0" applyNumberFormat="0" applyBorder="0" applyAlignment="0" applyProtection="0"/>
    <xf numFmtId="9" fontId="2" fillId="0" borderId="0" applyFont="0" applyFill="0" applyBorder="0" applyAlignment="0" applyProtection="0"/>
    <xf numFmtId="0" fontId="90" fillId="0" borderId="0"/>
    <xf numFmtId="43" fontId="2" fillId="0" borderId="0" applyFont="0" applyFill="0" applyBorder="0" applyAlignment="0" applyProtection="0"/>
    <xf numFmtId="3" fontId="91" fillId="0" borderId="0">
      <alignment vertical="center"/>
    </xf>
    <xf numFmtId="43" fontId="91" fillId="0" borderId="0" applyFont="0" applyFill="0" applyBorder="0" applyAlignment="0" applyProtection="0"/>
    <xf numFmtId="0" fontId="2" fillId="4"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60" borderId="0" applyNumberFormat="0" applyBorder="0" applyAlignment="0" applyProtection="0"/>
  </cellStyleXfs>
  <cellXfs count="1262">
    <xf numFmtId="0" fontId="0" fillId="0" borderId="0" xfId="0"/>
    <xf numFmtId="0" fontId="1" fillId="0" borderId="0" xfId="0" applyFont="1"/>
    <xf numFmtId="0" fontId="2" fillId="4" borderId="1" xfId="3"/>
    <xf numFmtId="0" fontId="2" fillId="5" borderId="0" xfId="4"/>
    <xf numFmtId="0" fontId="2" fillId="7" borderId="0" xfId="6"/>
    <xf numFmtId="0" fontId="2" fillId="6" borderId="0" xfId="5"/>
    <xf numFmtId="0" fontId="2" fillId="3" borderId="0" xfId="2"/>
    <xf numFmtId="0" fontId="2" fillId="2" borderId="2" xfId="1"/>
    <xf numFmtId="0" fontId="3" fillId="8" borderId="0" xfId="7"/>
    <xf numFmtId="0" fontId="2" fillId="9" borderId="0" xfId="8"/>
    <xf numFmtId="0" fontId="2" fillId="4" borderId="0" xfId="3" applyBorder="1"/>
    <xf numFmtId="0" fontId="2" fillId="32" borderId="0" xfId="10"/>
    <xf numFmtId="0" fontId="2" fillId="2" borderId="0" xfId="1" applyBorder="1"/>
    <xf numFmtId="0" fontId="5" fillId="12" borderId="0" xfId="13"/>
    <xf numFmtId="0" fontId="1" fillId="13" borderId="0" xfId="14"/>
    <xf numFmtId="0" fontId="2" fillId="10" borderId="0" xfId="11"/>
    <xf numFmtId="0" fontId="2" fillId="32" borderId="0" xfId="10" applyBorder="1"/>
    <xf numFmtId="0" fontId="0" fillId="0" borderId="0" xfId="0" applyAlignment="1">
      <alignment horizontal="right"/>
    </xf>
    <xf numFmtId="0" fontId="2" fillId="4" borderId="0" xfId="3" applyBorder="1" applyAlignment="1">
      <alignment horizontal="right"/>
    </xf>
    <xf numFmtId="0" fontId="2" fillId="5" borderId="0" xfId="4" applyBorder="1"/>
    <xf numFmtId="166" fontId="2" fillId="4" borderId="0" xfId="3" applyNumberFormat="1" applyBorder="1"/>
    <xf numFmtId="166" fontId="2" fillId="4" borderId="0" xfId="3" applyNumberFormat="1" applyBorder="1" applyAlignment="1">
      <alignment horizontal="right"/>
    </xf>
    <xf numFmtId="166" fontId="2" fillId="9" borderId="0" xfId="8" applyNumberFormat="1" applyBorder="1"/>
    <xf numFmtId="166" fontId="2" fillId="4" borderId="0" xfId="3" applyNumberFormat="1" applyBorder="1" applyAlignment="1">
      <alignment horizontal="center" vertical="center"/>
    </xf>
    <xf numFmtId="166" fontId="2" fillId="4" borderId="0" xfId="3" applyNumberFormat="1" applyBorder="1" applyAlignment="1">
      <alignment horizontal="center" vertical="center" wrapText="1"/>
    </xf>
    <xf numFmtId="166" fontId="2" fillId="5" borderId="0" xfId="4" applyNumberFormat="1" applyBorder="1"/>
    <xf numFmtId="166" fontId="8" fillId="4" borderId="0" xfId="3" applyNumberFormat="1" applyFont="1" applyBorder="1"/>
    <xf numFmtId="166" fontId="2" fillId="5" borderId="0" xfId="4" applyNumberFormat="1" applyBorder="1" applyAlignment="1">
      <alignment horizontal="center" wrapText="1"/>
    </xf>
    <xf numFmtId="166" fontId="2" fillId="5" borderId="0" xfId="4" applyNumberFormat="1" applyBorder="1" applyAlignment="1">
      <alignment wrapText="1"/>
    </xf>
    <xf numFmtId="166" fontId="2" fillId="9" borderId="0" xfId="8" applyNumberFormat="1" applyBorder="1" applyAlignment="1">
      <alignment horizontal="right"/>
    </xf>
    <xf numFmtId="0" fontId="2" fillId="2" borderId="0" xfId="1" applyBorder="1" applyAlignment="1">
      <alignment horizontal="right"/>
    </xf>
    <xf numFmtId="0" fontId="2" fillId="2" borderId="2" xfId="1" applyAlignment="1">
      <alignment horizontal="right"/>
    </xf>
    <xf numFmtId="9" fontId="2" fillId="9" borderId="0" xfId="8" applyNumberFormat="1" applyBorder="1"/>
    <xf numFmtId="0" fontId="2" fillId="9" borderId="0" xfId="8" applyBorder="1"/>
    <xf numFmtId="9" fontId="8" fillId="9" borderId="0" xfId="8" applyNumberFormat="1" applyFont="1" applyBorder="1"/>
    <xf numFmtId="0" fontId="2" fillId="4" borderId="2" xfId="3" applyBorder="1"/>
    <xf numFmtId="0" fontId="2" fillId="2" borderId="2" xfId="1" applyBorder="1"/>
    <xf numFmtId="0" fontId="2" fillId="5" borderId="0" xfId="4" applyAlignment="1">
      <alignment wrapText="1"/>
    </xf>
    <xf numFmtId="0" fontId="2" fillId="7" borderId="0" xfId="6" applyBorder="1"/>
    <xf numFmtId="0" fontId="2" fillId="6" borderId="2" xfId="5" applyBorder="1"/>
    <xf numFmtId="0" fontId="8" fillId="9" borderId="0" xfId="8" applyFont="1" applyBorder="1"/>
    <xf numFmtId="9" fontId="8" fillId="9" borderId="0" xfId="9" applyFont="1" applyFill="1" applyBorder="1"/>
    <xf numFmtId="0" fontId="2" fillId="4" borderId="2" xfId="3" applyBorder="1" applyAlignment="1">
      <alignment horizontal="right"/>
    </xf>
    <xf numFmtId="0" fontId="4" fillId="5" borderId="0" xfId="4" applyFont="1" applyAlignment="1">
      <alignment horizontal="center" vertical="center"/>
    </xf>
    <xf numFmtId="0" fontId="4" fillId="11" borderId="0" xfId="12" applyFont="1" applyAlignment="1">
      <alignment horizontal="center" vertical="center"/>
    </xf>
    <xf numFmtId="0" fontId="4" fillId="5" borderId="0" xfId="4" applyFont="1" applyAlignment="1">
      <alignment horizontal="center" vertical="center" wrapText="1"/>
    </xf>
    <xf numFmtId="166" fontId="2" fillId="4" borderId="0" xfId="3" applyNumberFormat="1" applyBorder="1" applyAlignment="1"/>
    <xf numFmtId="0" fontId="6" fillId="0" borderId="0" xfId="15"/>
    <xf numFmtId="2" fontId="0" fillId="0" borderId="0" xfId="16" applyNumberFormat="1" applyFont="1" applyFill="1" applyBorder="1"/>
    <xf numFmtId="165" fontId="0" fillId="0" borderId="0" xfId="16" applyNumberFormat="1" applyFont="1" applyFill="1" applyBorder="1"/>
    <xf numFmtId="165" fontId="0" fillId="0" borderId="1" xfId="16" applyNumberFormat="1" applyFont="1" applyFill="1" applyBorder="1" applyAlignment="1">
      <alignment wrapText="1"/>
    </xf>
    <xf numFmtId="165" fontId="0" fillId="0" borderId="6" xfId="16" applyNumberFormat="1" applyFont="1" applyFill="1" applyBorder="1"/>
    <xf numFmtId="3" fontId="0" fillId="0" borderId="9" xfId="16" applyNumberFormat="1" applyFont="1" applyFill="1" applyBorder="1"/>
    <xf numFmtId="3" fontId="0" fillId="0" borderId="3" xfId="16" applyNumberFormat="1" applyFont="1" applyFill="1" applyBorder="1"/>
    <xf numFmtId="3" fontId="0" fillId="0" borderId="7" xfId="16" applyNumberFormat="1" applyFont="1" applyFill="1" applyBorder="1"/>
    <xf numFmtId="3" fontId="0" fillId="0" borderId="8" xfId="16" applyNumberFormat="1" applyFont="1" applyFill="1" applyBorder="1"/>
    <xf numFmtId="3" fontId="0" fillId="0" borderId="11" xfId="16" applyNumberFormat="1" applyFont="1" applyFill="1" applyBorder="1"/>
    <xf numFmtId="3" fontId="0" fillId="0" borderId="6" xfId="16" applyNumberFormat="1" applyFont="1" applyFill="1" applyBorder="1"/>
    <xf numFmtId="3" fontId="0" fillId="0" borderId="0" xfId="16" applyNumberFormat="1" applyFont="1" applyFill="1" applyBorder="1"/>
    <xf numFmtId="3" fontId="0" fillId="0" borderId="10" xfId="16" applyNumberFormat="1" applyFont="1" applyFill="1" applyBorder="1"/>
    <xf numFmtId="167" fontId="0" fillId="0" borderId="11" xfId="16" applyNumberFormat="1" applyFont="1" applyFill="1" applyBorder="1"/>
    <xf numFmtId="167" fontId="0" fillId="0" borderId="6" xfId="16" applyNumberFormat="1" applyFont="1" applyFill="1" applyBorder="1"/>
    <xf numFmtId="167" fontId="0" fillId="0" borderId="0" xfId="16" applyNumberFormat="1" applyFont="1" applyFill="1" applyBorder="1"/>
    <xf numFmtId="167" fontId="0" fillId="0" borderId="10" xfId="16" applyNumberFormat="1" applyFont="1" applyFill="1" applyBorder="1"/>
    <xf numFmtId="3" fontId="0" fillId="0" borderId="15" xfId="16" applyNumberFormat="1" applyFont="1" applyFill="1" applyBorder="1"/>
    <xf numFmtId="3" fontId="0" fillId="0" borderId="12" xfId="16" applyNumberFormat="1" applyFont="1" applyFill="1" applyBorder="1"/>
    <xf numFmtId="3" fontId="0" fillId="0" borderId="13" xfId="16" applyNumberFormat="1" applyFont="1" applyFill="1" applyBorder="1"/>
    <xf numFmtId="3" fontId="0" fillId="0" borderId="14" xfId="16" applyNumberFormat="1" applyFont="1" applyFill="1" applyBorder="1"/>
    <xf numFmtId="167" fontId="0" fillId="0" borderId="12" xfId="16" applyNumberFormat="1" applyFont="1" applyFill="1" applyBorder="1"/>
    <xf numFmtId="165" fontId="0" fillId="0" borderId="3" xfId="16" applyNumberFormat="1" applyFont="1" applyFill="1" applyBorder="1"/>
    <xf numFmtId="165" fontId="0" fillId="0" borderId="12" xfId="16" applyNumberFormat="1" applyFont="1" applyFill="1" applyBorder="1"/>
    <xf numFmtId="165" fontId="0" fillId="0" borderId="6" xfId="16" applyNumberFormat="1" applyFont="1" applyBorder="1"/>
    <xf numFmtId="165" fontId="0" fillId="0" borderId="3" xfId="16" applyNumberFormat="1" applyFont="1" applyBorder="1"/>
    <xf numFmtId="165" fontId="0" fillId="0" borderId="10" xfId="16" applyNumberFormat="1" applyFont="1" applyBorder="1"/>
    <xf numFmtId="3" fontId="0" fillId="0" borderId="3" xfId="16" applyNumberFormat="1" applyFont="1" applyBorder="1"/>
    <xf numFmtId="3" fontId="0" fillId="0" borderId="7" xfId="16" applyNumberFormat="1" applyFont="1" applyBorder="1"/>
    <xf numFmtId="3" fontId="0" fillId="0" borderId="9" xfId="16" applyNumberFormat="1" applyFont="1" applyBorder="1"/>
    <xf numFmtId="3" fontId="0" fillId="0" borderId="6" xfId="16" applyNumberFormat="1" applyFont="1" applyBorder="1"/>
    <xf numFmtId="3" fontId="0" fillId="0" borderId="0" xfId="16" applyNumberFormat="1" applyFont="1" applyBorder="1"/>
    <xf numFmtId="3" fontId="0" fillId="0" borderId="11" xfId="16" applyNumberFormat="1" applyFont="1" applyBorder="1"/>
    <xf numFmtId="167" fontId="0" fillId="0" borderId="6" xfId="16" applyNumberFormat="1" applyFont="1" applyBorder="1"/>
    <xf numFmtId="167" fontId="0" fillId="0" borderId="0" xfId="16" applyNumberFormat="1" applyFont="1" applyBorder="1"/>
    <xf numFmtId="167" fontId="0" fillId="0" borderId="11" xfId="16" applyNumberFormat="1" applyFont="1" applyBorder="1"/>
    <xf numFmtId="3" fontId="0" fillId="0" borderId="12" xfId="16" applyNumberFormat="1" applyFont="1" applyBorder="1"/>
    <xf numFmtId="3" fontId="0" fillId="0" borderId="13" xfId="16" applyNumberFormat="1" applyFont="1" applyBorder="1"/>
    <xf numFmtId="3" fontId="0" fillId="0" borderId="15" xfId="16" applyNumberFormat="1" applyFont="1" applyBorder="1"/>
    <xf numFmtId="167" fontId="0" fillId="0" borderId="9" xfId="16" applyNumberFormat="1" applyFont="1" applyBorder="1"/>
    <xf numFmtId="167" fontId="0" fillId="0" borderId="3" xfId="16" applyNumberFormat="1" applyFont="1" applyBorder="1"/>
    <xf numFmtId="167" fontId="0" fillId="0" borderId="7" xfId="16" applyNumberFormat="1" applyFont="1" applyBorder="1"/>
    <xf numFmtId="167" fontId="0" fillId="0" borderId="15" xfId="16" applyNumberFormat="1" applyFont="1" applyBorder="1"/>
    <xf numFmtId="167" fontId="0" fillId="0" borderId="12" xfId="16" applyNumberFormat="1" applyFont="1" applyBorder="1"/>
    <xf numFmtId="167" fontId="0" fillId="0" borderId="13" xfId="16" applyNumberFormat="1" applyFont="1" applyBorder="1"/>
    <xf numFmtId="165" fontId="0" fillId="0" borderId="12" xfId="16" applyNumberFormat="1" applyFont="1" applyBorder="1"/>
    <xf numFmtId="165" fontId="0" fillId="0" borderId="11" xfId="16" applyNumberFormat="1" applyFont="1" applyFill="1" applyBorder="1"/>
    <xf numFmtId="165" fontId="0" fillId="0" borderId="10" xfId="16" applyNumberFormat="1" applyFont="1" applyFill="1" applyBorder="1"/>
    <xf numFmtId="165" fontId="0" fillId="0" borderId="8" xfId="16" applyNumberFormat="1" applyFont="1" applyFill="1" applyBorder="1"/>
    <xf numFmtId="0" fontId="7" fillId="0" borderId="0" xfId="15" applyFont="1" applyAlignment="1">
      <alignment horizontal="right" textRotation="90" wrapText="1"/>
    </xf>
    <xf numFmtId="165" fontId="0" fillId="14" borderId="15" xfId="16" applyNumberFormat="1" applyFont="1" applyFill="1" applyBorder="1"/>
    <xf numFmtId="165" fontId="0" fillId="14" borderId="14" xfId="16" applyNumberFormat="1" applyFont="1" applyFill="1" applyBorder="1"/>
    <xf numFmtId="165" fontId="0" fillId="14" borderId="0" xfId="16" applyNumberFormat="1" applyFont="1" applyFill="1" applyBorder="1"/>
    <xf numFmtId="165" fontId="0" fillId="14" borderId="13" xfId="16" applyNumberFormat="1" applyFont="1" applyFill="1" applyBorder="1"/>
    <xf numFmtId="165" fontId="0" fillId="14" borderId="11" xfId="16" applyNumberFormat="1" applyFont="1" applyFill="1" applyBorder="1"/>
    <xf numFmtId="165" fontId="0" fillId="14" borderId="10" xfId="16" applyNumberFormat="1" applyFont="1" applyFill="1" applyBorder="1"/>
    <xf numFmtId="165" fontId="0" fillId="0" borderId="15" xfId="16" applyNumberFormat="1" applyFont="1" applyFill="1" applyBorder="1"/>
    <xf numFmtId="165" fontId="0" fillId="0" borderId="14" xfId="16" applyNumberFormat="1" applyFont="1" applyFill="1" applyBorder="1"/>
    <xf numFmtId="167" fontId="0" fillId="0" borderId="11" xfId="17" applyNumberFormat="1" applyFont="1" applyFill="1" applyBorder="1"/>
    <xf numFmtId="167" fontId="0" fillId="0" borderId="0" xfId="17" applyNumberFormat="1" applyFont="1" applyFill="1" applyBorder="1"/>
    <xf numFmtId="167" fontId="0" fillId="0" borderId="10" xfId="17" applyNumberFormat="1" applyFont="1" applyFill="1" applyBorder="1"/>
    <xf numFmtId="167" fontId="0" fillId="0" borderId="15" xfId="17" applyNumberFormat="1" applyFont="1" applyFill="1" applyBorder="1"/>
    <xf numFmtId="167" fontId="0" fillId="0" borderId="14" xfId="17" applyNumberFormat="1" applyFont="1" applyFill="1" applyBorder="1"/>
    <xf numFmtId="3" fontId="0" fillId="0" borderId="14" xfId="17" applyNumberFormat="1" applyFont="1" applyFill="1" applyBorder="1"/>
    <xf numFmtId="3" fontId="0" fillId="14" borderId="0" xfId="17" applyNumberFormat="1" applyFont="1" applyFill="1" applyBorder="1"/>
    <xf numFmtId="3" fontId="0" fillId="0" borderId="0" xfId="17" applyNumberFormat="1" applyFont="1" applyFill="1" applyBorder="1"/>
    <xf numFmtId="167" fontId="0" fillId="0" borderId="9" xfId="17" applyNumberFormat="1" applyFont="1" applyFill="1" applyBorder="1"/>
    <xf numFmtId="167" fontId="0" fillId="0" borderId="8" xfId="17" applyNumberFormat="1" applyFont="1" applyFill="1" applyBorder="1"/>
    <xf numFmtId="9" fontId="0" fillId="0" borderId="9" xfId="16" applyFont="1" applyBorder="1"/>
    <xf numFmtId="9" fontId="0" fillId="0" borderId="7" xfId="16" applyFont="1" applyBorder="1"/>
    <xf numFmtId="167" fontId="0" fillId="0" borderId="5" xfId="16" applyNumberFormat="1" applyFont="1" applyBorder="1"/>
    <xf numFmtId="167" fontId="0" fillId="0" borderId="2" xfId="16" applyNumberFormat="1" applyFont="1" applyBorder="1"/>
    <xf numFmtId="167" fontId="0" fillId="0" borderId="2" xfId="16" applyNumberFormat="1" applyFont="1" applyFill="1" applyBorder="1"/>
    <xf numFmtId="3" fontId="0" fillId="0" borderId="10" xfId="17" applyNumberFormat="1" applyFont="1" applyFill="1" applyBorder="1"/>
    <xf numFmtId="3" fontId="0" fillId="0" borderId="13" xfId="17" applyNumberFormat="1" applyFont="1" applyFill="1" applyBorder="1"/>
    <xf numFmtId="167" fontId="0" fillId="0" borderId="7" xfId="16" applyNumberFormat="1" applyFont="1" applyFill="1" applyBorder="1"/>
    <xf numFmtId="167" fontId="0" fillId="0" borderId="13" xfId="16" applyNumberFormat="1" applyFont="1" applyFill="1" applyBorder="1"/>
    <xf numFmtId="3" fontId="0" fillId="0" borderId="11" xfId="17" applyNumberFormat="1" applyFont="1" applyFill="1" applyBorder="1"/>
    <xf numFmtId="3" fontId="0" fillId="0" borderId="15" xfId="17" applyNumberFormat="1" applyFont="1" applyFill="1" applyBorder="1"/>
    <xf numFmtId="167" fontId="0" fillId="0" borderId="3" xfId="16" applyNumberFormat="1" applyFont="1" applyFill="1" applyBorder="1"/>
    <xf numFmtId="167" fontId="0" fillId="0" borderId="15" xfId="16" applyNumberFormat="1" applyFont="1" applyFill="1" applyBorder="1"/>
    <xf numFmtId="167" fontId="0" fillId="0" borderId="10" xfId="16" applyNumberFormat="1" applyFont="1" applyBorder="1"/>
    <xf numFmtId="3" fontId="0" fillId="0" borderId="5" xfId="16" applyNumberFormat="1" applyFont="1" applyBorder="1"/>
    <xf numFmtId="3" fontId="0" fillId="0" borderId="2" xfId="16" applyNumberFormat="1" applyFont="1" applyBorder="1"/>
    <xf numFmtId="3" fontId="0" fillId="0" borderId="4" xfId="16" applyNumberFormat="1" applyFont="1" applyBorder="1"/>
    <xf numFmtId="3" fontId="0" fillId="0" borderId="10" xfId="16" applyNumberFormat="1" applyFont="1" applyBorder="1"/>
    <xf numFmtId="167" fontId="0" fillId="0" borderId="8" xfId="16" applyNumberFormat="1" applyFont="1" applyBorder="1"/>
    <xf numFmtId="167" fontId="0" fillId="0" borderId="14" xfId="16" applyNumberFormat="1" applyFont="1" applyBorder="1"/>
    <xf numFmtId="3" fontId="6" fillId="0" borderId="6" xfId="17" applyNumberFormat="1" applyFont="1" applyFill="1" applyBorder="1"/>
    <xf numFmtId="3" fontId="6" fillId="0" borderId="0" xfId="17" applyNumberFormat="1" applyFont="1" applyFill="1" applyBorder="1"/>
    <xf numFmtId="167" fontId="0" fillId="0" borderId="0" xfId="0" applyNumberFormat="1"/>
    <xf numFmtId="164" fontId="0" fillId="0" borderId="0" xfId="0" applyNumberFormat="1"/>
    <xf numFmtId="3" fontId="0" fillId="0" borderId="0" xfId="0" applyNumberFormat="1"/>
    <xf numFmtId="165" fontId="0" fillId="0" borderId="0" xfId="0" applyNumberFormat="1"/>
    <xf numFmtId="4" fontId="0" fillId="0" borderId="0" xfId="0" applyNumberFormat="1"/>
    <xf numFmtId="0" fontId="9" fillId="0" borderId="0" xfId="0" applyFont="1"/>
    <xf numFmtId="0" fontId="7" fillId="0" borderId="0" xfId="0" applyFont="1"/>
    <xf numFmtId="0" fontId="10" fillId="0" borderId="0" xfId="0" applyFont="1"/>
    <xf numFmtId="0" fontId="7" fillId="0" borderId="3" xfId="0" applyFont="1" applyBorder="1"/>
    <xf numFmtId="0" fontId="7" fillId="0" borderId="6" xfId="0" applyFont="1" applyBorder="1"/>
    <xf numFmtId="0" fontId="0" fillId="0" borderId="5" xfId="0" applyBorder="1" applyAlignment="1">
      <alignment wrapText="1"/>
    </xf>
    <xf numFmtId="0" fontId="0" fillId="0" borderId="2" xfId="0" applyBorder="1" applyAlignment="1">
      <alignment wrapText="1"/>
    </xf>
    <xf numFmtId="0" fontId="0" fillId="0" borderId="4" xfId="0" applyBorder="1" applyAlignment="1">
      <alignment wrapText="1"/>
    </xf>
    <xf numFmtId="0" fontId="0" fillId="0" borderId="5" xfId="0" applyBorder="1" applyAlignment="1">
      <alignment horizontal="left" wrapText="1"/>
    </xf>
    <xf numFmtId="0" fontId="0" fillId="0" borderId="2" xfId="0" applyBorder="1" applyAlignment="1">
      <alignment horizontal="left" wrapText="1"/>
    </xf>
    <xf numFmtId="0" fontId="0" fillId="0" borderId="0" xfId="0" applyAlignment="1">
      <alignment wrapText="1"/>
    </xf>
    <xf numFmtId="0" fontId="0" fillId="0" borderId="3" xfId="0" applyBorder="1"/>
    <xf numFmtId="167" fontId="0" fillId="0" borderId="7" xfId="0" applyNumberFormat="1" applyBorder="1"/>
    <xf numFmtId="167" fontId="0" fillId="0" borderId="8" xfId="0" applyNumberFormat="1" applyBorder="1"/>
    <xf numFmtId="167" fontId="0" fillId="0" borderId="9" xfId="0" applyNumberFormat="1" applyBorder="1"/>
    <xf numFmtId="164" fontId="0" fillId="0" borderId="8" xfId="0" applyNumberFormat="1" applyBorder="1"/>
    <xf numFmtId="0" fontId="0" fillId="0" borderId="6" xfId="0" applyBorder="1"/>
    <xf numFmtId="167" fontId="0" fillId="0" borderId="10" xfId="0" applyNumberFormat="1" applyBorder="1"/>
    <xf numFmtId="167" fontId="0" fillId="0" borderId="11" xfId="0" applyNumberFormat="1" applyBorder="1"/>
    <xf numFmtId="164" fontId="0" fillId="0" borderId="10" xfId="0" applyNumberFormat="1" applyBorder="1"/>
    <xf numFmtId="0" fontId="0" fillId="0" borderId="12" xfId="0" applyBorder="1"/>
    <xf numFmtId="167" fontId="0" fillId="0" borderId="13" xfId="0" applyNumberFormat="1" applyBorder="1"/>
    <xf numFmtId="167" fontId="0" fillId="0" borderId="14" xfId="0" applyNumberFormat="1" applyBorder="1"/>
    <xf numFmtId="167" fontId="0" fillId="0" borderId="15" xfId="0" applyNumberFormat="1" applyBorder="1"/>
    <xf numFmtId="164" fontId="0" fillId="0" borderId="14" xfId="0" applyNumberFormat="1" applyBorder="1"/>
    <xf numFmtId="0" fontId="0" fillId="0" borderId="5" xfId="0" applyBorder="1"/>
    <xf numFmtId="0" fontId="0" fillId="0" borderId="1" xfId="0" applyBorder="1" applyAlignment="1">
      <alignment wrapText="1"/>
    </xf>
    <xf numFmtId="0" fontId="0" fillId="0" borderId="9" xfId="0" applyBorder="1"/>
    <xf numFmtId="0" fontId="0" fillId="0" borderId="11" xfId="0" applyBorder="1"/>
    <xf numFmtId="0" fontId="0" fillId="0" borderId="15" xfId="0" applyBorder="1"/>
    <xf numFmtId="3" fontId="0" fillId="0" borderId="3" xfId="0" applyNumberFormat="1" applyBorder="1" applyAlignment="1">
      <alignment horizontal="right"/>
    </xf>
    <xf numFmtId="3" fontId="0" fillId="0" borderId="3" xfId="0" applyNumberFormat="1" applyBorder="1"/>
    <xf numFmtId="3" fontId="0" fillId="0" borderId="6" xfId="0" applyNumberFormat="1" applyBorder="1" applyAlignment="1">
      <alignment horizontal="right"/>
    </xf>
    <xf numFmtId="3" fontId="0" fillId="0" borderId="6" xfId="0" applyNumberFormat="1" applyBorder="1"/>
    <xf numFmtId="167" fontId="0" fillId="0" borderId="6" xfId="0" applyNumberFormat="1" applyBorder="1" applyAlignment="1">
      <alignment horizontal="right"/>
    </xf>
    <xf numFmtId="167" fontId="0" fillId="0" borderId="6" xfId="0" applyNumberFormat="1" applyBorder="1"/>
    <xf numFmtId="3" fontId="0" fillId="0" borderId="12" xfId="0" applyNumberFormat="1" applyBorder="1" applyAlignment="1">
      <alignment horizontal="right"/>
    </xf>
    <xf numFmtId="3" fontId="0" fillId="0" borderId="12" xfId="0" applyNumberFormat="1" applyBorder="1"/>
    <xf numFmtId="167" fontId="0" fillId="0" borderId="12" xfId="0" applyNumberFormat="1" applyBorder="1" applyAlignment="1">
      <alignment horizontal="right"/>
    </xf>
    <xf numFmtId="167" fontId="0" fillId="0" borderId="12" xfId="0" applyNumberFormat="1" applyBorder="1"/>
    <xf numFmtId="0" fontId="0" fillId="0" borderId="9" xfId="0" applyBorder="1" applyAlignment="1">
      <alignment wrapText="1"/>
    </xf>
    <xf numFmtId="0" fontId="0" fillId="0" borderId="7" xfId="0" applyBorder="1" applyAlignment="1">
      <alignment wrapText="1"/>
    </xf>
    <xf numFmtId="0" fontId="0" fillId="0" borderId="8" xfId="0" applyBorder="1" applyAlignment="1">
      <alignment wrapText="1"/>
    </xf>
    <xf numFmtId="167" fontId="0" fillId="14" borderId="9" xfId="0" applyNumberFormat="1" applyFill="1" applyBorder="1"/>
    <xf numFmtId="167" fontId="0" fillId="14" borderId="11" xfId="0" applyNumberFormat="1" applyFill="1" applyBorder="1"/>
    <xf numFmtId="167" fontId="0" fillId="14" borderId="0" xfId="0" applyNumberFormat="1" applyFill="1"/>
    <xf numFmtId="167" fontId="0" fillId="14" borderId="10" xfId="0" applyNumberFormat="1" applyFill="1" applyBorder="1"/>
    <xf numFmtId="168" fontId="0" fillId="14" borderId="10" xfId="0" applyNumberFormat="1" applyFill="1" applyBorder="1"/>
    <xf numFmtId="11" fontId="0" fillId="14" borderId="11" xfId="0" applyNumberFormat="1" applyFill="1" applyBorder="1"/>
    <xf numFmtId="11" fontId="0" fillId="14" borderId="0" xfId="0" applyNumberFormat="1" applyFill="1"/>
    <xf numFmtId="11" fontId="0" fillId="14" borderId="10" xfId="0" applyNumberFormat="1" applyFill="1" applyBorder="1"/>
    <xf numFmtId="168" fontId="0" fillId="14" borderId="0" xfId="0" applyNumberFormat="1" applyFill="1"/>
    <xf numFmtId="168" fontId="0" fillId="14" borderId="11" xfId="0" applyNumberFormat="1" applyFill="1" applyBorder="1"/>
    <xf numFmtId="4" fontId="0" fillId="14" borderId="11" xfId="0" applyNumberFormat="1" applyFill="1" applyBorder="1"/>
    <xf numFmtId="4" fontId="0" fillId="14" borderId="0" xfId="0" applyNumberFormat="1" applyFill="1"/>
    <xf numFmtId="3" fontId="0" fillId="14" borderId="0" xfId="0" applyNumberFormat="1" applyFill="1"/>
    <xf numFmtId="167" fontId="0" fillId="14" borderId="15" xfId="0" applyNumberFormat="1" applyFill="1" applyBorder="1"/>
    <xf numFmtId="167" fontId="0" fillId="14" borderId="13" xfId="0" applyNumberFormat="1" applyFill="1" applyBorder="1"/>
    <xf numFmtId="167" fontId="0" fillId="14" borderId="14" xfId="0" applyNumberFormat="1" applyFill="1" applyBorder="1"/>
    <xf numFmtId="0" fontId="7" fillId="0" borderId="1" xfId="0" applyFont="1" applyBorder="1"/>
    <xf numFmtId="0" fontId="7" fillId="0" borderId="1" xfId="0" applyFont="1" applyBorder="1" applyAlignment="1">
      <alignment wrapText="1"/>
    </xf>
    <xf numFmtId="0" fontId="0" fillId="0" borderId="3" xfId="0" applyBorder="1" applyAlignment="1">
      <alignment wrapText="1"/>
    </xf>
    <xf numFmtId="0" fontId="0" fillId="0" borderId="1" xfId="0" applyBorder="1"/>
    <xf numFmtId="0" fontId="0" fillId="0" borderId="5" xfId="0" applyBorder="1" applyAlignment="1">
      <alignment horizontal="right" wrapText="1"/>
    </xf>
    <xf numFmtId="0" fontId="0" fillId="0" borderId="2" xfId="0" applyBorder="1" applyAlignment="1">
      <alignment horizontal="right" wrapText="1"/>
    </xf>
    <xf numFmtId="0" fontId="0" fillId="0" borderId="4" xfId="0" applyBorder="1" applyAlignment="1">
      <alignment horizontal="right" wrapText="1"/>
    </xf>
    <xf numFmtId="165" fontId="0" fillId="0" borderId="15" xfId="0" applyNumberFormat="1" applyBorder="1"/>
    <xf numFmtId="165" fontId="0" fillId="0" borderId="13" xfId="0" applyNumberFormat="1" applyBorder="1"/>
    <xf numFmtId="165" fontId="0" fillId="0" borderId="14" xfId="0" applyNumberFormat="1" applyBorder="1"/>
    <xf numFmtId="165" fontId="11" fillId="0" borderId="0" xfId="0" applyNumberFormat="1" applyFont="1"/>
    <xf numFmtId="9" fontId="0" fillId="0" borderId="10" xfId="0" applyNumberFormat="1" applyBorder="1"/>
    <xf numFmtId="0" fontId="0" fillId="0" borderId="0" xfId="0" applyAlignment="1">
      <alignment horizontal="right" wrapText="1"/>
    </xf>
    <xf numFmtId="9" fontId="0" fillId="0" borderId="14" xfId="0" applyNumberFormat="1" applyBorder="1"/>
    <xf numFmtId="0" fontId="7" fillId="0" borderId="5" xfId="0" applyFont="1" applyBorder="1" applyAlignment="1">
      <alignment horizontal="center" wrapText="1"/>
    </xf>
    <xf numFmtId="0" fontId="7" fillId="0" borderId="2" xfId="0" applyFont="1" applyBorder="1" applyAlignment="1">
      <alignment horizontal="center" wrapText="1"/>
    </xf>
    <xf numFmtId="0" fontId="7" fillId="0" borderId="4" xfId="0" applyFont="1" applyBorder="1" applyAlignment="1">
      <alignment horizontal="center" wrapText="1"/>
    </xf>
    <xf numFmtId="0" fontId="7" fillId="0" borderId="0" xfId="0" applyFont="1" applyAlignment="1">
      <alignment wrapText="1"/>
    </xf>
    <xf numFmtId="0" fontId="7" fillId="0" borderId="11" xfId="0" applyFont="1" applyBorder="1" applyAlignment="1">
      <alignment horizontal="right" textRotation="90" wrapText="1"/>
    </xf>
    <xf numFmtId="0" fontId="7" fillId="0" borderId="10" xfId="0" applyFont="1" applyBorder="1" applyAlignment="1">
      <alignment horizontal="right" textRotation="90" wrapText="1"/>
    </xf>
    <xf numFmtId="0" fontId="7" fillId="0" borderId="5" xfId="0" applyFont="1" applyBorder="1" applyAlignment="1">
      <alignment horizontal="right" textRotation="90" wrapText="1"/>
    </xf>
    <xf numFmtId="0" fontId="7" fillId="0" borderId="4" xfId="0" applyFont="1" applyBorder="1" applyAlignment="1">
      <alignment horizontal="right" textRotation="90" wrapText="1"/>
    </xf>
    <xf numFmtId="0" fontId="7" fillId="0" borderId="0" xfId="0" applyFont="1" applyAlignment="1">
      <alignment horizontal="right" textRotation="90" wrapText="1"/>
    </xf>
    <xf numFmtId="167" fontId="0" fillId="14" borderId="8" xfId="0" applyNumberFormat="1" applyFill="1" applyBorder="1"/>
    <xf numFmtId="164" fontId="0" fillId="0" borderId="9" xfId="0" applyNumberFormat="1" applyBorder="1"/>
    <xf numFmtId="0" fontId="0" fillId="0" borderId="8" xfId="0" applyBorder="1"/>
    <xf numFmtId="164" fontId="0" fillId="14" borderId="9" xfId="0" applyNumberFormat="1" applyFill="1" applyBorder="1"/>
    <xf numFmtId="0" fontId="0" fillId="0" borderId="14" xfId="0" applyBorder="1"/>
    <xf numFmtId="0" fontId="0" fillId="14" borderId="11" xfId="0" applyFill="1" applyBorder="1"/>
    <xf numFmtId="0" fontId="0" fillId="14" borderId="10" xfId="0" applyFill="1" applyBorder="1"/>
    <xf numFmtId="0" fontId="0" fillId="14" borderId="9" xfId="0" applyFill="1" applyBorder="1"/>
    <xf numFmtId="0" fontId="0" fillId="14" borderId="8" xfId="0" applyFill="1" applyBorder="1"/>
    <xf numFmtId="0" fontId="0" fillId="14" borderId="0" xfId="0" applyFill="1"/>
    <xf numFmtId="165" fontId="0" fillId="14" borderId="11" xfId="0" applyNumberFormat="1" applyFill="1" applyBorder="1"/>
    <xf numFmtId="0" fontId="0" fillId="0" borderId="10" xfId="0" applyBorder="1"/>
    <xf numFmtId="0" fontId="0" fillId="0" borderId="7" xfId="0" applyBorder="1"/>
    <xf numFmtId="4" fontId="0" fillId="0" borderId="5" xfId="0" applyNumberFormat="1" applyBorder="1"/>
    <xf numFmtId="4" fontId="0" fillId="0" borderId="4" xfId="0" applyNumberFormat="1" applyBorder="1"/>
    <xf numFmtId="3" fontId="0" fillId="0" borderId="4" xfId="0" applyNumberFormat="1" applyBorder="1"/>
    <xf numFmtId="3" fontId="0" fillId="0" borderId="5" xfId="0" applyNumberFormat="1" applyBorder="1"/>
    <xf numFmtId="0" fontId="0" fillId="0" borderId="4" xfId="0" applyBorder="1"/>
    <xf numFmtId="3" fontId="0" fillId="0" borderId="8" xfId="0" applyNumberFormat="1" applyBorder="1"/>
    <xf numFmtId="167" fontId="0" fillId="0" borderId="9" xfId="0" applyNumberFormat="1" applyBorder="1" applyAlignment="1">
      <alignment horizontal="right"/>
    </xf>
    <xf numFmtId="167" fontId="0" fillId="0" borderId="8" xfId="0" applyNumberFormat="1" applyBorder="1" applyAlignment="1">
      <alignment horizontal="right"/>
    </xf>
    <xf numFmtId="167" fontId="0" fillId="0" borderId="7" xfId="0" applyNumberFormat="1" applyBorder="1" applyAlignment="1">
      <alignment horizontal="right"/>
    </xf>
    <xf numFmtId="3" fontId="0" fillId="0" borderId="15" xfId="0" applyNumberFormat="1" applyBorder="1"/>
    <xf numFmtId="3" fontId="0" fillId="14" borderId="14" xfId="0" applyNumberFormat="1" applyFill="1" applyBorder="1"/>
    <xf numFmtId="3" fontId="0" fillId="0" borderId="14" xfId="0" applyNumberFormat="1" applyBorder="1"/>
    <xf numFmtId="0" fontId="7" fillId="0" borderId="11" xfId="0" applyFont="1" applyBorder="1"/>
    <xf numFmtId="167" fontId="0" fillId="0" borderId="2" xfId="0" applyNumberFormat="1" applyBorder="1"/>
    <xf numFmtId="167" fontId="0" fillId="0" borderId="4" xfId="0" applyNumberFormat="1" applyBorder="1"/>
    <xf numFmtId="0" fontId="7" fillId="0" borderId="9" xfId="0" applyFont="1" applyBorder="1"/>
    <xf numFmtId="3" fontId="0" fillId="0" borderId="11" xfId="0" applyNumberFormat="1" applyBorder="1"/>
    <xf numFmtId="0" fontId="7" fillId="0" borderId="5" xfId="0" applyFont="1" applyBorder="1" applyAlignment="1">
      <alignment horizontal="left" wrapText="1"/>
    </xf>
    <xf numFmtId="0" fontId="7" fillId="0" borderId="2" xfId="0" applyFont="1" applyBorder="1" applyAlignment="1">
      <alignment horizontal="left" wrapText="1"/>
    </xf>
    <xf numFmtId="3" fontId="0" fillId="0" borderId="10" xfId="0" applyNumberFormat="1" applyBorder="1"/>
    <xf numFmtId="3" fontId="0" fillId="0" borderId="2" xfId="0" applyNumberFormat="1" applyBorder="1"/>
    <xf numFmtId="167" fontId="0" fillId="0" borderId="3" xfId="0" applyNumberFormat="1" applyBorder="1"/>
    <xf numFmtId="9" fontId="0" fillId="0" borderId="0" xfId="0" applyNumberFormat="1"/>
    <xf numFmtId="0" fontId="7" fillId="0" borderId="12" xfId="0" applyFont="1" applyBorder="1"/>
    <xf numFmtId="164" fontId="0" fillId="0" borderId="3" xfId="0" applyNumberFormat="1" applyBorder="1"/>
    <xf numFmtId="164" fontId="0" fillId="0" borderId="6" xfId="0" applyNumberFormat="1" applyBorder="1"/>
    <xf numFmtId="164" fontId="0" fillId="0" borderId="12" xfId="0" applyNumberFormat="1" applyBorder="1"/>
    <xf numFmtId="167" fontId="0" fillId="0" borderId="0" xfId="0" applyNumberFormat="1" applyAlignment="1">
      <alignment horizontal="right"/>
    </xf>
    <xf numFmtId="0" fontId="7" fillId="0" borderId="1" xfId="0" applyFont="1" applyBorder="1" applyAlignment="1">
      <alignment horizontal="right" textRotation="90" wrapText="1"/>
    </xf>
    <xf numFmtId="170" fontId="0" fillId="0" borderId="6" xfId="0" applyNumberFormat="1" applyBorder="1"/>
    <xf numFmtId="170" fontId="0" fillId="0" borderId="12" xfId="0" applyNumberFormat="1" applyBorder="1"/>
    <xf numFmtId="3" fontId="0" fillId="0" borderId="1" xfId="0" applyNumberFormat="1" applyBorder="1"/>
    <xf numFmtId="0" fontId="7" fillId="0" borderId="1" xfId="0" applyFont="1" applyBorder="1" applyAlignment="1">
      <alignment horizontal="center" wrapText="1"/>
    </xf>
    <xf numFmtId="164" fontId="0" fillId="0" borderId="3" xfId="0" applyNumberFormat="1" applyBorder="1" applyAlignment="1">
      <alignment horizontal="right"/>
    </xf>
    <xf numFmtId="164" fontId="0" fillId="0" borderId="11" xfId="0" applyNumberFormat="1" applyBorder="1"/>
    <xf numFmtId="4" fontId="0" fillId="0" borderId="6" xfId="0" applyNumberFormat="1" applyBorder="1" applyAlignment="1">
      <alignment horizontal="right" vertical="center"/>
    </xf>
    <xf numFmtId="164" fontId="0" fillId="0" borderId="15" xfId="0" applyNumberFormat="1" applyBorder="1"/>
    <xf numFmtId="164" fontId="0" fillId="0" borderId="13" xfId="0" applyNumberFormat="1" applyBorder="1"/>
    <xf numFmtId="4" fontId="0" fillId="0" borderId="12" xfId="0" applyNumberFormat="1" applyBorder="1" applyAlignment="1">
      <alignment horizontal="right" vertical="center"/>
    </xf>
    <xf numFmtId="167" fontId="0" fillId="0" borderId="5" xfId="0" applyNumberFormat="1" applyBorder="1"/>
    <xf numFmtId="3" fontId="0" fillId="0" borderId="6" xfId="0" applyNumberFormat="1" applyBorder="1" applyAlignment="1">
      <alignment horizontal="right" vertical="center"/>
    </xf>
    <xf numFmtId="3" fontId="0" fillId="0" borderId="0" xfId="0" applyNumberFormat="1" applyAlignment="1">
      <alignment horizontal="right" vertical="center"/>
    </xf>
    <xf numFmtId="3" fontId="0" fillId="0" borderId="7" xfId="0" applyNumberFormat="1" applyBorder="1" applyAlignment="1">
      <alignment horizontal="right"/>
    </xf>
    <xf numFmtId="4" fontId="0" fillId="0" borderId="0" xfId="0" applyNumberFormat="1" applyAlignment="1">
      <alignment horizontal="right" vertical="center"/>
    </xf>
    <xf numFmtId="4" fontId="0" fillId="0" borderId="11" xfId="0" applyNumberFormat="1" applyBorder="1" applyAlignment="1">
      <alignment horizontal="right" vertical="center"/>
    </xf>
    <xf numFmtId="0" fontId="12" fillId="0" borderId="0" xfId="0" applyFont="1"/>
    <xf numFmtId="0" fontId="12" fillId="0" borderId="0" xfId="0" applyFont="1" applyAlignment="1">
      <alignment horizontal="center" vertical="center"/>
    </xf>
    <xf numFmtId="0" fontId="0" fillId="0" borderId="0" xfId="0" applyAlignment="1">
      <alignment horizontal="center" vertical="top"/>
    </xf>
    <xf numFmtId="171" fontId="0" fillId="0" borderId="0" xfId="0" applyNumberFormat="1" applyAlignment="1">
      <alignment vertical="top"/>
    </xf>
    <xf numFmtId="0" fontId="14" fillId="17" borderId="18" xfId="0" applyFont="1" applyFill="1" applyBorder="1" applyAlignment="1">
      <alignment horizontal="center" vertical="center" wrapText="1"/>
    </xf>
    <xf numFmtId="164" fontId="15" fillId="18" borderId="17" xfId="0" applyNumberFormat="1" applyFont="1" applyFill="1" applyBorder="1" applyAlignment="1">
      <alignment horizontal="center" vertical="center"/>
    </xf>
    <xf numFmtId="0" fontId="16" fillId="14" borderId="17" xfId="0" applyFont="1" applyFill="1" applyBorder="1" applyAlignment="1">
      <alignment horizontal="center" vertical="center"/>
    </xf>
    <xf numFmtId="0" fontId="13" fillId="16" borderId="17" xfId="0" applyFont="1" applyFill="1" applyBorder="1" applyAlignment="1">
      <alignment horizontal="center" vertical="center" wrapText="1"/>
    </xf>
    <xf numFmtId="0" fontId="0" fillId="0" borderId="0" xfId="0" applyAlignment="1">
      <alignment horizontal="center" vertical="top" wrapText="1"/>
    </xf>
    <xf numFmtId="0" fontId="12" fillId="0" borderId="0" xfId="0" applyFont="1" applyAlignment="1">
      <alignment vertical="top"/>
    </xf>
    <xf numFmtId="9" fontId="18" fillId="0" borderId="0" xfId="9" applyFont="1" applyAlignment="1">
      <alignment horizontal="left" vertical="center"/>
    </xf>
    <xf numFmtId="0" fontId="12" fillId="0" borderId="0" xfId="0" applyFont="1" applyAlignment="1">
      <alignment horizontal="center" vertical="top" wrapText="1"/>
    </xf>
    <xf numFmtId="164" fontId="21" fillId="21" borderId="21" xfId="0" applyNumberFormat="1" applyFont="1" applyFill="1" applyBorder="1" applyAlignment="1">
      <alignment horizontal="center" vertical="center"/>
    </xf>
    <xf numFmtId="0" fontId="13" fillId="16" borderId="21" xfId="0" applyFont="1" applyFill="1" applyBorder="1" applyAlignment="1">
      <alignment horizontal="center" vertical="center" wrapText="1"/>
    </xf>
    <xf numFmtId="173" fontId="10" fillId="19" borderId="21" xfId="0" applyNumberFormat="1" applyFont="1" applyFill="1" applyBorder="1" applyAlignment="1">
      <alignment horizontal="center" vertical="center"/>
    </xf>
    <xf numFmtId="0" fontId="12" fillId="0" borderId="0" xfId="0" applyFont="1" applyAlignment="1">
      <alignment vertical="center"/>
    </xf>
    <xf numFmtId="0" fontId="22" fillId="0" borderId="0" xfId="0" applyFont="1" applyAlignment="1">
      <alignment horizontal="center" vertical="top" wrapText="1"/>
    </xf>
    <xf numFmtId="0" fontId="12" fillId="0" borderId="19" xfId="0" applyFont="1" applyBorder="1"/>
    <xf numFmtId="0" fontId="0" fillId="0" borderId="19" xfId="0" applyBorder="1"/>
    <xf numFmtId="0" fontId="12" fillId="21" borderId="19" xfId="0" applyFont="1" applyFill="1" applyBorder="1" applyAlignment="1">
      <alignment horizontal="centerContinuous" vertical="center"/>
    </xf>
    <xf numFmtId="0" fontId="12" fillId="21" borderId="20" xfId="0" applyFont="1" applyFill="1" applyBorder="1" applyAlignment="1">
      <alignment horizontal="centerContinuous" vertical="center"/>
    </xf>
    <xf numFmtId="0" fontId="24" fillId="25" borderId="19" xfId="0" applyFont="1" applyFill="1" applyBorder="1" applyAlignment="1">
      <alignment horizontal="centerContinuous" vertical="center"/>
    </xf>
    <xf numFmtId="0" fontId="12" fillId="0" borderId="19" xfId="0" applyFont="1" applyBorder="1" applyAlignment="1">
      <alignment vertical="center"/>
    </xf>
    <xf numFmtId="0" fontId="12" fillId="0" borderId="17" xfId="0" applyFont="1" applyBorder="1" applyAlignment="1">
      <alignment vertical="center"/>
    </xf>
    <xf numFmtId="0" fontId="12" fillId="16" borderId="17" xfId="0" applyFont="1" applyFill="1" applyBorder="1" applyAlignment="1">
      <alignment horizontal="center" vertical="center"/>
    </xf>
    <xf numFmtId="176" fontId="21" fillId="26" borderId="17" xfId="0" applyNumberFormat="1" applyFont="1" applyFill="1" applyBorder="1" applyAlignment="1">
      <alignment horizontal="center" vertical="center"/>
    </xf>
    <xf numFmtId="0" fontId="12" fillId="0" borderId="0" xfId="0" applyFont="1" applyAlignment="1">
      <alignment horizontal="center" vertical="top"/>
    </xf>
    <xf numFmtId="0" fontId="12" fillId="16" borderId="17" xfId="0" applyFont="1" applyFill="1" applyBorder="1" applyAlignment="1">
      <alignment horizontal="center" vertical="top"/>
    </xf>
    <xf numFmtId="0" fontId="12" fillId="16" borderId="17" xfId="0" applyFont="1" applyFill="1" applyBorder="1" applyAlignment="1">
      <alignment horizontal="center" vertical="top" wrapText="1"/>
    </xf>
    <xf numFmtId="0" fontId="12" fillId="0" borderId="19" xfId="0" applyFont="1" applyBorder="1" applyAlignment="1">
      <alignment horizontal="center" vertical="top"/>
    </xf>
    <xf numFmtId="0" fontId="12" fillId="23" borderId="17" xfId="0" applyFont="1" applyFill="1" applyBorder="1" applyAlignment="1">
      <alignment horizontal="center" vertical="top" wrapText="1"/>
    </xf>
    <xf numFmtId="0" fontId="14" fillId="16" borderId="17" xfId="0" applyFont="1" applyFill="1" applyBorder="1" applyAlignment="1">
      <alignment horizontal="center" vertical="top" wrapText="1"/>
    </xf>
    <xf numFmtId="0" fontId="12" fillId="0" borderId="17" xfId="0" applyFont="1" applyBorder="1" applyAlignment="1">
      <alignment vertical="top"/>
    </xf>
    <xf numFmtId="0" fontId="12" fillId="16" borderId="17" xfId="0" applyFont="1" applyFill="1" applyBorder="1" applyAlignment="1">
      <alignment vertical="top"/>
    </xf>
    <xf numFmtId="0" fontId="12" fillId="0" borderId="19" xfId="0" applyFont="1" applyBorder="1" applyAlignment="1">
      <alignment vertical="top"/>
    </xf>
    <xf numFmtId="175" fontId="21" fillId="26" borderId="17" xfId="0" applyNumberFormat="1" applyFont="1" applyFill="1" applyBorder="1" applyAlignment="1">
      <alignment horizontal="center" vertical="top"/>
    </xf>
    <xf numFmtId="9" fontId="27" fillId="17" borderId="17" xfId="0" quotePrefix="1" applyNumberFormat="1" applyFont="1" applyFill="1" applyBorder="1" applyAlignment="1">
      <alignment horizontal="center" vertical="center"/>
    </xf>
    <xf numFmtId="0" fontId="12" fillId="16" borderId="19" xfId="0" applyFont="1" applyFill="1" applyBorder="1" applyAlignment="1">
      <alignment horizontal="left" vertical="center" indent="1"/>
    </xf>
    <xf numFmtId="9" fontId="27" fillId="17" borderId="27" xfId="0" quotePrefix="1" applyNumberFormat="1" applyFont="1" applyFill="1" applyBorder="1" applyAlignment="1">
      <alignment horizontal="center" vertical="center"/>
    </xf>
    <xf numFmtId="0" fontId="12" fillId="0" borderId="0" xfId="0" applyFont="1" applyAlignment="1">
      <alignment horizontal="left" vertical="center" indent="1"/>
    </xf>
    <xf numFmtId="0" fontId="2" fillId="9" borderId="21" xfId="8" applyBorder="1" applyAlignment="1">
      <alignment vertical="top"/>
    </xf>
    <xf numFmtId="0" fontId="2" fillId="9" borderId="28" xfId="8" applyBorder="1" applyAlignment="1">
      <alignment horizontal="left" vertical="center" indent="1"/>
    </xf>
    <xf numFmtId="0" fontId="2" fillId="9" borderId="29" xfId="8" applyBorder="1" applyAlignment="1">
      <alignment horizontal="left" vertical="center" indent="1"/>
    </xf>
    <xf numFmtId="0" fontId="12" fillId="16" borderId="19" xfId="0" applyFont="1" applyFill="1" applyBorder="1" applyAlignment="1">
      <alignment horizontal="center" vertical="center"/>
    </xf>
    <xf numFmtId="0" fontId="12" fillId="0" borderId="21" xfId="0" applyFont="1" applyBorder="1" applyAlignment="1">
      <alignment vertical="center"/>
    </xf>
    <xf numFmtId="0" fontId="12" fillId="0" borderId="30" xfId="0" applyFont="1" applyBorder="1" applyAlignment="1">
      <alignment vertical="center"/>
    </xf>
    <xf numFmtId="0" fontId="2" fillId="9" borderId="17" xfId="8" applyBorder="1" applyAlignment="1">
      <alignment horizontal="center" vertical="top" wrapText="1"/>
    </xf>
    <xf numFmtId="0" fontId="0" fillId="9" borderId="6" xfId="8" applyFont="1" applyBorder="1" applyAlignment="1">
      <alignment horizontal="left" vertical="center" indent="1"/>
    </xf>
    <xf numFmtId="0" fontId="0" fillId="0" borderId="0" xfId="0" quotePrefix="1"/>
    <xf numFmtId="166" fontId="2" fillId="4" borderId="16" xfId="3" applyNumberFormat="1" applyBorder="1" applyAlignment="1">
      <alignment horizontal="center" vertical="center"/>
    </xf>
    <xf numFmtId="0" fontId="2" fillId="9" borderId="17" xfId="8" applyBorder="1" applyAlignment="1">
      <alignment horizontal="center" vertical="center" wrapText="1"/>
    </xf>
    <xf numFmtId="0" fontId="14" fillId="16" borderId="17" xfId="0" applyFont="1" applyFill="1" applyBorder="1" applyAlignment="1">
      <alignment horizontal="center" vertical="center" wrapText="1"/>
    </xf>
    <xf numFmtId="175" fontId="26" fillId="26" borderId="21" xfId="0" applyNumberFormat="1" applyFont="1" applyFill="1" applyBorder="1" applyAlignment="1">
      <alignment horizontal="center" vertical="top"/>
    </xf>
    <xf numFmtId="175" fontId="21" fillId="26" borderId="21" xfId="0" applyNumberFormat="1" applyFont="1" applyFill="1" applyBorder="1" applyAlignment="1">
      <alignment horizontal="center" vertical="top"/>
    </xf>
    <xf numFmtId="172" fontId="2" fillId="32" borderId="1" xfId="10" applyNumberFormat="1" applyBorder="1" applyAlignment="1">
      <alignment horizontal="center" vertical="center"/>
    </xf>
    <xf numFmtId="174" fontId="2" fillId="32" borderId="17" xfId="10" applyNumberFormat="1" applyBorder="1" applyAlignment="1">
      <alignment horizontal="center" vertical="center"/>
    </xf>
    <xf numFmtId="174" fontId="2" fillId="5" borderId="17" xfId="4" applyNumberFormat="1" applyBorder="1" applyAlignment="1">
      <alignment horizontal="center" vertical="center"/>
    </xf>
    <xf numFmtId="174" fontId="2" fillId="4" borderId="17" xfId="3" applyNumberFormat="1" applyBorder="1" applyAlignment="1">
      <alignment horizontal="center" vertical="top"/>
    </xf>
    <xf numFmtId="0" fontId="2" fillId="4" borderId="17" xfId="3" applyBorder="1" applyAlignment="1">
      <alignment horizontal="center" vertical="top" wrapText="1"/>
    </xf>
    <xf numFmtId="173" fontId="2" fillId="5" borderId="1" xfId="4" applyNumberFormat="1" applyBorder="1" applyAlignment="1">
      <alignment horizontal="center" vertical="center"/>
    </xf>
    <xf numFmtId="0" fontId="2" fillId="9" borderId="31" xfId="8" applyBorder="1" applyAlignment="1">
      <alignment horizontal="left" vertical="center" indent="1"/>
    </xf>
    <xf numFmtId="0" fontId="19" fillId="28" borderId="30" xfId="0" applyFont="1" applyFill="1" applyBorder="1" applyAlignment="1">
      <alignment horizontal="center" vertical="center" wrapText="1"/>
    </xf>
    <xf numFmtId="0" fontId="19" fillId="20" borderId="30" xfId="0" applyFont="1" applyFill="1" applyBorder="1" applyAlignment="1">
      <alignment horizontal="center" vertical="center" wrapText="1"/>
    </xf>
    <xf numFmtId="0" fontId="19" fillId="22" borderId="21" xfId="0" applyFont="1" applyFill="1" applyBorder="1" applyAlignment="1">
      <alignment horizontal="center" vertical="center" wrapText="1"/>
    </xf>
    <xf numFmtId="0" fontId="19" fillId="23" borderId="21" xfId="0" applyFont="1" applyFill="1" applyBorder="1" applyAlignment="1">
      <alignment horizontal="center" vertical="center" wrapText="1"/>
    </xf>
    <xf numFmtId="0" fontId="19" fillId="24" borderId="21" xfId="0" applyFont="1" applyFill="1" applyBorder="1" applyAlignment="1">
      <alignment horizontal="center" vertical="center" wrapText="1"/>
    </xf>
    <xf numFmtId="0" fontId="30" fillId="0" borderId="0" xfId="0" applyFont="1"/>
    <xf numFmtId="0" fontId="21" fillId="19" borderId="18" xfId="0" applyFont="1" applyFill="1" applyBorder="1" applyAlignment="1">
      <alignment horizontal="centerContinuous" vertical="center"/>
    </xf>
    <xf numFmtId="0" fontId="21" fillId="19" borderId="20" xfId="0" applyFont="1" applyFill="1" applyBorder="1" applyAlignment="1">
      <alignment horizontal="centerContinuous"/>
    </xf>
    <xf numFmtId="0" fontId="10" fillId="16" borderId="23" xfId="0" applyFont="1" applyFill="1" applyBorder="1" applyAlignment="1">
      <alignment horizontal="centerContinuous" vertical="center"/>
    </xf>
    <xf numFmtId="0" fontId="10" fillId="16" borderId="24" xfId="0" applyFont="1" applyFill="1" applyBorder="1" applyAlignment="1">
      <alignment horizontal="centerContinuous" vertical="center"/>
    </xf>
    <xf numFmtId="9" fontId="27" fillId="17" borderId="18" xfId="0" quotePrefix="1" applyNumberFormat="1" applyFont="1" applyFill="1" applyBorder="1" applyAlignment="1">
      <alignment horizontal="center" vertical="center"/>
    </xf>
    <xf numFmtId="9" fontId="27" fillId="17" borderId="20" xfId="0" quotePrefix="1" applyNumberFormat="1" applyFont="1" applyFill="1" applyBorder="1" applyAlignment="1">
      <alignment horizontal="center" vertical="center"/>
    </xf>
    <xf numFmtId="0" fontId="2" fillId="4" borderId="17" xfId="3" applyBorder="1" applyAlignment="1">
      <alignment horizontal="center" vertical="center" wrapText="1"/>
    </xf>
    <xf numFmtId="0" fontId="2" fillId="4" borderId="17" xfId="3" applyBorder="1" applyAlignment="1">
      <alignment horizontal="center" vertical="center"/>
    </xf>
    <xf numFmtId="0" fontId="2" fillId="4" borderId="17" xfId="3" applyBorder="1" applyAlignment="1">
      <alignment horizontal="center" vertical="top"/>
    </xf>
    <xf numFmtId="165" fontId="2" fillId="4" borderId="16" xfId="3" applyNumberFormat="1" applyBorder="1" applyAlignment="1">
      <alignment horizontal="center" vertical="center"/>
    </xf>
    <xf numFmtId="0" fontId="12" fillId="17" borderId="18" xfId="0" applyFont="1" applyFill="1" applyBorder="1" applyAlignment="1">
      <alignment horizontal="center" vertical="center"/>
    </xf>
    <xf numFmtId="0" fontId="12" fillId="17" borderId="19" xfId="0" applyFont="1" applyFill="1" applyBorder="1" applyAlignment="1">
      <alignment horizontal="center" vertical="center"/>
    </xf>
    <xf numFmtId="9" fontId="2" fillId="29" borderId="17" xfId="19" applyNumberFormat="1" applyBorder="1" applyAlignment="1">
      <alignment horizontal="center" vertical="top"/>
    </xf>
    <xf numFmtId="0" fontId="12" fillId="17" borderId="19" xfId="0" applyFont="1" applyFill="1" applyBorder="1" applyAlignment="1">
      <alignment horizontal="centerContinuous" vertical="center"/>
    </xf>
    <xf numFmtId="0" fontId="23" fillId="17" borderId="20" xfId="0" applyFont="1" applyFill="1" applyBorder="1" applyAlignment="1">
      <alignment horizontal="centerContinuous" vertical="center"/>
    </xf>
    <xf numFmtId="0" fontId="2" fillId="4" borderId="27" xfId="3" applyBorder="1" applyAlignment="1">
      <alignment horizontal="center" vertical="center" wrapText="1"/>
    </xf>
    <xf numFmtId="0" fontId="32" fillId="17" borderId="1" xfId="0" applyFont="1" applyFill="1" applyBorder="1" applyAlignment="1">
      <alignment horizontal="centerContinuous" vertical="center"/>
    </xf>
    <xf numFmtId="0" fontId="12" fillId="17" borderId="1" xfId="0" applyFont="1" applyFill="1" applyBorder="1" applyAlignment="1">
      <alignment horizontal="centerContinuous" vertical="center"/>
    </xf>
    <xf numFmtId="0" fontId="23" fillId="17" borderId="1" xfId="0" applyFont="1" applyFill="1" applyBorder="1" applyAlignment="1">
      <alignment horizontal="centerContinuous" vertical="center"/>
    </xf>
    <xf numFmtId="0" fontId="23" fillId="17" borderId="18" xfId="0" applyFont="1" applyFill="1" applyBorder="1" applyAlignment="1">
      <alignment horizontal="centerContinuous" vertical="center" wrapText="1"/>
    </xf>
    <xf numFmtId="0" fontId="2" fillId="4" borderId="21" xfId="3" applyBorder="1" applyAlignment="1">
      <alignment horizontal="center" vertical="center" wrapText="1"/>
    </xf>
    <xf numFmtId="0" fontId="12" fillId="16" borderId="27" xfId="0" applyFont="1" applyFill="1" applyBorder="1" applyAlignment="1">
      <alignment vertical="top"/>
    </xf>
    <xf numFmtId="0" fontId="2" fillId="4" borderId="1" xfId="3" applyBorder="1" applyAlignment="1">
      <alignment horizontal="center" vertical="top"/>
    </xf>
    <xf numFmtId="0" fontId="2" fillId="29" borderId="1" xfId="19" applyBorder="1" applyAlignment="1">
      <alignment vertical="top"/>
    </xf>
    <xf numFmtId="0" fontId="2" fillId="29" borderId="0" xfId="19" applyAlignment="1">
      <alignment horizontal="center" vertical="top"/>
    </xf>
    <xf numFmtId="175" fontId="21" fillId="26" borderId="27" xfId="0" applyNumberFormat="1" applyFont="1" applyFill="1" applyBorder="1" applyAlignment="1">
      <alignment horizontal="center" vertical="center"/>
    </xf>
    <xf numFmtId="0" fontId="23" fillId="21" borderId="2" xfId="0" applyFont="1" applyFill="1" applyBorder="1" applyAlignment="1">
      <alignment horizontal="centerContinuous" vertical="center"/>
    </xf>
    <xf numFmtId="0" fontId="12" fillId="21" borderId="2" xfId="0" applyFont="1" applyFill="1" applyBorder="1" applyAlignment="1">
      <alignment horizontal="centerContinuous"/>
    </xf>
    <xf numFmtId="0" fontId="12" fillId="21" borderId="4" xfId="0" applyFont="1" applyFill="1" applyBorder="1" applyAlignment="1">
      <alignment horizontal="centerContinuous"/>
    </xf>
    <xf numFmtId="0" fontId="23" fillId="21" borderId="5" xfId="0" applyFont="1" applyFill="1" applyBorder="1" applyAlignment="1">
      <alignment horizontal="centerContinuous" vertical="center"/>
    </xf>
    <xf numFmtId="0" fontId="2" fillId="29" borderId="0" xfId="19" applyAlignment="1">
      <alignment horizontal="center" vertical="center"/>
    </xf>
    <xf numFmtId="0" fontId="2" fillId="29" borderId="0" xfId="19" applyAlignment="1">
      <alignment vertical="top"/>
    </xf>
    <xf numFmtId="0" fontId="2" fillId="4" borderId="25" xfId="3" applyBorder="1" applyAlignment="1">
      <alignment horizontal="centerContinuous" vertical="center"/>
    </xf>
    <xf numFmtId="176" fontId="2" fillId="4" borderId="17" xfId="3" applyNumberFormat="1" applyBorder="1" applyAlignment="1">
      <alignment horizontal="center" vertical="center"/>
    </xf>
    <xf numFmtId="0" fontId="23" fillId="4" borderId="26" xfId="3" applyFont="1" applyBorder="1" applyAlignment="1">
      <alignment horizontal="centerContinuous" vertical="center"/>
    </xf>
    <xf numFmtId="0" fontId="23" fillId="21" borderId="18" xfId="0" applyFont="1" applyFill="1" applyBorder="1" applyAlignment="1">
      <alignment horizontal="centerContinuous" vertical="center"/>
    </xf>
    <xf numFmtId="0" fontId="12" fillId="12" borderId="23" xfId="0" applyFont="1" applyFill="1" applyBorder="1" applyAlignment="1">
      <alignment horizontal="centerContinuous" vertical="center"/>
    </xf>
    <xf numFmtId="0" fontId="25" fillId="17" borderId="1" xfId="0" applyFont="1" applyFill="1" applyBorder="1" applyAlignment="1">
      <alignment horizontal="center" vertical="center" wrapText="1"/>
    </xf>
    <xf numFmtId="0" fontId="0" fillId="0" borderId="1" xfId="0" applyBorder="1" applyAlignment="1">
      <alignment horizontal="center" vertical="center"/>
    </xf>
    <xf numFmtId="175" fontId="21" fillId="26" borderId="18" xfId="0" applyNumberFormat="1" applyFont="1" applyFill="1" applyBorder="1" applyAlignment="1">
      <alignment horizontal="center" vertical="top"/>
    </xf>
    <xf numFmtId="0" fontId="2" fillId="9" borderId="21" xfId="8" applyBorder="1" applyAlignment="1">
      <alignment horizontal="center" vertical="center" wrapText="1"/>
    </xf>
    <xf numFmtId="166" fontId="2" fillId="4" borderId="33" xfId="3" applyNumberFormat="1" applyBorder="1" applyAlignment="1">
      <alignment horizontal="center" vertical="center"/>
    </xf>
    <xf numFmtId="175" fontId="2" fillId="15" borderId="1" xfId="18" applyNumberFormat="1" applyBorder="1" applyAlignment="1">
      <alignment horizontal="center" vertical="top"/>
    </xf>
    <xf numFmtId="0" fontId="2" fillId="4" borderId="21" xfId="3" applyBorder="1" applyAlignment="1">
      <alignment horizontal="center" vertical="top"/>
    </xf>
    <xf numFmtId="166" fontId="12" fillId="15" borderId="1" xfId="18" applyNumberFormat="1" applyFont="1" applyBorder="1" applyAlignment="1">
      <alignment horizontal="center" vertical="center"/>
    </xf>
    <xf numFmtId="3" fontId="2" fillId="32" borderId="1" xfId="10" applyNumberFormat="1" applyBorder="1" applyAlignment="1">
      <alignment horizontal="center" vertical="center"/>
    </xf>
    <xf numFmtId="164" fontId="13" fillId="15" borderId="1" xfId="18" applyNumberFormat="1" applyFont="1" applyBorder="1" applyAlignment="1">
      <alignment horizontal="center" vertical="center"/>
    </xf>
    <xf numFmtId="165" fontId="13" fillId="15" borderId="1" xfId="18" applyNumberFormat="1" applyFont="1" applyBorder="1" applyAlignment="1">
      <alignment horizontal="center" vertical="center"/>
    </xf>
    <xf numFmtId="175" fontId="2" fillId="4" borderId="23" xfId="3" applyNumberFormat="1" applyBorder="1" applyAlignment="1">
      <alignment horizontal="center" vertical="top"/>
    </xf>
    <xf numFmtId="175" fontId="2" fillId="4" borderId="24" xfId="3" applyNumberFormat="1" applyBorder="1" applyAlignment="1">
      <alignment horizontal="center" vertical="top"/>
    </xf>
    <xf numFmtId="177" fontId="20" fillId="15" borderId="1" xfId="18" applyNumberFormat="1" applyFont="1" applyBorder="1" applyAlignment="1">
      <alignment horizontal="center" vertical="center"/>
    </xf>
    <xf numFmtId="172" fontId="2" fillId="29" borderId="18" xfId="19" applyNumberFormat="1" applyBorder="1" applyAlignment="1">
      <alignment horizontal="center" vertical="center"/>
    </xf>
    <xf numFmtId="0" fontId="12" fillId="16" borderId="30" xfId="0" applyFont="1" applyFill="1" applyBorder="1" applyAlignment="1">
      <alignment vertical="top"/>
    </xf>
    <xf numFmtId="164" fontId="2" fillId="15" borderId="1" xfId="18" applyNumberFormat="1" applyBorder="1" applyAlignment="1">
      <alignment horizontal="center" vertical="center"/>
    </xf>
    <xf numFmtId="2" fontId="2" fillId="15" borderId="1" xfId="18" applyNumberFormat="1" applyBorder="1" applyAlignment="1">
      <alignment horizontal="center" vertical="center"/>
    </xf>
    <xf numFmtId="0" fontId="0" fillId="15" borderId="16" xfId="18" applyFont="1" applyAlignment="1"/>
    <xf numFmtId="0" fontId="0" fillId="15" borderId="16" xfId="18" applyFont="1"/>
    <xf numFmtId="165" fontId="2" fillId="9" borderId="0" xfId="8" applyNumberFormat="1" applyBorder="1"/>
    <xf numFmtId="178" fontId="2" fillId="9" borderId="0" xfId="8" applyNumberFormat="1"/>
    <xf numFmtId="165" fontId="2" fillId="9" borderId="0" xfId="8" applyNumberFormat="1"/>
    <xf numFmtId="0" fontId="2" fillId="6" borderId="16" xfId="5" applyBorder="1"/>
    <xf numFmtId="0" fontId="2" fillId="15" borderId="16" xfId="18"/>
    <xf numFmtId="9" fontId="2" fillId="9" borderId="0" xfId="8" applyNumberFormat="1"/>
    <xf numFmtId="0" fontId="2" fillId="15" borderId="16" xfId="18" applyAlignment="1">
      <alignment horizontal="left" vertical="center" indent="1"/>
    </xf>
    <xf numFmtId="0" fontId="0" fillId="15" borderId="16" xfId="18" applyFont="1" applyAlignment="1">
      <alignment horizontal="left" vertical="center" indent="1"/>
    </xf>
    <xf numFmtId="0" fontId="2" fillId="32" borderId="16" xfId="10" applyBorder="1" applyAlignment="1">
      <alignment horizontal="center" vertical="center" wrapText="1"/>
    </xf>
    <xf numFmtId="0" fontId="2" fillId="32" borderId="16" xfId="10" applyBorder="1" applyAlignment="1">
      <alignment wrapText="1"/>
    </xf>
    <xf numFmtId="0" fontId="2" fillId="30" borderId="0" xfId="20"/>
    <xf numFmtId="0" fontId="2" fillId="32" borderId="0" xfId="10" applyAlignment="1">
      <alignment wrapText="1"/>
    </xf>
    <xf numFmtId="178" fontId="2" fillId="30" borderId="0" xfId="20" applyNumberFormat="1"/>
    <xf numFmtId="165" fontId="2" fillId="30" borderId="0" xfId="20" applyNumberFormat="1"/>
    <xf numFmtId="9" fontId="2" fillId="30" borderId="0" xfId="9" applyFill="1"/>
    <xf numFmtId="0" fontId="34" fillId="0" borderId="0" xfId="0" applyFont="1"/>
    <xf numFmtId="165" fontId="2" fillId="9" borderId="0" xfId="8" applyNumberFormat="1" applyAlignment="1">
      <alignment horizontal="right" vertical="center"/>
    </xf>
    <xf numFmtId="0" fontId="0" fillId="0" borderId="0" xfId="0" applyAlignment="1">
      <alignment vertical="top"/>
    </xf>
    <xf numFmtId="0" fontId="35" fillId="0" borderId="0" xfId="0" applyFont="1"/>
    <xf numFmtId="11" fontId="0" fillId="0" borderId="0" xfId="0" applyNumberFormat="1"/>
    <xf numFmtId="0" fontId="36" fillId="0" borderId="0" xfId="0" applyFont="1"/>
    <xf numFmtId="0" fontId="2" fillId="9" borderId="34" xfId="8" applyBorder="1" applyAlignment="1">
      <alignment horizontal="left" vertical="center" indent="1"/>
    </xf>
    <xf numFmtId="178" fontId="0" fillId="0" borderId="0" xfId="0" applyNumberFormat="1"/>
    <xf numFmtId="0" fontId="37" fillId="0" borderId="0" xfId="0" applyFont="1" applyAlignment="1">
      <alignment horizontal="center" vertical="center"/>
    </xf>
    <xf numFmtId="0" fontId="2" fillId="6" borderId="1" xfId="5" applyBorder="1"/>
    <xf numFmtId="0" fontId="2" fillId="4" borderId="1" xfId="3" applyBorder="1"/>
    <xf numFmtId="2" fontId="2" fillId="29" borderId="1" xfId="19" applyNumberFormat="1" applyBorder="1"/>
    <xf numFmtId="0" fontId="2" fillId="29" borderId="1" xfId="19" applyBorder="1"/>
    <xf numFmtId="4" fontId="2" fillId="29" borderId="1" xfId="19" applyNumberFormat="1" applyBorder="1"/>
    <xf numFmtId="9" fontId="2" fillId="29" borderId="1" xfId="19" quotePrefix="1" applyNumberFormat="1" applyBorder="1" applyAlignment="1">
      <alignment horizontal="center" vertical="center"/>
    </xf>
    <xf numFmtId="9" fontId="2" fillId="29" borderId="1" xfId="19" applyNumberFormat="1" applyBorder="1" applyAlignment="1">
      <alignment horizontal="center" vertical="center"/>
    </xf>
    <xf numFmtId="165" fontId="2" fillId="4" borderId="16" xfId="9" applyNumberFormat="1" applyFill="1" applyBorder="1" applyAlignment="1">
      <alignment horizontal="center" vertical="center"/>
    </xf>
    <xf numFmtId="0" fontId="2" fillId="4" borderId="18" xfId="3" applyBorder="1" applyAlignment="1">
      <alignment horizontal="center" vertical="top" wrapText="1"/>
    </xf>
    <xf numFmtId="0" fontId="2" fillId="4" borderId="22" xfId="3" applyBorder="1" applyAlignment="1">
      <alignment horizontal="center" vertical="top"/>
    </xf>
    <xf numFmtId="0" fontId="2" fillId="4" borderId="1" xfId="3" applyBorder="1" applyAlignment="1">
      <alignment horizontal="center" vertical="top" wrapText="1"/>
    </xf>
    <xf numFmtId="164" fontId="2" fillId="29" borderId="1" xfId="19" applyNumberFormat="1" applyBorder="1"/>
    <xf numFmtId="164" fontId="2" fillId="6" borderId="1" xfId="5" applyNumberFormat="1" applyBorder="1"/>
    <xf numFmtId="0" fontId="2" fillId="29" borderId="5" xfId="19" applyBorder="1"/>
    <xf numFmtId="0" fontId="2" fillId="9" borderId="1" xfId="8" applyBorder="1" applyAlignment="1">
      <alignment horizontal="center"/>
    </xf>
    <xf numFmtId="0" fontId="2" fillId="6" borderId="4" xfId="5" applyBorder="1"/>
    <xf numFmtId="164" fontId="2" fillId="2" borderId="1" xfId="1" applyNumberFormat="1" applyBorder="1" applyAlignment="1">
      <alignment horizontal="center" vertical="center"/>
    </xf>
    <xf numFmtId="165" fontId="2" fillId="2" borderId="1" xfId="1" applyNumberFormat="1" applyBorder="1" applyAlignment="1">
      <alignment horizontal="center" vertical="center"/>
    </xf>
    <xf numFmtId="165" fontId="12" fillId="15" borderId="1" xfId="9" applyNumberFormat="1" applyFont="1" applyFill="1" applyBorder="1" applyAlignment="1">
      <alignment horizontal="center" vertical="center"/>
    </xf>
    <xf numFmtId="0" fontId="38" fillId="16" borderId="27" xfId="0" applyFont="1" applyFill="1" applyBorder="1" applyAlignment="1">
      <alignment horizontal="centerContinuous" vertical="center" wrapText="1"/>
    </xf>
    <xf numFmtId="0" fontId="2" fillId="4" borderId="27" xfId="3" applyBorder="1" applyAlignment="1">
      <alignment horizontal="center" vertical="center"/>
    </xf>
    <xf numFmtId="0" fontId="2" fillId="4" borderId="35" xfId="3" applyBorder="1" applyAlignment="1">
      <alignment horizontal="center" vertical="center"/>
    </xf>
    <xf numFmtId="0" fontId="2" fillId="4" borderId="12" xfId="3" applyBorder="1" applyAlignment="1">
      <alignment horizontal="center" vertical="center"/>
    </xf>
    <xf numFmtId="0" fontId="23" fillId="4" borderId="5" xfId="3" applyFont="1" applyBorder="1" applyAlignment="1">
      <alignment horizontal="centerContinuous" vertical="center"/>
    </xf>
    <xf numFmtId="0" fontId="2" fillId="4" borderId="2" xfId="3" applyBorder="1" applyAlignment="1">
      <alignment horizontal="centerContinuous" vertical="center"/>
    </xf>
    <xf numFmtId="0" fontId="2" fillId="4" borderId="2" xfId="3" applyBorder="1" applyAlignment="1">
      <alignment horizontal="centerContinuous"/>
    </xf>
    <xf numFmtId="0" fontId="2" fillId="4" borderId="4" xfId="3" applyBorder="1" applyAlignment="1">
      <alignment horizontal="centerContinuous"/>
    </xf>
    <xf numFmtId="0" fontId="2" fillId="29" borderId="0" xfId="19" applyAlignment="1">
      <alignment horizontal="center"/>
    </xf>
    <xf numFmtId="0" fontId="2" fillId="9" borderId="1" xfId="8" applyBorder="1" applyAlignment="1">
      <alignment horizontal="right"/>
    </xf>
    <xf numFmtId="0" fontId="2" fillId="32" borderId="30" xfId="10" applyBorder="1" applyAlignment="1">
      <alignment horizontal="center" vertical="center" wrapText="1"/>
    </xf>
    <xf numFmtId="0" fontId="2" fillId="9" borderId="0" xfId="8" applyAlignment="1">
      <alignment horizontal="right"/>
    </xf>
    <xf numFmtId="9" fontId="2" fillId="2" borderId="1" xfId="1" quotePrefix="1" applyNumberFormat="1" applyBorder="1" applyAlignment="1">
      <alignment horizontal="center" vertical="center"/>
    </xf>
    <xf numFmtId="9" fontId="2" fillId="2" borderId="1" xfId="1" applyNumberFormat="1" applyBorder="1" applyAlignment="1">
      <alignment horizontal="center" vertical="center"/>
    </xf>
    <xf numFmtId="2" fontId="2" fillId="2" borderId="1" xfId="1" applyNumberFormat="1" applyBorder="1" applyAlignment="1">
      <alignment horizontal="center" vertical="center"/>
    </xf>
    <xf numFmtId="0" fontId="2" fillId="9" borderId="4" xfId="8" applyBorder="1" applyAlignment="1">
      <alignment horizontal="left" vertical="center" indent="1"/>
    </xf>
    <xf numFmtId="0" fontId="2" fillId="9" borderId="8" xfId="8" applyBorder="1" applyAlignment="1">
      <alignment horizontal="left" vertical="center" indent="1"/>
    </xf>
    <xf numFmtId="0" fontId="2" fillId="9" borderId="38" xfId="8" applyBorder="1" applyAlignment="1">
      <alignment horizontal="left" vertical="center" indent="1"/>
    </xf>
    <xf numFmtId="0" fontId="2" fillId="9" borderId="39" xfId="8" applyBorder="1" applyAlignment="1">
      <alignment horizontal="left" vertical="center" indent="1"/>
    </xf>
    <xf numFmtId="0" fontId="2" fillId="9" borderId="14" xfId="8" applyBorder="1" applyAlignment="1">
      <alignment horizontal="left" vertical="center" indent="1"/>
    </xf>
    <xf numFmtId="0" fontId="12" fillId="16" borderId="36" xfId="0" applyFont="1" applyFill="1" applyBorder="1" applyAlignment="1">
      <alignment horizontal="center" vertical="center"/>
    </xf>
    <xf numFmtId="0" fontId="0" fillId="17" borderId="1" xfId="0" applyFill="1" applyBorder="1" applyAlignment="1">
      <alignment horizontal="center" vertical="top" wrapText="1"/>
    </xf>
    <xf numFmtId="0" fontId="2" fillId="4" borderId="1" xfId="3" applyBorder="1" applyAlignment="1">
      <alignment horizontal="center" vertical="center"/>
    </xf>
    <xf numFmtId="0" fontId="2" fillId="6" borderId="1" xfId="5" applyBorder="1" applyAlignment="1">
      <alignment wrapText="1"/>
    </xf>
    <xf numFmtId="11" fontId="0" fillId="0" borderId="1" xfId="0" applyNumberFormat="1" applyBorder="1"/>
    <xf numFmtId="0" fontId="2" fillId="29" borderId="1" xfId="19" applyBorder="1" applyAlignment="1">
      <alignment wrapText="1"/>
    </xf>
    <xf numFmtId="0" fontId="2" fillId="4" borderId="1" xfId="3" applyBorder="1" applyAlignment="1">
      <alignment wrapText="1"/>
    </xf>
    <xf numFmtId="0" fontId="12" fillId="0" borderId="18" xfId="0" applyFont="1" applyBorder="1" applyAlignment="1">
      <alignment vertical="center"/>
    </xf>
    <xf numFmtId="0" fontId="12" fillId="0" borderId="22" xfId="0" applyFont="1" applyBorder="1" applyAlignment="1">
      <alignment vertical="center"/>
    </xf>
    <xf numFmtId="0" fontId="12" fillId="0" borderId="5" xfId="0" applyFont="1" applyBorder="1" applyAlignment="1">
      <alignment vertical="center"/>
    </xf>
    <xf numFmtId="0" fontId="0" fillId="9" borderId="39" xfId="8" applyFont="1" applyBorder="1" applyAlignment="1">
      <alignment horizontal="left" vertical="center" indent="1"/>
    </xf>
    <xf numFmtId="0" fontId="12" fillId="16" borderId="22" xfId="0" applyFont="1" applyFill="1" applyBorder="1" applyAlignment="1">
      <alignment horizontal="center" vertical="center"/>
    </xf>
    <xf numFmtId="11" fontId="12" fillId="16" borderId="43" xfId="0" applyNumberFormat="1" applyFont="1" applyFill="1" applyBorder="1" applyAlignment="1">
      <alignment horizontal="center" vertical="center"/>
    </xf>
    <xf numFmtId="0" fontId="12" fillId="16" borderId="1" xfId="0" applyFont="1" applyFill="1" applyBorder="1" applyAlignment="1">
      <alignment horizontal="center" vertical="center"/>
    </xf>
    <xf numFmtId="0" fontId="2" fillId="2" borderId="1" xfId="1" applyBorder="1" applyAlignment="1">
      <alignment wrapText="1"/>
    </xf>
    <xf numFmtId="0" fontId="2" fillId="31" borderId="1" xfId="21" applyBorder="1" applyAlignment="1">
      <alignment wrapText="1"/>
    </xf>
    <xf numFmtId="0" fontId="2" fillId="32" borderId="1" xfId="10" applyBorder="1" applyAlignment="1">
      <alignment wrapText="1"/>
    </xf>
    <xf numFmtId="0" fontId="2" fillId="4" borderId="37" xfId="3" applyBorder="1" applyAlignment="1">
      <alignment horizontal="center" vertical="center"/>
    </xf>
    <xf numFmtId="0" fontId="2" fillId="4" borderId="20" xfId="3" applyBorder="1" applyAlignment="1">
      <alignment horizontal="center" vertical="top" wrapText="1"/>
    </xf>
    <xf numFmtId="0" fontId="2" fillId="4" borderId="24" xfId="3" applyBorder="1" applyAlignment="1">
      <alignment horizontal="center" vertical="top"/>
    </xf>
    <xf numFmtId="0" fontId="31" fillId="15" borderId="32" xfId="18" applyFont="1" applyBorder="1" applyAlignment="1">
      <alignment horizontal="center" vertical="center"/>
    </xf>
    <xf numFmtId="0" fontId="12" fillId="17" borderId="5" xfId="0" applyFont="1" applyFill="1" applyBorder="1" applyAlignment="1">
      <alignment horizontal="center" vertical="center"/>
    </xf>
    <xf numFmtId="0" fontId="12" fillId="17" borderId="4" xfId="0" applyFont="1" applyFill="1" applyBorder="1" applyAlignment="1">
      <alignment horizontal="center" vertical="center"/>
    </xf>
    <xf numFmtId="0" fontId="23" fillId="17" borderId="2" xfId="0" applyFont="1" applyFill="1" applyBorder="1" applyAlignment="1">
      <alignment horizontal="center" vertical="center"/>
    </xf>
    <xf numFmtId="0" fontId="12" fillId="17" borderId="2" xfId="0" applyFont="1" applyFill="1" applyBorder="1" applyAlignment="1">
      <alignment horizontal="center" vertical="center"/>
    </xf>
    <xf numFmtId="0" fontId="2" fillId="4" borderId="18" xfId="3" applyBorder="1" applyAlignment="1">
      <alignment horizontal="center" vertical="top"/>
    </xf>
    <xf numFmtId="0" fontId="12" fillId="16" borderId="18" xfId="0" applyFont="1" applyFill="1" applyBorder="1" applyAlignment="1">
      <alignment vertical="top"/>
    </xf>
    <xf numFmtId="0" fontId="12" fillId="16" borderId="1" xfId="0" applyFont="1" applyFill="1" applyBorder="1" applyAlignment="1">
      <alignment vertical="top"/>
    </xf>
    <xf numFmtId="0" fontId="12" fillId="16" borderId="1" xfId="0" applyFont="1" applyFill="1" applyBorder="1" applyAlignment="1">
      <alignment horizontal="left" vertical="center" indent="1"/>
    </xf>
    <xf numFmtId="0" fontId="40" fillId="0" borderId="0" xfId="0" applyFont="1" applyAlignment="1">
      <alignment horizontal="center" vertical="center"/>
    </xf>
    <xf numFmtId="0" fontId="2" fillId="15" borderId="16" xfId="18" applyAlignment="1">
      <alignment wrapText="1"/>
    </xf>
    <xf numFmtId="173" fontId="12" fillId="15" borderId="1" xfId="18" applyNumberFormat="1" applyFont="1" applyBorder="1" applyAlignment="1">
      <alignment horizontal="center" vertical="center"/>
    </xf>
    <xf numFmtId="0" fontId="2" fillId="29" borderId="0" xfId="19"/>
    <xf numFmtId="0" fontId="4" fillId="0" borderId="0" xfId="0" applyFont="1"/>
    <xf numFmtId="0" fontId="4" fillId="0" borderId="0" xfId="0" applyFont="1" applyAlignment="1">
      <alignment vertical="top"/>
    </xf>
    <xf numFmtId="0" fontId="2" fillId="29" borderId="0" xfId="19" applyBorder="1"/>
    <xf numFmtId="0" fontId="41" fillId="0" borderId="0" xfId="0" applyFont="1"/>
    <xf numFmtId="2" fontId="18" fillId="0" borderId="0" xfId="9" applyNumberFormat="1" applyFont="1" applyAlignment="1">
      <alignment horizontal="left" vertical="center"/>
    </xf>
    <xf numFmtId="0" fontId="42" fillId="0" borderId="0" xfId="0" applyFont="1"/>
    <xf numFmtId="166" fontId="44" fillId="34" borderId="47" xfId="0" applyNumberFormat="1" applyFont="1" applyFill="1" applyBorder="1" applyAlignment="1">
      <alignment horizontal="center" vertical="center"/>
    </xf>
    <xf numFmtId="173" fontId="44" fillId="34" borderId="47" xfId="0" applyNumberFormat="1" applyFont="1" applyFill="1" applyBorder="1" applyAlignment="1">
      <alignment horizontal="center" vertical="center"/>
    </xf>
    <xf numFmtId="173" fontId="42" fillId="34" borderId="47" xfId="0" applyNumberFormat="1" applyFont="1" applyFill="1" applyBorder="1" applyAlignment="1">
      <alignment horizontal="center" vertical="center"/>
    </xf>
    <xf numFmtId="0" fontId="42" fillId="35" borderId="47" xfId="0" applyFont="1" applyFill="1" applyBorder="1" applyAlignment="1">
      <alignment horizontal="center" vertical="center" wrapText="1"/>
    </xf>
    <xf numFmtId="0" fontId="45" fillId="35" borderId="47" xfId="0" applyFont="1" applyFill="1" applyBorder="1" applyAlignment="1">
      <alignment horizontal="center" vertical="center" wrapText="1"/>
    </xf>
    <xf numFmtId="9" fontId="42" fillId="34" borderId="47" xfId="0" applyNumberFormat="1" applyFont="1" applyFill="1" applyBorder="1" applyAlignment="1">
      <alignment horizontal="center" vertical="center"/>
    </xf>
    <xf numFmtId="166" fontId="42" fillId="34" borderId="47" xfId="0" applyNumberFormat="1" applyFont="1" applyFill="1" applyBorder="1" applyAlignment="1">
      <alignment horizontal="center" vertical="center"/>
    </xf>
    <xf numFmtId="10" fontId="2" fillId="4" borderId="0" xfId="9" applyNumberFormat="1" applyFill="1" applyBorder="1" applyAlignment="1">
      <alignment vertical="top"/>
    </xf>
    <xf numFmtId="9" fontId="42" fillId="34" borderId="47" xfId="9" applyFont="1" applyFill="1" applyBorder="1" applyAlignment="1">
      <alignment horizontal="center" vertical="center"/>
    </xf>
    <xf numFmtId="0" fontId="2" fillId="6" borderId="44" xfId="5" applyBorder="1" applyAlignment="1">
      <alignment horizontal="centerContinuous" vertical="center"/>
    </xf>
    <xf numFmtId="0" fontId="2" fillId="6" borderId="45" xfId="5" applyBorder="1" applyAlignment="1">
      <alignment horizontal="centerContinuous" vertical="center"/>
    </xf>
    <xf numFmtId="0" fontId="2" fillId="6" borderId="46" xfId="5" applyBorder="1" applyAlignment="1">
      <alignment horizontal="centerContinuous" vertical="center"/>
    </xf>
    <xf numFmtId="0" fontId="47" fillId="4" borderId="44" xfId="3" applyFont="1" applyBorder="1" applyAlignment="1">
      <alignment horizontal="centerContinuous" vertical="center"/>
    </xf>
    <xf numFmtId="0" fontId="47" fillId="4" borderId="45" xfId="3" applyFont="1" applyBorder="1" applyAlignment="1">
      <alignment horizontal="centerContinuous" vertical="center"/>
    </xf>
    <xf numFmtId="0" fontId="47" fillId="4" borderId="46" xfId="3" applyFont="1" applyBorder="1" applyAlignment="1">
      <alignment horizontal="centerContinuous" vertical="center"/>
    </xf>
    <xf numFmtId="180" fontId="42" fillId="33" borderId="47" xfId="0" applyNumberFormat="1" applyFont="1" applyFill="1" applyBorder="1" applyAlignment="1">
      <alignment horizontal="center" vertical="center"/>
    </xf>
    <xf numFmtId="0" fontId="41" fillId="4" borderId="1" xfId="3" applyFont="1" applyBorder="1" applyAlignment="1">
      <alignment horizontal="center" vertical="center"/>
    </xf>
    <xf numFmtId="9" fontId="41" fillId="4" borderId="12" xfId="3" applyNumberFormat="1" applyFont="1" applyBorder="1" applyAlignment="1">
      <alignment horizontal="center" vertical="center"/>
    </xf>
    <xf numFmtId="2" fontId="41" fillId="4" borderId="12" xfId="3" applyNumberFormat="1" applyFont="1" applyBorder="1" applyAlignment="1">
      <alignment horizontal="center" vertical="center"/>
    </xf>
    <xf numFmtId="176" fontId="23" fillId="26" borderId="17" xfId="0" applyNumberFormat="1" applyFont="1" applyFill="1" applyBorder="1" applyAlignment="1">
      <alignment horizontal="center" vertical="center"/>
    </xf>
    <xf numFmtId="2" fontId="48" fillId="0" borderId="0" xfId="0" applyNumberFormat="1" applyFont="1" applyAlignment="1">
      <alignment horizontal="center"/>
    </xf>
    <xf numFmtId="1" fontId="48" fillId="0" borderId="0" xfId="0" applyNumberFormat="1" applyFont="1" applyAlignment="1">
      <alignment horizontal="center"/>
    </xf>
    <xf numFmtId="2" fontId="1" fillId="0" borderId="0" xfId="0" applyNumberFormat="1" applyFont="1" applyAlignment="1">
      <alignment horizontal="center"/>
    </xf>
    <xf numFmtId="0" fontId="43" fillId="36" borderId="46" xfId="0" applyFont="1" applyFill="1" applyBorder="1" applyAlignment="1">
      <alignment horizontal="left" vertical="center" indent="1"/>
    </xf>
    <xf numFmtId="0" fontId="43" fillId="37" borderId="46" xfId="0" applyFont="1" applyFill="1" applyBorder="1" applyAlignment="1">
      <alignment horizontal="left" vertical="center" indent="1"/>
    </xf>
    <xf numFmtId="0" fontId="43" fillId="37" borderId="49" xfId="22" applyBorder="1">
      <alignment horizontal="left" vertical="center" indent="1"/>
    </xf>
    <xf numFmtId="0" fontId="43" fillId="37" borderId="49" xfId="0" applyFont="1" applyFill="1" applyBorder="1" applyAlignment="1">
      <alignment horizontal="left" vertical="center" indent="1"/>
    </xf>
    <xf numFmtId="0" fontId="43" fillId="37" borderId="50" xfId="0" applyFont="1" applyFill="1" applyBorder="1" applyAlignment="1">
      <alignment horizontal="left" vertical="center" indent="1"/>
    </xf>
    <xf numFmtId="0" fontId="42" fillId="0" borderId="1" xfId="0" applyFont="1" applyBorder="1"/>
    <xf numFmtId="0" fontId="48" fillId="0" borderId="1" xfId="0" applyFont="1" applyBorder="1" applyAlignment="1">
      <alignment horizontal="center"/>
    </xf>
    <xf numFmtId="2" fontId="48" fillId="0" borderId="1" xfId="0" applyNumberFormat="1" applyFont="1" applyBorder="1" applyAlignment="1">
      <alignment horizontal="center"/>
    </xf>
    <xf numFmtId="2" fontId="48" fillId="0" borderId="1" xfId="0" applyNumberFormat="1" applyFont="1" applyBorder="1" applyAlignment="1">
      <alignment horizontal="center" vertical="center"/>
    </xf>
    <xf numFmtId="176" fontId="2" fillId="4" borderId="20" xfId="3" applyNumberFormat="1" applyBorder="1" applyAlignment="1">
      <alignment horizontal="center" vertical="center"/>
    </xf>
    <xf numFmtId="177" fontId="20" fillId="15" borderId="4" xfId="18" applyNumberFormat="1" applyFont="1" applyBorder="1" applyAlignment="1">
      <alignment horizontal="center" vertical="center"/>
    </xf>
    <xf numFmtId="1" fontId="15" fillId="18" borderId="21" xfId="0" applyNumberFormat="1" applyFont="1" applyFill="1" applyBorder="1" applyAlignment="1">
      <alignment horizontal="center" vertical="center"/>
    </xf>
    <xf numFmtId="166" fontId="17" fillId="18" borderId="20" xfId="0" applyNumberFormat="1" applyFont="1" applyFill="1" applyBorder="1" applyAlignment="1">
      <alignment horizontal="center" vertical="center"/>
    </xf>
    <xf numFmtId="166" fontId="17" fillId="18" borderId="17" xfId="0" applyNumberFormat="1" applyFont="1" applyFill="1" applyBorder="1" applyAlignment="1">
      <alignment horizontal="center" vertical="center"/>
    </xf>
    <xf numFmtId="173" fontId="0" fillId="0" borderId="0" xfId="0" applyNumberFormat="1"/>
    <xf numFmtId="165" fontId="0" fillId="0" borderId="1" xfId="0" applyNumberFormat="1" applyBorder="1"/>
    <xf numFmtId="0" fontId="24" fillId="25" borderId="0" xfId="0" applyFont="1" applyFill="1" applyAlignment="1">
      <alignment horizontal="centerContinuous" vertical="center"/>
    </xf>
    <xf numFmtId="0" fontId="12" fillId="12" borderId="0" xfId="0" applyFont="1" applyFill="1" applyAlignment="1">
      <alignment horizontal="centerContinuous" vertical="center"/>
    </xf>
    <xf numFmtId="165" fontId="8" fillId="15" borderId="1" xfId="9" applyNumberFormat="1" applyFont="1" applyFill="1" applyBorder="1" applyAlignment="1">
      <alignment horizontal="center" vertical="center"/>
    </xf>
    <xf numFmtId="165" fontId="19" fillId="27" borderId="1" xfId="9" applyNumberFormat="1" applyFont="1" applyFill="1" applyBorder="1" applyAlignment="1">
      <alignment horizontal="center" vertical="center"/>
    </xf>
    <xf numFmtId="179" fontId="0" fillId="0" borderId="1" xfId="0" applyNumberFormat="1" applyBorder="1"/>
    <xf numFmtId="0" fontId="30" fillId="0" borderId="0" xfId="0" applyFont="1" applyAlignment="1">
      <alignment horizontal="center" vertical="center"/>
    </xf>
    <xf numFmtId="178" fontId="57" fillId="38" borderId="17" xfId="0" applyNumberFormat="1" applyFont="1" applyFill="1" applyBorder="1" applyAlignment="1">
      <alignment horizontal="center" vertical="center"/>
    </xf>
    <xf numFmtId="0" fontId="30" fillId="17" borderId="17" xfId="0" applyFont="1" applyFill="1" applyBorder="1" applyAlignment="1">
      <alignment horizontal="center" vertical="center" wrapText="1"/>
    </xf>
    <xf numFmtId="0" fontId="30" fillId="17" borderId="1" xfId="0" applyFont="1" applyFill="1" applyBorder="1" applyAlignment="1">
      <alignment horizontal="center" vertical="center"/>
    </xf>
    <xf numFmtId="0" fontId="58" fillId="4" borderId="1" xfId="3" applyFont="1" applyBorder="1" applyAlignment="1">
      <alignment horizontal="left" vertical="center" wrapText="1" indent="1"/>
    </xf>
    <xf numFmtId="0" fontId="59" fillId="17" borderId="1" xfId="0" applyFont="1" applyFill="1" applyBorder="1" applyAlignment="1">
      <alignment horizontal="left" vertical="center" wrapText="1" indent="1"/>
    </xf>
    <xf numFmtId="0" fontId="30" fillId="17" borderId="1" xfId="0" applyFont="1" applyFill="1" applyBorder="1" applyAlignment="1">
      <alignment horizontal="left" vertical="center" indent="1"/>
    </xf>
    <xf numFmtId="182" fontId="0" fillId="0" borderId="0" xfId="0" applyNumberFormat="1"/>
    <xf numFmtId="0" fontId="2" fillId="4" borderId="1" xfId="3" applyBorder="1" applyAlignment="1">
      <alignment horizontal="left" vertical="center" indent="1"/>
    </xf>
    <xf numFmtId="2" fontId="0" fillId="0" borderId="0" xfId="0" applyNumberFormat="1"/>
    <xf numFmtId="2" fontId="43" fillId="37" borderId="1" xfId="22" applyNumberFormat="1" applyBorder="1">
      <alignment horizontal="left" vertical="center" indent="1"/>
    </xf>
    <xf numFmtId="0" fontId="30" fillId="17" borderId="21" xfId="0" applyFont="1" applyFill="1" applyBorder="1" applyAlignment="1">
      <alignment horizontal="center" vertical="center"/>
    </xf>
    <xf numFmtId="9" fontId="43" fillId="37" borderId="1" xfId="9" applyFont="1" applyFill="1" applyBorder="1" applyAlignment="1">
      <alignment horizontal="left" vertical="center" indent="1"/>
    </xf>
    <xf numFmtId="183" fontId="0" fillId="0" borderId="1" xfId="0" applyNumberFormat="1" applyBorder="1" applyAlignment="1">
      <alignment horizontal="center" vertical="center"/>
    </xf>
    <xf numFmtId="181" fontId="0" fillId="0" borderId="1" xfId="0" applyNumberFormat="1" applyBorder="1" applyAlignment="1">
      <alignment horizontal="center" vertical="center"/>
    </xf>
    <xf numFmtId="165" fontId="2" fillId="6" borderId="1" xfId="5" applyNumberFormat="1" applyBorder="1" applyAlignment="1">
      <alignment horizontal="center" vertical="center"/>
    </xf>
    <xf numFmtId="184" fontId="2" fillId="4" borderId="16" xfId="3" applyNumberFormat="1" applyBorder="1" applyAlignment="1">
      <alignment horizontal="center" vertical="center"/>
    </xf>
    <xf numFmtId="2" fontId="43" fillId="37" borderId="1" xfId="9" applyNumberFormat="1" applyFont="1" applyFill="1" applyBorder="1" applyAlignment="1">
      <alignment horizontal="left" vertical="center" indent="1"/>
    </xf>
    <xf numFmtId="165" fontId="0" fillId="0" borderId="0" xfId="9" applyNumberFormat="1" applyFont="1"/>
    <xf numFmtId="9" fontId="12" fillId="15" borderId="1" xfId="9" applyFont="1" applyFill="1" applyBorder="1" applyAlignment="1">
      <alignment horizontal="center" vertical="center"/>
    </xf>
    <xf numFmtId="0" fontId="65" fillId="35" borderId="47" xfId="0" applyFont="1" applyFill="1" applyBorder="1" applyAlignment="1">
      <alignment horizontal="center" vertical="center"/>
    </xf>
    <xf numFmtId="173" fontId="19" fillId="41" borderId="47" xfId="0" applyNumberFormat="1" applyFont="1" applyFill="1" applyBorder="1" applyAlignment="1">
      <alignment horizontal="center" vertical="center"/>
    </xf>
    <xf numFmtId="166" fontId="19" fillId="41" borderId="47" xfId="0" applyNumberFormat="1" applyFont="1" applyFill="1" applyBorder="1" applyAlignment="1">
      <alignment horizontal="center" vertical="center"/>
    </xf>
    <xf numFmtId="180" fontId="17" fillId="42" borderId="47" xfId="0" applyNumberFormat="1" applyFont="1" applyFill="1" applyBorder="1" applyAlignment="1">
      <alignment horizontal="center" vertical="center"/>
    </xf>
    <xf numFmtId="180" fontId="17" fillId="36" borderId="47" xfId="0" applyNumberFormat="1" applyFont="1" applyFill="1" applyBorder="1" applyAlignment="1">
      <alignment horizontal="center" vertical="center"/>
    </xf>
    <xf numFmtId="165" fontId="17" fillId="42" borderId="47" xfId="0" applyNumberFormat="1" applyFont="1" applyFill="1" applyBorder="1" applyAlignment="1">
      <alignment horizontal="center" vertical="center"/>
    </xf>
    <xf numFmtId="9" fontId="10" fillId="41" borderId="47" xfId="9" applyFont="1" applyFill="1" applyBorder="1" applyAlignment="1">
      <alignment horizontal="center" vertical="center"/>
    </xf>
    <xf numFmtId="166" fontId="10" fillId="41" borderId="47" xfId="0" applyNumberFormat="1" applyFont="1" applyFill="1" applyBorder="1" applyAlignment="1">
      <alignment horizontal="center" vertical="center"/>
    </xf>
    <xf numFmtId="173" fontId="10" fillId="41" borderId="47" xfId="0" applyNumberFormat="1" applyFont="1" applyFill="1" applyBorder="1" applyAlignment="1">
      <alignment horizontal="center" vertical="center"/>
    </xf>
    <xf numFmtId="0" fontId="62" fillId="0" borderId="0" xfId="0" applyFont="1"/>
    <xf numFmtId="2" fontId="63" fillId="36" borderId="44" xfId="0" applyNumberFormat="1" applyFont="1" applyFill="1" applyBorder="1" applyAlignment="1">
      <alignment horizontal="center" vertical="top"/>
    </xf>
    <xf numFmtId="2" fontId="63" fillId="36" borderId="45" xfId="0" applyNumberFormat="1" applyFont="1" applyFill="1" applyBorder="1" applyAlignment="1">
      <alignment horizontal="center" vertical="top"/>
    </xf>
    <xf numFmtId="2" fontId="63" fillId="36" borderId="46" xfId="0" applyNumberFormat="1" applyFont="1" applyFill="1" applyBorder="1" applyAlignment="1">
      <alignment horizontal="center" vertical="top"/>
    </xf>
    <xf numFmtId="2" fontId="63" fillId="39" borderId="16" xfId="18" applyNumberFormat="1" applyFont="1" applyFill="1" applyAlignment="1">
      <alignment horizontal="center" vertical="top"/>
    </xf>
    <xf numFmtId="2" fontId="64" fillId="40" borderId="16" xfId="3" applyNumberFormat="1" applyFont="1" applyFill="1" applyBorder="1" applyAlignment="1">
      <alignment horizontal="center" vertical="top"/>
    </xf>
    <xf numFmtId="0" fontId="7" fillId="35" borderId="44" xfId="0" applyFont="1" applyFill="1" applyBorder="1" applyAlignment="1">
      <alignment horizontal="left" vertical="center"/>
    </xf>
    <xf numFmtId="0" fontId="7" fillId="35" borderId="46" xfId="0" applyFont="1" applyFill="1" applyBorder="1" applyAlignment="1">
      <alignment horizontal="left" vertical="center"/>
    </xf>
    <xf numFmtId="2" fontId="66" fillId="35" borderId="47" xfId="0" applyNumberFormat="1" applyFont="1" applyFill="1" applyBorder="1" applyAlignment="1">
      <alignment horizontal="center" vertical="top"/>
    </xf>
    <xf numFmtId="0" fontId="63" fillId="33" borderId="47" xfId="0" applyFont="1" applyFill="1" applyBorder="1" applyAlignment="1">
      <alignment horizontal="left" vertical="center"/>
    </xf>
    <xf numFmtId="0" fontId="63" fillId="33" borderId="44" xfId="0" applyFont="1" applyFill="1" applyBorder="1" applyAlignment="1">
      <alignment horizontal="left" vertical="center"/>
    </xf>
    <xf numFmtId="0" fontId="63" fillId="33" borderId="46" xfId="0" applyFont="1" applyFill="1" applyBorder="1" applyAlignment="1">
      <alignment horizontal="left" vertical="center"/>
    </xf>
    <xf numFmtId="0" fontId="7" fillId="35" borderId="47" xfId="0" applyFont="1" applyFill="1" applyBorder="1" applyAlignment="1">
      <alignment horizontal="left" vertical="center"/>
    </xf>
    <xf numFmtId="0" fontId="50" fillId="38" borderId="23" xfId="0" applyFont="1" applyFill="1" applyBorder="1" applyAlignment="1">
      <alignment horizontal="center" vertical="center"/>
    </xf>
    <xf numFmtId="2" fontId="57" fillId="38" borderId="1" xfId="0" applyNumberFormat="1" applyFont="1" applyFill="1" applyBorder="1" applyAlignment="1">
      <alignment horizontal="center" vertical="center"/>
    </xf>
    <xf numFmtId="2" fontId="30" fillId="4" borderId="1" xfId="3" applyNumberFormat="1" applyFont="1" applyBorder="1" applyAlignment="1">
      <alignment horizontal="center" vertical="center"/>
    </xf>
    <xf numFmtId="2" fontId="30" fillId="4" borderId="1" xfId="9" applyNumberFormat="1" applyFont="1" applyFill="1" applyBorder="1" applyAlignment="1">
      <alignment horizontal="center" vertical="center"/>
    </xf>
    <xf numFmtId="165" fontId="57" fillId="18" borderId="17" xfId="0" applyNumberFormat="1" applyFont="1" applyFill="1" applyBorder="1" applyAlignment="1">
      <alignment horizontal="center" vertical="center"/>
    </xf>
    <xf numFmtId="2" fontId="64" fillId="40" borderId="0" xfId="3" applyNumberFormat="1" applyFont="1" applyFill="1" applyBorder="1" applyAlignment="1">
      <alignment horizontal="center" vertical="top"/>
    </xf>
    <xf numFmtId="0" fontId="2" fillId="5" borderId="12" xfId="4" applyBorder="1" applyAlignment="1">
      <alignment horizontal="center" vertical="center"/>
    </xf>
    <xf numFmtId="0" fontId="2" fillId="43" borderId="12" xfId="24" applyBorder="1" applyAlignment="1">
      <alignment horizontal="center" vertical="center"/>
    </xf>
    <xf numFmtId="2" fontId="2" fillId="4" borderId="1" xfId="3" applyNumberFormat="1" applyBorder="1"/>
    <xf numFmtId="10" fontId="0" fillId="0" borderId="0" xfId="9" applyNumberFormat="1" applyFont="1" applyAlignment="1">
      <alignment horizontal="center" vertical="center"/>
    </xf>
    <xf numFmtId="0" fontId="30" fillId="17" borderId="18" xfId="0" applyFont="1" applyFill="1" applyBorder="1" applyAlignment="1">
      <alignment horizontal="center" vertical="center"/>
    </xf>
    <xf numFmtId="164" fontId="57" fillId="38" borderId="1" xfId="0" applyNumberFormat="1" applyFont="1" applyFill="1" applyBorder="1" applyAlignment="1">
      <alignment horizontal="center" vertical="center"/>
    </xf>
    <xf numFmtId="165" fontId="57" fillId="38" borderId="1" xfId="9" applyNumberFormat="1" applyFont="1" applyFill="1" applyBorder="1" applyAlignment="1">
      <alignment horizontal="center" vertical="center"/>
    </xf>
    <xf numFmtId="165" fontId="57" fillId="18" borderId="17" xfId="9" applyNumberFormat="1" applyFont="1" applyFill="1" applyBorder="1" applyAlignment="1">
      <alignment horizontal="center" vertical="center"/>
    </xf>
    <xf numFmtId="165" fontId="57" fillId="18" borderId="1" xfId="0" applyNumberFormat="1" applyFont="1" applyFill="1" applyBorder="1" applyAlignment="1">
      <alignment horizontal="center" vertical="center"/>
    </xf>
    <xf numFmtId="0" fontId="30" fillId="17" borderId="1" xfId="0" applyFont="1" applyFill="1" applyBorder="1" applyAlignment="1">
      <alignment horizontal="center" vertical="center" wrapText="1"/>
    </xf>
    <xf numFmtId="1" fontId="57" fillId="18" borderId="1" xfId="0" applyNumberFormat="1" applyFont="1" applyFill="1" applyBorder="1" applyAlignment="1">
      <alignment horizontal="center" vertical="center"/>
    </xf>
    <xf numFmtId="0" fontId="2" fillId="9" borderId="1" xfId="8" applyBorder="1" applyAlignment="1">
      <alignment horizontal="center" vertical="center" wrapText="1"/>
    </xf>
    <xf numFmtId="2" fontId="57" fillId="18" borderId="1" xfId="0" applyNumberFormat="1" applyFont="1" applyFill="1" applyBorder="1" applyAlignment="1">
      <alignment horizontal="center" vertical="center"/>
    </xf>
    <xf numFmtId="0" fontId="2" fillId="9" borderId="13" xfId="8" applyBorder="1" applyAlignment="1"/>
    <xf numFmtId="165" fontId="57" fillId="18" borderId="18" xfId="0" applyNumberFormat="1" applyFont="1" applyFill="1" applyBorder="1" applyAlignment="1">
      <alignment horizontal="center" vertical="center"/>
    </xf>
    <xf numFmtId="178" fontId="57" fillId="38" borderId="20" xfId="0" applyNumberFormat="1" applyFont="1" applyFill="1" applyBorder="1" applyAlignment="1">
      <alignment horizontal="center" vertical="center"/>
    </xf>
    <xf numFmtId="0" fontId="2" fillId="9" borderId="1" xfId="8" applyBorder="1" applyAlignment="1">
      <alignment horizontal="center" vertical="center"/>
    </xf>
    <xf numFmtId="9" fontId="57" fillId="38" borderId="20" xfId="9" applyFont="1" applyFill="1" applyBorder="1" applyAlignment="1">
      <alignment horizontal="center" vertical="center"/>
    </xf>
    <xf numFmtId="165" fontId="57" fillId="18" borderId="21" xfId="0" applyNumberFormat="1" applyFont="1" applyFill="1" applyBorder="1" applyAlignment="1">
      <alignment horizontal="center" vertical="center"/>
    </xf>
    <xf numFmtId="182" fontId="2" fillId="6" borderId="1" xfId="5" applyNumberFormat="1" applyBorder="1"/>
    <xf numFmtId="182" fontId="2" fillId="9" borderId="1" xfId="8" applyNumberFormat="1" applyBorder="1" applyAlignment="1">
      <alignment horizontal="right"/>
    </xf>
    <xf numFmtId="178" fontId="57" fillId="38" borderId="18" xfId="0" applyNumberFormat="1" applyFont="1" applyFill="1" applyBorder="1" applyAlignment="1">
      <alignment horizontal="center" vertical="center"/>
    </xf>
    <xf numFmtId="0" fontId="39" fillId="9" borderId="1" xfId="8" applyFont="1" applyBorder="1" applyAlignment="1">
      <alignment horizontal="center" vertical="center"/>
    </xf>
    <xf numFmtId="178" fontId="57" fillId="38" borderId="21" xfId="0" applyNumberFormat="1" applyFont="1" applyFill="1" applyBorder="1" applyAlignment="1">
      <alignment horizontal="center" vertical="center"/>
    </xf>
    <xf numFmtId="0" fontId="2" fillId="29" borderId="1" xfId="19" applyBorder="1" applyAlignment="1"/>
    <xf numFmtId="0" fontId="3" fillId="0" borderId="0" xfId="0" applyFont="1"/>
    <xf numFmtId="0" fontId="68" fillId="29" borderId="52" xfId="19" applyFont="1" applyBorder="1" applyAlignment="1">
      <alignment horizontal="center" vertical="center"/>
    </xf>
    <xf numFmtId="178" fontId="57" fillId="38" borderId="1" xfId="0" applyNumberFormat="1" applyFont="1" applyFill="1" applyBorder="1" applyAlignment="1">
      <alignment horizontal="center" vertical="center"/>
    </xf>
    <xf numFmtId="0" fontId="2" fillId="4" borderId="1" xfId="3" applyBorder="1" applyAlignment="1">
      <alignment horizontal="center" vertical="center" wrapText="1"/>
    </xf>
    <xf numFmtId="0" fontId="30" fillId="9" borderId="12" xfId="8" applyFont="1" applyBorder="1" applyAlignment="1">
      <alignment horizontal="center" vertical="center" wrapText="1"/>
    </xf>
    <xf numFmtId="0" fontId="30" fillId="17" borderId="20" xfId="0" applyFont="1" applyFill="1" applyBorder="1" applyAlignment="1">
      <alignment horizontal="center" vertical="center" wrapText="1"/>
    </xf>
    <xf numFmtId="0" fontId="2" fillId="4" borderId="1" xfId="3" applyBorder="1" applyAlignment="1">
      <alignment vertical="center"/>
    </xf>
    <xf numFmtId="2" fontId="2" fillId="7" borderId="1" xfId="6" applyNumberFormat="1" applyBorder="1" applyAlignment="1">
      <alignment horizontal="center" vertical="center"/>
    </xf>
    <xf numFmtId="2" fontId="2" fillId="7" borderId="12" xfId="6" applyNumberFormat="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30" fillId="17" borderId="27" xfId="0" applyFont="1" applyFill="1" applyBorder="1" applyAlignment="1">
      <alignment horizontal="center" vertical="center" wrapText="1"/>
    </xf>
    <xf numFmtId="0" fontId="30" fillId="17" borderId="18" xfId="0" applyFont="1" applyFill="1" applyBorder="1" applyAlignment="1">
      <alignment horizontal="center" vertical="center" wrapText="1"/>
    </xf>
    <xf numFmtId="0" fontId="71" fillId="17" borderId="17" xfId="0" applyFont="1" applyFill="1" applyBorder="1" applyAlignment="1">
      <alignment horizontal="left" vertical="center" indent="1"/>
    </xf>
    <xf numFmtId="0" fontId="30" fillId="17" borderId="1" xfId="0" applyFont="1" applyFill="1" applyBorder="1" applyAlignment="1">
      <alignment horizontal="left" vertical="center"/>
    </xf>
    <xf numFmtId="178" fontId="0" fillId="0" borderId="0" xfId="0" applyNumberFormat="1" applyAlignment="1">
      <alignment vertical="center"/>
    </xf>
    <xf numFmtId="0" fontId="2" fillId="4" borderId="1" xfId="3" applyBorder="1" applyAlignment="1">
      <alignment horizontal="left" vertical="center"/>
    </xf>
    <xf numFmtId="2" fontId="43" fillId="37" borderId="1" xfId="22" applyNumberFormat="1" applyBorder="1" applyAlignment="1">
      <alignment horizontal="left" vertical="center"/>
    </xf>
    <xf numFmtId="2" fontId="66" fillId="35" borderId="47" xfId="0" applyNumberFormat="1" applyFont="1" applyFill="1" applyBorder="1" applyAlignment="1">
      <alignment horizontal="center" vertical="center"/>
    </xf>
    <xf numFmtId="0" fontId="2" fillId="9" borderId="1" xfId="8" applyBorder="1" applyAlignment="1">
      <alignment horizontal="left" vertical="center"/>
    </xf>
    <xf numFmtId="2" fontId="43" fillId="37" borderId="48" xfId="22" applyNumberFormat="1" applyAlignment="1">
      <alignment horizontal="left" vertical="center"/>
    </xf>
    <xf numFmtId="180" fontId="60" fillId="42" borderId="47" xfId="0" applyNumberFormat="1" applyFont="1" applyFill="1" applyBorder="1" applyAlignment="1">
      <alignment horizontal="left" vertical="center"/>
    </xf>
    <xf numFmtId="180" fontId="17" fillId="42" borderId="47" xfId="0" applyNumberFormat="1" applyFont="1" applyFill="1" applyBorder="1" applyAlignment="1">
      <alignment horizontal="left" vertical="center"/>
    </xf>
    <xf numFmtId="180" fontId="62" fillId="42" borderId="47" xfId="0" applyNumberFormat="1" applyFont="1" applyFill="1" applyBorder="1" applyAlignment="1">
      <alignment horizontal="left" vertical="center"/>
    </xf>
    <xf numFmtId="165" fontId="0" fillId="0" borderId="0" xfId="0" applyNumberFormat="1" applyAlignment="1">
      <alignment vertical="center"/>
    </xf>
    <xf numFmtId="180" fontId="67" fillId="42" borderId="47" xfId="23" applyNumberFormat="1" applyFont="1" applyFill="1" applyBorder="1" applyAlignment="1">
      <alignment horizontal="left" vertical="center"/>
    </xf>
    <xf numFmtId="0" fontId="62" fillId="33" borderId="45" xfId="0" applyFont="1" applyFill="1" applyBorder="1" applyAlignment="1">
      <alignment vertical="center"/>
    </xf>
    <xf numFmtId="2" fontId="62" fillId="33" borderId="45" xfId="0" applyNumberFormat="1" applyFont="1" applyFill="1" applyBorder="1" applyAlignment="1">
      <alignment vertical="center"/>
    </xf>
    <xf numFmtId="0" fontId="30" fillId="0" borderId="0" xfId="0" applyFont="1" applyAlignment="1">
      <alignment horizontal="left" vertical="center"/>
    </xf>
    <xf numFmtId="0" fontId="30" fillId="17" borderId="4" xfId="0" applyFont="1" applyFill="1" applyBorder="1" applyAlignment="1">
      <alignment horizontal="center" vertical="center"/>
    </xf>
    <xf numFmtId="0" fontId="59" fillId="16" borderId="20" xfId="0" applyFont="1" applyFill="1" applyBorder="1" applyAlignment="1">
      <alignment vertical="center" wrapText="1"/>
    </xf>
    <xf numFmtId="0" fontId="58" fillId="29" borderId="20" xfId="19" applyFont="1" applyBorder="1" applyAlignment="1">
      <alignment vertical="center" wrapText="1"/>
    </xf>
    <xf numFmtId="0" fontId="59" fillId="24" borderId="20" xfId="0" applyFont="1" applyFill="1" applyBorder="1" applyAlignment="1">
      <alignment vertical="center" wrapText="1"/>
    </xf>
    <xf numFmtId="0" fontId="0" fillId="0" borderId="20" xfId="0" applyBorder="1" applyAlignment="1">
      <alignment vertical="center"/>
    </xf>
    <xf numFmtId="0" fontId="2" fillId="9" borderId="20" xfId="8" applyBorder="1" applyAlignment="1">
      <alignment vertical="center"/>
    </xf>
    <xf numFmtId="0" fontId="59" fillId="16" borderId="18" xfId="0" applyFont="1" applyFill="1" applyBorder="1" applyAlignment="1">
      <alignment horizontal="left" vertical="center" wrapText="1" indent="1"/>
    </xf>
    <xf numFmtId="0" fontId="58" fillId="29" borderId="18" xfId="19" applyFont="1" applyBorder="1" applyAlignment="1">
      <alignment horizontal="left" vertical="center" wrapText="1" indent="1"/>
    </xf>
    <xf numFmtId="0" fontId="59" fillId="24" borderId="18" xfId="0" applyFont="1" applyFill="1" applyBorder="1" applyAlignment="1">
      <alignment horizontal="left" vertical="center" wrapText="1" indent="1"/>
    </xf>
    <xf numFmtId="0" fontId="0" fillId="0" borderId="18" xfId="0" applyBorder="1" applyAlignment="1">
      <alignment horizontal="left" vertical="center" indent="1"/>
    </xf>
    <xf numFmtId="0" fontId="2" fillId="9" borderId="18" xfId="8" applyBorder="1" applyAlignment="1">
      <alignment horizontal="left" vertical="center" indent="1"/>
    </xf>
    <xf numFmtId="0" fontId="4" fillId="17" borderId="18" xfId="0" applyFont="1" applyFill="1" applyBorder="1" applyAlignment="1">
      <alignment horizontal="centerContinuous" vertical="center"/>
    </xf>
    <xf numFmtId="0" fontId="4" fillId="17" borderId="20" xfId="0" applyFont="1" applyFill="1" applyBorder="1" applyAlignment="1">
      <alignment horizontal="centerContinuous" vertical="center"/>
    </xf>
    <xf numFmtId="9" fontId="0" fillId="0" borderId="0" xfId="9" applyFont="1" applyAlignment="1">
      <alignment horizontal="center" vertical="center"/>
    </xf>
    <xf numFmtId="0" fontId="21" fillId="46" borderId="17" xfId="0" applyFont="1" applyFill="1" applyBorder="1" applyAlignment="1">
      <alignment horizontal="centerContinuous" vertical="center" wrapText="1"/>
    </xf>
    <xf numFmtId="165" fontId="13" fillId="15" borderId="5" xfId="18" applyNumberFormat="1" applyFont="1" applyBorder="1" applyAlignment="1">
      <alignment horizontal="center" vertical="center"/>
    </xf>
    <xf numFmtId="184" fontId="12" fillId="15" borderId="1" xfId="18" applyNumberFormat="1" applyFont="1" applyBorder="1" applyAlignment="1">
      <alignment horizontal="center" vertical="center"/>
    </xf>
    <xf numFmtId="184" fontId="12" fillId="15" borderId="5" xfId="18" applyNumberFormat="1" applyFont="1" applyBorder="1" applyAlignment="1">
      <alignment horizontal="center" vertical="center"/>
    </xf>
    <xf numFmtId="184" fontId="17" fillId="15" borderId="1" xfId="18" applyNumberFormat="1" applyFont="1" applyBorder="1" applyAlignment="1">
      <alignment horizontal="center" vertical="center"/>
    </xf>
    <xf numFmtId="184" fontId="17" fillId="15" borderId="5" xfId="18" applyNumberFormat="1" applyFont="1" applyBorder="1" applyAlignment="1">
      <alignment horizontal="center" vertical="center"/>
    </xf>
    <xf numFmtId="184" fontId="19" fillId="15" borderId="1" xfId="18" applyNumberFormat="1" applyFont="1" applyBorder="1" applyAlignment="1">
      <alignment horizontal="center" vertical="center"/>
    </xf>
    <xf numFmtId="184" fontId="2" fillId="15" borderId="1" xfId="18" applyNumberFormat="1" applyBorder="1" applyAlignment="1">
      <alignment horizontal="center" vertical="center"/>
    </xf>
    <xf numFmtId="184" fontId="28" fillId="15" borderId="1" xfId="18" applyNumberFormat="1" applyFont="1" applyBorder="1" applyAlignment="1">
      <alignment horizontal="center" vertical="center"/>
    </xf>
    <xf numFmtId="165" fontId="73" fillId="27" borderId="17" xfId="9" applyNumberFormat="1" applyFont="1" applyFill="1" applyBorder="1" applyAlignment="1">
      <alignment horizontal="center" vertical="center"/>
    </xf>
    <xf numFmtId="165" fontId="15" fillId="38" borderId="17" xfId="9" applyNumberFormat="1" applyFont="1" applyFill="1" applyBorder="1" applyAlignment="1">
      <alignment horizontal="center" vertical="center"/>
    </xf>
    <xf numFmtId="0" fontId="18" fillId="45" borderId="17" xfId="0" applyFont="1" applyFill="1" applyBorder="1" applyAlignment="1">
      <alignment horizontal="centerContinuous" vertical="center" wrapText="1"/>
    </xf>
    <xf numFmtId="0" fontId="74" fillId="17" borderId="17" xfId="0" applyFont="1" applyFill="1" applyBorder="1" applyAlignment="1">
      <alignment horizontal="left" vertical="center" indent="1"/>
    </xf>
    <xf numFmtId="173" fontId="0" fillId="0" borderId="0" xfId="0" applyNumberFormat="1" applyAlignment="1">
      <alignment horizontal="center" vertical="center"/>
    </xf>
    <xf numFmtId="173" fontId="12" fillId="0" borderId="0" xfId="0" applyNumberFormat="1" applyFont="1" applyAlignment="1">
      <alignment vertical="center"/>
    </xf>
    <xf numFmtId="2" fontId="30" fillId="4" borderId="0" xfId="3" applyNumberFormat="1" applyFont="1" applyBorder="1" applyAlignment="1">
      <alignment horizontal="center" vertical="center"/>
    </xf>
    <xf numFmtId="2" fontId="30" fillId="4" borderId="0" xfId="9" applyNumberFormat="1" applyFont="1" applyFill="1" applyBorder="1" applyAlignment="1">
      <alignment horizontal="center" vertical="center"/>
    </xf>
    <xf numFmtId="173" fontId="75" fillId="18" borderId="17" xfId="0" applyNumberFormat="1" applyFont="1" applyFill="1" applyBorder="1" applyAlignment="1">
      <alignment horizontal="center" vertical="center"/>
    </xf>
    <xf numFmtId="2" fontId="69" fillId="38" borderId="17" xfId="3" applyNumberFormat="1" applyFont="1" applyFill="1" applyBorder="1" applyAlignment="1">
      <alignment horizontal="center" vertical="center"/>
    </xf>
    <xf numFmtId="0" fontId="77" fillId="0" borderId="0" xfId="0" applyFont="1" applyAlignment="1">
      <alignment horizontal="center" vertical="center"/>
    </xf>
    <xf numFmtId="0" fontId="76" fillId="0" borderId="0" xfId="0" applyFont="1" applyAlignment="1">
      <alignment horizontal="center" vertical="center"/>
    </xf>
    <xf numFmtId="173" fontId="19" fillId="0" borderId="0" xfId="0" applyNumberFormat="1" applyFont="1" applyAlignment="1">
      <alignment horizontal="center" vertical="center"/>
    </xf>
    <xf numFmtId="0" fontId="71" fillId="0" borderId="0" xfId="0" applyFont="1"/>
    <xf numFmtId="0" fontId="59" fillId="14" borderId="27" xfId="0" applyFont="1" applyFill="1" applyBorder="1" applyAlignment="1">
      <alignment horizontal="center" vertical="center"/>
    </xf>
    <xf numFmtId="0" fontId="10" fillId="16" borderId="27" xfId="0" applyFont="1" applyFill="1" applyBorder="1" applyAlignment="1">
      <alignment horizontal="center" vertical="center" wrapText="1"/>
    </xf>
    <xf numFmtId="0" fontId="9" fillId="48" borderId="27" xfId="0" applyFont="1" applyFill="1" applyBorder="1" applyAlignment="1">
      <alignment horizontal="center" vertical="center" wrapText="1"/>
    </xf>
    <xf numFmtId="0" fontId="9" fillId="0" borderId="27" xfId="0" applyFont="1" applyBorder="1" applyAlignment="1">
      <alignment horizontal="center" vertical="center" wrapText="1"/>
    </xf>
    <xf numFmtId="0" fontId="9" fillId="20" borderId="27" xfId="0" applyFont="1" applyFill="1" applyBorder="1" applyAlignment="1">
      <alignment horizontal="center" vertical="center" wrapText="1"/>
    </xf>
    <xf numFmtId="2" fontId="69" fillId="38" borderId="18" xfId="3" applyNumberFormat="1" applyFont="1" applyFill="1" applyBorder="1" applyAlignment="1">
      <alignment horizontal="center" vertical="center"/>
    </xf>
    <xf numFmtId="0" fontId="9" fillId="20" borderId="35" xfId="0" applyFont="1" applyFill="1" applyBorder="1" applyAlignment="1">
      <alignment horizontal="center" vertical="center" wrapText="1"/>
    </xf>
    <xf numFmtId="0" fontId="71" fillId="17" borderId="21" xfId="0" applyFont="1" applyFill="1" applyBorder="1" applyAlignment="1">
      <alignment horizontal="left" vertical="center" indent="1"/>
    </xf>
    <xf numFmtId="0" fontId="25" fillId="4" borderId="17" xfId="3" applyFont="1" applyBorder="1" applyAlignment="1">
      <alignment horizontal="center" vertical="center"/>
    </xf>
    <xf numFmtId="0" fontId="25" fillId="0" borderId="17" xfId="0" applyFont="1" applyBorder="1" applyAlignment="1">
      <alignment horizontal="center" vertical="center"/>
    </xf>
    <xf numFmtId="0" fontId="25" fillId="22" borderId="17" xfId="4" applyFont="1" applyFill="1" applyBorder="1" applyAlignment="1">
      <alignment horizontal="center" vertical="center"/>
    </xf>
    <xf numFmtId="0" fontId="18" fillId="0" borderId="0" xfId="0" applyFont="1" applyAlignment="1">
      <alignment horizontal="center" vertical="center"/>
    </xf>
    <xf numFmtId="0" fontId="18" fillId="9" borderId="17" xfId="8" applyFont="1" applyBorder="1" applyAlignment="1">
      <alignment horizontal="center" vertical="center"/>
    </xf>
    <xf numFmtId="0" fontId="25" fillId="16" borderId="17" xfId="3" applyFont="1" applyFill="1" applyBorder="1" applyAlignment="1">
      <alignment horizontal="center" vertical="center"/>
    </xf>
    <xf numFmtId="0" fontId="0" fillId="45" borderId="18" xfId="0" applyFill="1" applyBorder="1" applyAlignment="1">
      <alignment horizontal="centerContinuous" vertical="center"/>
    </xf>
    <xf numFmtId="0" fontId="0" fillId="45" borderId="19" xfId="0" applyFill="1" applyBorder="1" applyAlignment="1">
      <alignment horizontal="centerContinuous" vertical="center"/>
    </xf>
    <xf numFmtId="0" fontId="0" fillId="45" borderId="20" xfId="0" applyFill="1" applyBorder="1" applyAlignment="1">
      <alignment horizontal="centerContinuous" vertical="center"/>
    </xf>
    <xf numFmtId="0" fontId="30" fillId="0" borderId="0" xfId="0" applyFont="1" applyAlignment="1">
      <alignment horizontal="center" vertical="center" wrapText="1"/>
    </xf>
    <xf numFmtId="0" fontId="80" fillId="49" borderId="17" xfId="0" applyFont="1" applyFill="1" applyBorder="1" applyAlignment="1">
      <alignment horizontal="center" vertical="center"/>
    </xf>
    <xf numFmtId="0" fontId="2" fillId="50" borderId="17" xfId="0" applyFont="1" applyFill="1" applyBorder="1" applyAlignment="1">
      <alignment horizontal="center" vertical="center" wrapText="1"/>
    </xf>
    <xf numFmtId="0" fontId="2" fillId="50" borderId="47" xfId="0" applyFont="1" applyFill="1" applyBorder="1" applyAlignment="1">
      <alignment horizontal="center" vertical="center" wrapText="1"/>
    </xf>
    <xf numFmtId="173" fontId="13" fillId="51" borderId="47" xfId="0" applyNumberFormat="1" applyFont="1" applyFill="1" applyBorder="1" applyAlignment="1">
      <alignment horizontal="center" vertical="center"/>
    </xf>
    <xf numFmtId="166" fontId="13" fillId="19" borderId="47" xfId="0" applyNumberFormat="1" applyFont="1" applyFill="1" applyBorder="1" applyAlignment="1">
      <alignment horizontal="center" vertical="center"/>
    </xf>
    <xf numFmtId="173" fontId="13" fillId="46" borderId="47" xfId="0" applyNumberFormat="1" applyFont="1" applyFill="1" applyBorder="1" applyAlignment="1">
      <alignment horizontal="center" vertical="center"/>
    </xf>
    <xf numFmtId="173" fontId="82" fillId="51" borderId="47" xfId="0" applyNumberFormat="1" applyFont="1" applyFill="1" applyBorder="1" applyAlignment="1">
      <alignment horizontal="center" vertical="center"/>
    </xf>
    <xf numFmtId="173" fontId="13" fillId="19" borderId="47" xfId="0" applyNumberFormat="1" applyFont="1" applyFill="1" applyBorder="1" applyAlignment="1">
      <alignment horizontal="center" vertical="center"/>
    </xf>
    <xf numFmtId="173" fontId="13" fillId="17" borderId="47" xfId="0" applyNumberFormat="1" applyFont="1" applyFill="1" applyBorder="1" applyAlignment="1">
      <alignment horizontal="center" vertical="center"/>
    </xf>
    <xf numFmtId="0" fontId="9" fillId="52" borderId="27" xfId="0" applyFont="1" applyFill="1" applyBorder="1" applyAlignment="1">
      <alignment horizontal="center" vertical="center" wrapText="1"/>
    </xf>
    <xf numFmtId="0" fontId="0" fillId="0" borderId="0" xfId="0" applyAlignment="1">
      <alignment horizontal="left"/>
    </xf>
    <xf numFmtId="2" fontId="78" fillId="0" borderId="0" xfId="0" applyNumberFormat="1" applyFont="1" applyAlignment="1">
      <alignment horizontal="left"/>
    </xf>
    <xf numFmtId="165" fontId="78" fillId="0" borderId="0" xfId="9" applyNumberFormat="1" applyFont="1" applyAlignment="1">
      <alignment horizontal="left"/>
    </xf>
    <xf numFmtId="0" fontId="83" fillId="0" borderId="0" xfId="0" applyFont="1" applyAlignment="1">
      <alignment horizontal="center" vertical="center" wrapText="1"/>
    </xf>
    <xf numFmtId="173" fontId="2" fillId="9" borderId="0" xfId="8" applyNumberFormat="1" applyAlignment="1">
      <alignment horizontal="center" vertical="center"/>
    </xf>
    <xf numFmtId="0" fontId="2" fillId="24" borderId="51" xfId="8" applyFill="1" applyBorder="1" applyAlignment="1">
      <alignment horizontal="left" vertical="center" indent="1"/>
    </xf>
    <xf numFmtId="0" fontId="2" fillId="24" borderId="31" xfId="8" applyFill="1" applyBorder="1" applyAlignment="1">
      <alignment horizontal="left" vertical="center" indent="1"/>
    </xf>
    <xf numFmtId="0" fontId="2" fillId="24" borderId="34" xfId="8" applyFill="1" applyBorder="1" applyAlignment="1">
      <alignment horizontal="left" vertical="center" indent="1"/>
    </xf>
    <xf numFmtId="0" fontId="2" fillId="24" borderId="29" xfId="8" applyFill="1" applyBorder="1" applyAlignment="1">
      <alignment horizontal="left" vertical="center" indent="1"/>
    </xf>
    <xf numFmtId="0" fontId="2" fillId="24" borderId="28" xfId="8" applyFill="1" applyBorder="1" applyAlignment="1">
      <alignment horizontal="left" vertical="center" indent="1"/>
    </xf>
    <xf numFmtId="0" fontId="0" fillId="24" borderId="29" xfId="8" applyFont="1" applyFill="1" applyBorder="1" applyAlignment="1">
      <alignment horizontal="left" vertical="center" indent="1"/>
    </xf>
    <xf numFmtId="9" fontId="27" fillId="17" borderId="35" xfId="0" quotePrefix="1" applyNumberFormat="1" applyFont="1" applyFill="1" applyBorder="1" applyAlignment="1">
      <alignment horizontal="center" vertical="center"/>
    </xf>
    <xf numFmtId="9" fontId="27" fillId="17" borderId="21" xfId="0" quotePrefix="1" applyNumberFormat="1" applyFont="1" applyFill="1" applyBorder="1" applyAlignment="1">
      <alignment horizontal="center" vertical="center"/>
    </xf>
    <xf numFmtId="9" fontId="2" fillId="29" borderId="55" xfId="19" quotePrefix="1" applyNumberFormat="1" applyBorder="1" applyAlignment="1">
      <alignment horizontal="center" vertical="center"/>
    </xf>
    <xf numFmtId="9" fontId="2" fillId="29" borderId="56" xfId="19" quotePrefix="1" applyNumberFormat="1" applyBorder="1" applyAlignment="1">
      <alignment horizontal="center" vertical="center"/>
    </xf>
    <xf numFmtId="9" fontId="2" fillId="29" borderId="42" xfId="19" quotePrefix="1" applyNumberFormat="1" applyBorder="1" applyAlignment="1">
      <alignment horizontal="center" vertical="center"/>
    </xf>
    <xf numFmtId="9" fontId="2" fillId="29" borderId="26" xfId="19" quotePrefix="1" applyNumberFormat="1" applyBorder="1" applyAlignment="1">
      <alignment horizontal="center" vertical="center"/>
    </xf>
    <xf numFmtId="9" fontId="2" fillId="29" borderId="57" xfId="19" quotePrefix="1" applyNumberFormat="1" applyBorder="1" applyAlignment="1">
      <alignment horizontal="center" vertical="center"/>
    </xf>
    <xf numFmtId="9" fontId="2" fillId="29" borderId="58" xfId="19" quotePrefix="1" applyNumberFormat="1" applyBorder="1" applyAlignment="1">
      <alignment horizontal="center" vertical="center"/>
    </xf>
    <xf numFmtId="9" fontId="2" fillId="29" borderId="59" xfId="19" quotePrefix="1" applyNumberFormat="1" applyBorder="1" applyAlignment="1">
      <alignment horizontal="center" vertical="center"/>
    </xf>
    <xf numFmtId="9" fontId="2" fillId="29" borderId="40" xfId="19" quotePrefix="1" applyNumberFormat="1" applyBorder="1" applyAlignment="1">
      <alignment horizontal="center" vertical="center"/>
    </xf>
    <xf numFmtId="0" fontId="12" fillId="16" borderId="21" xfId="0" applyFont="1" applyFill="1" applyBorder="1" applyAlignment="1">
      <alignment vertical="top"/>
    </xf>
    <xf numFmtId="173" fontId="75" fillId="18" borderId="18" xfId="0" applyNumberFormat="1" applyFont="1" applyFill="1" applyBorder="1" applyAlignment="1">
      <alignment horizontal="center" vertical="center"/>
    </xf>
    <xf numFmtId="173" fontId="2" fillId="4" borderId="16" xfId="3" applyNumberFormat="1" applyBorder="1" applyAlignment="1">
      <alignment horizontal="center" vertical="center"/>
    </xf>
    <xf numFmtId="174" fontId="2" fillId="4" borderId="16" xfId="3" applyNumberFormat="1" applyBorder="1" applyAlignment="1">
      <alignment horizontal="center" vertical="center"/>
    </xf>
    <xf numFmtId="0" fontId="12" fillId="16" borderId="5" xfId="0" applyFont="1" applyFill="1" applyBorder="1" applyAlignment="1">
      <alignment horizontal="center" vertical="center"/>
    </xf>
    <xf numFmtId="0" fontId="2" fillId="9" borderId="62" xfId="8" applyBorder="1" applyAlignment="1">
      <alignment horizontal="center" vertical="center"/>
    </xf>
    <xf numFmtId="0" fontId="2" fillId="9" borderId="63" xfId="8" applyBorder="1" applyAlignment="1">
      <alignment horizontal="center" vertical="center"/>
    </xf>
    <xf numFmtId="0" fontId="2" fillId="9" borderId="64" xfId="8" applyBorder="1" applyAlignment="1">
      <alignment horizontal="center" vertical="center"/>
    </xf>
    <xf numFmtId="173" fontId="2" fillId="6" borderId="1" xfId="5" applyNumberFormat="1" applyBorder="1" applyAlignment="1">
      <alignment horizontal="center" vertical="center"/>
    </xf>
    <xf numFmtId="172" fontId="2" fillId="6" borderId="1" xfId="5" applyNumberFormat="1" applyBorder="1" applyAlignment="1">
      <alignment horizontal="center" vertical="center"/>
    </xf>
    <xf numFmtId="0" fontId="36" fillId="6" borderId="41" xfId="5" applyFont="1" applyBorder="1" applyAlignment="1">
      <alignment horizontal="left" vertical="center" indent="1"/>
    </xf>
    <xf numFmtId="0" fontId="36" fillId="6" borderId="52" xfId="5" applyFont="1" applyBorder="1" applyAlignment="1">
      <alignment horizontal="left" vertical="center" indent="1"/>
    </xf>
    <xf numFmtId="0" fontId="36" fillId="6" borderId="40" xfId="5" applyFont="1" applyBorder="1" applyAlignment="1">
      <alignment horizontal="left" vertical="center" indent="1"/>
    </xf>
    <xf numFmtId="0" fontId="2" fillId="9" borderId="51" xfId="8" applyBorder="1" applyAlignment="1">
      <alignment horizontal="left" vertical="center" indent="1"/>
    </xf>
    <xf numFmtId="0" fontId="36" fillId="6" borderId="42" xfId="5" applyFont="1" applyBorder="1" applyAlignment="1">
      <alignment horizontal="left" vertical="center" indent="1"/>
    </xf>
    <xf numFmtId="185" fontId="23" fillId="26" borderId="17" xfId="0" applyNumberFormat="1" applyFont="1" applyFill="1" applyBorder="1" applyAlignment="1">
      <alignment horizontal="center" vertical="center"/>
    </xf>
    <xf numFmtId="9" fontId="27" fillId="17" borderId="24" xfId="0" quotePrefix="1" applyNumberFormat="1" applyFont="1" applyFill="1" applyBorder="1" applyAlignment="1">
      <alignment horizontal="center" vertical="center"/>
    </xf>
    <xf numFmtId="9" fontId="27" fillId="17" borderId="37" xfId="0" quotePrefix="1" applyNumberFormat="1" applyFont="1" applyFill="1" applyBorder="1" applyAlignment="1">
      <alignment horizontal="center" vertical="center"/>
    </xf>
    <xf numFmtId="9" fontId="27" fillId="17" borderId="65" xfId="0" quotePrefix="1" applyNumberFormat="1" applyFont="1" applyFill="1" applyBorder="1" applyAlignment="1">
      <alignment horizontal="center" vertical="center"/>
    </xf>
    <xf numFmtId="9" fontId="2" fillId="29" borderId="52" xfId="19" quotePrefix="1" applyNumberFormat="1" applyBorder="1" applyAlignment="1">
      <alignment horizontal="center" vertical="center"/>
    </xf>
    <xf numFmtId="9" fontId="27" fillId="17" borderId="43" xfId="0" quotePrefix="1" applyNumberFormat="1" applyFont="1" applyFill="1" applyBorder="1" applyAlignment="1">
      <alignment horizontal="center" vertical="center"/>
    </xf>
    <xf numFmtId="2" fontId="73" fillId="27" borderId="17" xfId="9" applyNumberFormat="1" applyFont="1" applyFill="1" applyBorder="1" applyAlignment="1">
      <alignment horizontal="center" vertical="center"/>
    </xf>
    <xf numFmtId="0" fontId="84" fillId="0" borderId="0" xfId="0" applyFont="1"/>
    <xf numFmtId="0" fontId="23" fillId="0" borderId="0" xfId="0" applyFont="1" applyAlignment="1">
      <alignment horizontal="center" vertical="center"/>
    </xf>
    <xf numFmtId="9" fontId="15" fillId="38" borderId="17" xfId="9" applyFont="1" applyFill="1" applyBorder="1" applyAlignment="1">
      <alignment horizontal="center" vertical="center"/>
    </xf>
    <xf numFmtId="2" fontId="2" fillId="9" borderId="0" xfId="8" applyNumberFormat="1"/>
    <xf numFmtId="0" fontId="25" fillId="16" borderId="18" xfId="3" applyFont="1" applyFill="1" applyBorder="1" applyAlignment="1">
      <alignment horizontal="center" vertical="center"/>
    </xf>
    <xf numFmtId="0" fontId="25" fillId="22" borderId="18" xfId="4" applyFont="1" applyFill="1" applyBorder="1" applyAlignment="1">
      <alignment horizontal="center" vertical="center"/>
    </xf>
    <xf numFmtId="0" fontId="25" fillId="0" borderId="18" xfId="0" applyFont="1" applyBorder="1" applyAlignment="1">
      <alignment horizontal="center" vertical="center"/>
    </xf>
    <xf numFmtId="0" fontId="18" fillId="9" borderId="0" xfId="8" applyFont="1" applyBorder="1" applyAlignment="1">
      <alignment horizontal="center" vertical="center"/>
    </xf>
    <xf numFmtId="0" fontId="71" fillId="17" borderId="1" xfId="0" applyFont="1" applyFill="1" applyBorder="1" applyAlignment="1">
      <alignment horizontal="left" vertical="center" indent="1"/>
    </xf>
    <xf numFmtId="174" fontId="17" fillId="20" borderId="17" xfId="0" applyNumberFormat="1" applyFont="1" applyFill="1" applyBorder="1" applyAlignment="1">
      <alignment horizontal="center" vertical="center"/>
    </xf>
    <xf numFmtId="180" fontId="72" fillId="44" borderId="17" xfId="0" applyNumberFormat="1" applyFont="1" applyFill="1" applyBorder="1" applyAlignment="1">
      <alignment horizontal="center" vertical="center"/>
    </xf>
    <xf numFmtId="180" fontId="72" fillId="25" borderId="17" xfId="0" applyNumberFormat="1" applyFont="1" applyFill="1" applyBorder="1" applyAlignment="1">
      <alignment horizontal="center" vertical="center"/>
    </xf>
    <xf numFmtId="180" fontId="9" fillId="17" borderId="17" xfId="0" applyNumberFormat="1" applyFont="1" applyFill="1" applyBorder="1" applyAlignment="1">
      <alignment horizontal="center" vertical="center"/>
    </xf>
    <xf numFmtId="180" fontId="9" fillId="44" borderId="17" xfId="0" applyNumberFormat="1" applyFont="1" applyFill="1" applyBorder="1" applyAlignment="1">
      <alignment horizontal="center" vertical="center"/>
    </xf>
    <xf numFmtId="180" fontId="0" fillId="0" borderId="0" xfId="0" applyNumberFormat="1"/>
    <xf numFmtId="165" fontId="41" fillId="4" borderId="1" xfId="9" applyNumberFormat="1" applyFont="1" applyFill="1" applyBorder="1" applyAlignment="1">
      <alignment horizontal="center" vertical="center"/>
    </xf>
    <xf numFmtId="0" fontId="36" fillId="0" borderId="1" xfId="0" applyFont="1" applyBorder="1" applyAlignment="1">
      <alignment horizontal="center" vertical="center"/>
    </xf>
    <xf numFmtId="0" fontId="18" fillId="0" borderId="1" xfId="0" applyFont="1" applyBorder="1" applyAlignment="1">
      <alignment horizontal="left" vertical="center"/>
    </xf>
    <xf numFmtId="0" fontId="1" fillId="0" borderId="1" xfId="0" applyFont="1" applyBorder="1" applyAlignment="1">
      <alignment horizontal="left" vertical="center"/>
    </xf>
    <xf numFmtId="0" fontId="5" fillId="0" borderId="1" xfId="0" applyFont="1" applyBorder="1" applyAlignment="1">
      <alignment horizontal="left" vertical="center"/>
    </xf>
    <xf numFmtId="0" fontId="68" fillId="0" borderId="1" xfId="0" applyFont="1" applyBorder="1" applyAlignment="1">
      <alignment horizontal="center" vertical="center" wrapText="1"/>
    </xf>
    <xf numFmtId="2" fontId="18" fillId="0" borderId="1" xfId="0" applyNumberFormat="1" applyFont="1" applyBorder="1"/>
    <xf numFmtId="178" fontId="18" fillId="0" borderId="1" xfId="0" applyNumberFormat="1" applyFont="1" applyBorder="1"/>
    <xf numFmtId="2" fontId="5" fillId="0" borderId="1" xfId="0" applyNumberFormat="1" applyFont="1" applyBorder="1"/>
    <xf numFmtId="178" fontId="5" fillId="0" borderId="1" xfId="0" applyNumberFormat="1" applyFont="1" applyBorder="1"/>
    <xf numFmtId="0" fontId="25" fillId="4" borderId="18" xfId="3" applyFont="1" applyBorder="1" applyAlignment="1">
      <alignment horizontal="center" vertical="center"/>
    </xf>
    <xf numFmtId="0" fontId="1" fillId="0" borderId="1" xfId="0" applyFont="1" applyBorder="1"/>
    <xf numFmtId="9" fontId="18" fillId="0" borderId="1" xfId="9" applyFont="1" applyBorder="1"/>
    <xf numFmtId="9" fontId="36" fillId="0" borderId="1" xfId="9" applyFont="1" applyBorder="1"/>
    <xf numFmtId="0" fontId="18" fillId="9" borderId="18" xfId="8" applyFont="1" applyBorder="1" applyAlignment="1">
      <alignment horizontal="center" vertical="center"/>
    </xf>
    <xf numFmtId="0" fontId="36" fillId="0" borderId="1" xfId="0" applyFont="1" applyBorder="1" applyAlignment="1">
      <alignment horizontal="center" vertical="center" wrapText="1"/>
    </xf>
    <xf numFmtId="178" fontId="0" fillId="0" borderId="1" xfId="0" applyNumberFormat="1" applyBorder="1" applyAlignment="1">
      <alignment horizontal="center" vertical="center"/>
    </xf>
    <xf numFmtId="178" fontId="36" fillId="0" borderId="1" xfId="0" applyNumberFormat="1" applyFont="1" applyBorder="1" applyAlignment="1">
      <alignment horizontal="center" vertical="center"/>
    </xf>
    <xf numFmtId="0" fontId="18" fillId="0" borderId="1" xfId="0" applyFont="1" applyBorder="1" applyAlignment="1">
      <alignment vertical="center"/>
    </xf>
    <xf numFmtId="9" fontId="18" fillId="0" borderId="1" xfId="9" applyFont="1" applyBorder="1" applyAlignment="1">
      <alignment horizontal="center" vertical="center"/>
    </xf>
    <xf numFmtId="178" fontId="18" fillId="0" borderId="1" xfId="0" applyNumberFormat="1" applyFont="1" applyBorder="1" applyAlignment="1">
      <alignment horizontal="center" vertical="center"/>
    </xf>
    <xf numFmtId="0" fontId="0" fillId="16" borderId="23" xfId="0" applyFill="1" applyBorder="1" applyAlignment="1">
      <alignment horizontal="center" vertical="center" wrapText="1"/>
    </xf>
    <xf numFmtId="0" fontId="18" fillId="0" borderId="0" xfId="0" applyFont="1"/>
    <xf numFmtId="0" fontId="68" fillId="0" borderId="1" xfId="0" applyFont="1" applyBorder="1" applyAlignment="1">
      <alignment horizontal="center" vertical="center"/>
    </xf>
    <xf numFmtId="165" fontId="18" fillId="0" borderId="1" xfId="9" applyNumberFormat="1" applyFont="1" applyBorder="1" applyAlignment="1">
      <alignment horizontal="right"/>
    </xf>
    <xf numFmtId="165" fontId="36" fillId="0" borderId="1" xfId="9" applyNumberFormat="1" applyFont="1" applyBorder="1" applyAlignment="1">
      <alignment horizontal="right"/>
    </xf>
    <xf numFmtId="9" fontId="36" fillId="0" borderId="1" xfId="9" applyFont="1" applyBorder="1" applyAlignment="1">
      <alignment horizontal="right"/>
    </xf>
    <xf numFmtId="0" fontId="86" fillId="53" borderId="71" xfId="0" applyFont="1" applyFill="1" applyBorder="1" applyAlignment="1">
      <alignment horizontal="center" vertical="center"/>
    </xf>
    <xf numFmtId="0" fontId="86" fillId="54" borderId="71" xfId="0" applyFont="1" applyFill="1" applyBorder="1" applyAlignment="1">
      <alignment horizontal="center" vertical="center"/>
    </xf>
    <xf numFmtId="0" fontId="86" fillId="54" borderId="72" xfId="0" applyFont="1" applyFill="1" applyBorder="1" applyAlignment="1">
      <alignment horizontal="center" vertical="center"/>
    </xf>
    <xf numFmtId="0" fontId="86" fillId="54" borderId="69" xfId="0" applyFont="1" applyFill="1" applyBorder="1" applyAlignment="1">
      <alignment horizontal="center"/>
    </xf>
    <xf numFmtId="0" fontId="0" fillId="0" borderId="69" xfId="0" applyBorder="1" applyAlignment="1">
      <alignment horizontal="center" vertical="center"/>
    </xf>
    <xf numFmtId="0" fontId="0" fillId="0" borderId="73" xfId="0" applyBorder="1"/>
    <xf numFmtId="0" fontId="0" fillId="0" borderId="69" xfId="0" applyBorder="1"/>
    <xf numFmtId="0" fontId="86" fillId="53" borderId="69" xfId="0" applyFont="1" applyFill="1" applyBorder="1" applyAlignment="1">
      <alignment horizontal="center" vertical="center"/>
    </xf>
    <xf numFmtId="0" fontId="0" fillId="0" borderId="73" xfId="0" applyBorder="1" applyAlignment="1">
      <alignment horizontal="center" vertical="center"/>
    </xf>
    <xf numFmtId="0" fontId="0" fillId="0" borderId="73" xfId="0" applyBorder="1" applyAlignment="1">
      <alignment horizontal="center"/>
    </xf>
    <xf numFmtId="0" fontId="0" fillId="0" borderId="74" xfId="0" applyBorder="1" applyAlignment="1">
      <alignment horizontal="center"/>
    </xf>
    <xf numFmtId="0" fontId="0" fillId="0" borderId="72" xfId="0" applyBorder="1"/>
    <xf numFmtId="0" fontId="0" fillId="0" borderId="71" xfId="0" applyBorder="1"/>
    <xf numFmtId="0" fontId="0" fillId="0" borderId="72" xfId="0" applyBorder="1" applyAlignment="1">
      <alignment horizontal="center" vertical="center"/>
    </xf>
    <xf numFmtId="0" fontId="0" fillId="0" borderId="72" xfId="0" applyBorder="1" applyAlignment="1">
      <alignment horizontal="center"/>
    </xf>
    <xf numFmtId="0" fontId="0" fillId="0" borderId="0" xfId="0" applyAlignment="1">
      <alignment horizontal="center"/>
    </xf>
    <xf numFmtId="0" fontId="0" fillId="0" borderId="75" xfId="0" applyBorder="1" applyAlignment="1">
      <alignment horizontal="center" vertical="center"/>
    </xf>
    <xf numFmtId="0" fontId="0" fillId="0" borderId="75" xfId="0" applyBorder="1" applyAlignment="1">
      <alignment horizontal="center"/>
    </xf>
    <xf numFmtId="0" fontId="0" fillId="0" borderId="76" xfId="0" applyBorder="1" applyAlignment="1">
      <alignment horizontal="center"/>
    </xf>
    <xf numFmtId="0" fontId="0" fillId="0" borderId="69" xfId="0" applyBorder="1" applyAlignment="1">
      <alignment horizontal="center"/>
    </xf>
    <xf numFmtId="0" fontId="0" fillId="0" borderId="71" xfId="0" applyBorder="1" applyAlignment="1">
      <alignment horizontal="center"/>
    </xf>
    <xf numFmtId="0" fontId="0" fillId="0" borderId="77" xfId="0" applyBorder="1" applyAlignment="1">
      <alignment horizontal="center"/>
    </xf>
    <xf numFmtId="0" fontId="0" fillId="0" borderId="75" xfId="0" applyBorder="1"/>
    <xf numFmtId="0" fontId="86" fillId="53" borderId="72" xfId="0" applyFont="1" applyFill="1" applyBorder="1" applyAlignment="1">
      <alignment horizontal="center" vertical="center"/>
    </xf>
    <xf numFmtId="0" fontId="0" fillId="0" borderId="66" xfId="0" applyBorder="1"/>
    <xf numFmtId="0" fontId="0" fillId="0" borderId="78" xfId="0" applyBorder="1" applyAlignment="1">
      <alignment horizontal="center"/>
    </xf>
    <xf numFmtId="0" fontId="0" fillId="0" borderId="67" xfId="0" applyBorder="1" applyAlignment="1">
      <alignment horizontal="center"/>
    </xf>
    <xf numFmtId="0" fontId="0" fillId="0" borderId="79" xfId="0" applyBorder="1" applyAlignment="1">
      <alignment horizontal="center"/>
    </xf>
    <xf numFmtId="0" fontId="0" fillId="0" borderId="80" xfId="0" applyBorder="1" applyAlignment="1">
      <alignment horizontal="center"/>
    </xf>
    <xf numFmtId="0" fontId="0" fillId="0" borderId="66" xfId="0" applyBorder="1" applyAlignment="1">
      <alignment horizontal="center"/>
    </xf>
    <xf numFmtId="0" fontId="86" fillId="53" borderId="73" xfId="0" applyFont="1" applyFill="1" applyBorder="1" applyAlignment="1">
      <alignment horizontal="center" vertical="center"/>
    </xf>
    <xf numFmtId="0" fontId="0" fillId="0" borderId="77" xfId="0" applyBorder="1"/>
    <xf numFmtId="0" fontId="0" fillId="0" borderId="78" xfId="0" applyBorder="1"/>
    <xf numFmtId="0" fontId="86" fillId="53" borderId="78" xfId="0" applyFont="1" applyFill="1" applyBorder="1" applyAlignment="1">
      <alignment horizontal="center" vertical="center"/>
    </xf>
    <xf numFmtId="0" fontId="86" fillId="54" borderId="71" xfId="0" applyFont="1" applyFill="1" applyBorder="1" applyAlignment="1">
      <alignment horizontal="center"/>
    </xf>
    <xf numFmtId="0" fontId="0" fillId="0" borderId="74" xfId="0" applyBorder="1"/>
    <xf numFmtId="0" fontId="0" fillId="0" borderId="76" xfId="0" applyBorder="1"/>
    <xf numFmtId="178" fontId="36" fillId="0" borderId="1" xfId="0" applyNumberFormat="1" applyFont="1" applyBorder="1"/>
    <xf numFmtId="0" fontId="87" fillId="53" borderId="0" xfId="0" applyFont="1" applyFill="1" applyAlignment="1">
      <alignment horizontal="center" vertical="center"/>
    </xf>
    <xf numFmtId="0" fontId="68" fillId="5" borderId="0" xfId="4" applyFont="1" applyAlignment="1">
      <alignment horizontal="center" vertical="center"/>
    </xf>
    <xf numFmtId="0" fontId="68" fillId="5" borderId="17" xfId="4" applyFont="1" applyBorder="1" applyAlignment="1">
      <alignment horizontal="center" vertical="center" wrapText="1"/>
    </xf>
    <xf numFmtId="0" fontId="2" fillId="9" borderId="81" xfId="8" applyBorder="1"/>
    <xf numFmtId="0" fontId="92" fillId="0" borderId="0" xfId="0" applyFont="1"/>
    <xf numFmtId="165" fontId="36" fillId="0" borderId="3" xfId="9" applyNumberFormat="1" applyFont="1" applyBorder="1" applyAlignment="1">
      <alignment horizontal="right"/>
    </xf>
    <xf numFmtId="0" fontId="68" fillId="0" borderId="81" xfId="0" applyFont="1" applyBorder="1" applyAlignment="1">
      <alignment horizontal="center" vertical="center" wrapText="1"/>
    </xf>
    <xf numFmtId="2" fontId="18" fillId="0" borderId="81" xfId="0" applyNumberFormat="1" applyFont="1" applyBorder="1"/>
    <xf numFmtId="9" fontId="18" fillId="0" borderId="81" xfId="9" applyFont="1" applyBorder="1"/>
    <xf numFmtId="0" fontId="36" fillId="47" borderId="81" xfId="0" applyFont="1" applyFill="1" applyBorder="1" applyAlignment="1">
      <alignment horizontal="center" vertical="center" wrapText="1"/>
    </xf>
    <xf numFmtId="166" fontId="15" fillId="38" borderId="27" xfId="0" applyNumberFormat="1" applyFont="1" applyFill="1" applyBorder="1" applyAlignment="1">
      <alignment horizontal="center" vertical="center"/>
    </xf>
    <xf numFmtId="165" fontId="36" fillId="0" borderId="12" xfId="9" applyNumberFormat="1" applyFont="1" applyBorder="1" applyAlignment="1">
      <alignment horizontal="right"/>
    </xf>
    <xf numFmtId="9" fontId="18" fillId="0" borderId="81" xfId="9" applyFont="1" applyBorder="1" applyAlignment="1">
      <alignment horizontal="right"/>
    </xf>
    <xf numFmtId="0" fontId="14" fillId="9" borderId="81" xfId="8" applyFont="1" applyBorder="1" applyAlignment="1">
      <alignment horizontal="center" vertical="center" wrapText="1"/>
    </xf>
    <xf numFmtId="3" fontId="68" fillId="0" borderId="1" xfId="0" applyNumberFormat="1" applyFont="1" applyBorder="1" applyAlignment="1">
      <alignment horizontal="center" vertical="center"/>
    </xf>
    <xf numFmtId="0" fontId="14" fillId="9" borderId="1" xfId="8" applyFont="1" applyBorder="1" applyAlignment="1">
      <alignment horizontal="center" vertical="center" wrapText="1"/>
    </xf>
    <xf numFmtId="0" fontId="68" fillId="0" borderId="0" xfId="0" applyFont="1" applyAlignment="1">
      <alignment horizontal="center" vertical="center"/>
    </xf>
    <xf numFmtId="0" fontId="44" fillId="23" borderId="0" xfId="0" applyFont="1" applyFill="1"/>
    <xf numFmtId="0" fontId="4" fillId="23" borderId="0" xfId="0" applyFont="1" applyFill="1"/>
    <xf numFmtId="0" fontId="0" fillId="23" borderId="0" xfId="0" applyFill="1"/>
    <xf numFmtId="0" fontId="4" fillId="23" borderId="0" xfId="0" applyFont="1" applyFill="1" applyAlignment="1">
      <alignment horizontal="center"/>
    </xf>
    <xf numFmtId="11" fontId="4" fillId="0" borderId="0" xfId="0" applyNumberFormat="1" applyFont="1"/>
    <xf numFmtId="2" fontId="4" fillId="0" borderId="0" xfId="0" applyNumberFormat="1" applyFont="1"/>
    <xf numFmtId="0" fontId="0" fillId="0" borderId="81" xfId="0" applyBorder="1" applyAlignment="1">
      <alignment horizontal="center" vertical="center"/>
    </xf>
    <xf numFmtId="3" fontId="68" fillId="0" borderId="81" xfId="0" applyNumberFormat="1" applyFont="1" applyBorder="1" applyAlignment="1">
      <alignment horizontal="center" vertical="center"/>
    </xf>
    <xf numFmtId="2" fontId="2" fillId="4" borderId="12" xfId="3" applyNumberFormat="1" applyBorder="1"/>
    <xf numFmtId="0" fontId="4" fillId="55" borderId="69" xfId="0" applyFont="1" applyFill="1" applyBorder="1" applyAlignment="1">
      <alignment vertical="center" wrapText="1"/>
    </xf>
    <xf numFmtId="0" fontId="4" fillId="56" borderId="69" xfId="0" applyFont="1" applyFill="1" applyBorder="1" applyAlignment="1">
      <alignment vertical="center" wrapText="1"/>
    </xf>
    <xf numFmtId="0" fontId="4" fillId="57" borderId="74" xfId="0" applyFont="1" applyFill="1" applyBorder="1" applyAlignment="1">
      <alignment vertical="center" wrapText="1"/>
    </xf>
    <xf numFmtId="0" fontId="86" fillId="58" borderId="69" xfId="0" applyFont="1" applyFill="1" applyBorder="1" applyAlignment="1">
      <alignment vertical="center" wrapText="1"/>
    </xf>
    <xf numFmtId="0" fontId="86" fillId="59" borderId="69" xfId="0" applyFont="1" applyFill="1" applyBorder="1" applyAlignment="1">
      <alignment vertical="center" wrapText="1"/>
    </xf>
    <xf numFmtId="0" fontId="4" fillId="57" borderId="69" xfId="0" applyFont="1" applyFill="1" applyBorder="1" applyAlignment="1">
      <alignment vertical="center" wrapText="1"/>
    </xf>
    <xf numFmtId="0" fontId="86" fillId="58" borderId="69" xfId="0" applyFont="1" applyFill="1" applyBorder="1" applyAlignment="1">
      <alignment wrapText="1"/>
    </xf>
    <xf numFmtId="0" fontId="89" fillId="55" borderId="69" xfId="0" applyFont="1" applyFill="1" applyBorder="1" applyAlignment="1">
      <alignment vertical="center" wrapText="1"/>
    </xf>
    <xf numFmtId="0" fontId="86" fillId="58" borderId="74" xfId="0" applyFont="1" applyFill="1" applyBorder="1" applyAlignment="1">
      <alignment vertical="center" wrapText="1"/>
    </xf>
    <xf numFmtId="3" fontId="68" fillId="0" borderId="0" xfId="0" applyNumberFormat="1" applyFont="1" applyAlignment="1">
      <alignment horizontal="center" vertical="center"/>
    </xf>
    <xf numFmtId="0" fontId="14" fillId="9" borderId="5" xfId="8" applyFont="1" applyBorder="1" applyAlignment="1">
      <alignment horizontal="center" vertical="center" wrapText="1"/>
    </xf>
    <xf numFmtId="3" fontId="68" fillId="0" borderId="4" xfId="0" applyNumberFormat="1" applyFont="1" applyBorder="1" applyAlignment="1">
      <alignment horizontal="center" vertical="center"/>
    </xf>
    <xf numFmtId="3" fontId="68" fillId="0" borderId="6" xfId="0" applyNumberFormat="1" applyFont="1" applyBorder="1" applyAlignment="1">
      <alignment horizontal="center" vertical="center"/>
    </xf>
    <xf numFmtId="0" fontId="4" fillId="56" borderId="68" xfId="0" applyFont="1" applyFill="1" applyBorder="1" applyAlignment="1">
      <alignment vertical="center" wrapText="1"/>
    </xf>
    <xf numFmtId="0" fontId="4" fillId="55" borderId="81" xfId="0" applyFont="1" applyFill="1" applyBorder="1" applyAlignment="1">
      <alignment vertical="center" wrapText="1"/>
    </xf>
    <xf numFmtId="0" fontId="0" fillId="0" borderId="3" xfId="0" applyBorder="1" applyAlignment="1">
      <alignment horizontal="center" vertical="center"/>
    </xf>
    <xf numFmtId="0" fontId="14" fillId="9" borderId="4" xfId="8" applyFont="1" applyBorder="1" applyAlignment="1">
      <alignment horizontal="center" vertical="center" wrapText="1"/>
    </xf>
    <xf numFmtId="3" fontId="68" fillId="0" borderId="12" xfId="0" applyNumberFormat="1" applyFont="1" applyBorder="1" applyAlignment="1">
      <alignment horizontal="center" vertical="center"/>
    </xf>
    <xf numFmtId="0" fontId="2" fillId="9" borderId="81" xfId="8" applyBorder="1" applyAlignment="1">
      <alignment horizontal="left" vertical="center" wrapText="1" indent="1"/>
    </xf>
    <xf numFmtId="3" fontId="4" fillId="0" borderId="81" xfId="0" applyNumberFormat="1" applyFont="1" applyBorder="1" applyAlignment="1">
      <alignment horizontal="center" vertical="center"/>
    </xf>
    <xf numFmtId="3" fontId="4" fillId="0" borderId="81" xfId="0" applyNumberFormat="1" applyFont="1" applyBorder="1"/>
    <xf numFmtId="3" fontId="4" fillId="0" borderId="0" xfId="0" applyNumberFormat="1" applyFont="1"/>
    <xf numFmtId="0" fontId="68" fillId="10" borderId="81" xfId="11" applyFont="1" applyBorder="1" applyAlignment="1">
      <alignment horizontal="center" vertical="center" wrapText="1"/>
    </xf>
    <xf numFmtId="0" fontId="68" fillId="43" borderId="81" xfId="24" applyFont="1" applyBorder="1" applyAlignment="1">
      <alignment horizontal="center" vertical="center" wrapText="1"/>
    </xf>
    <xf numFmtId="3" fontId="0" fillId="0" borderId="0" xfId="0" applyNumberFormat="1" applyAlignment="1">
      <alignment horizontal="center" vertical="center"/>
    </xf>
    <xf numFmtId="0" fontId="93" fillId="0" borderId="0" xfId="0" applyFont="1" applyAlignment="1">
      <alignment horizontal="center" vertical="center"/>
    </xf>
    <xf numFmtId="0" fontId="93" fillId="0" borderId="0" xfId="0" applyFont="1"/>
    <xf numFmtId="0" fontId="93" fillId="17" borderId="0" xfId="0" applyFont="1" applyFill="1"/>
    <xf numFmtId="0" fontId="68" fillId="5" borderId="81" xfId="4" applyFont="1" applyBorder="1" applyAlignment="1">
      <alignment horizontal="center" vertical="center" wrapText="1"/>
    </xf>
    <xf numFmtId="167" fontId="0" fillId="0" borderId="0" xfId="0" applyNumberFormat="1" applyAlignment="1">
      <alignment horizontal="center" vertical="center"/>
    </xf>
    <xf numFmtId="0" fontId="14" fillId="16" borderId="20" xfId="0" applyFont="1" applyFill="1" applyBorder="1" applyAlignment="1">
      <alignment horizontal="center" vertical="top" wrapText="1"/>
    </xf>
    <xf numFmtId="0" fontId="2" fillId="9" borderId="20" xfId="8" applyBorder="1" applyAlignment="1">
      <alignment horizontal="center" vertical="center" wrapText="1"/>
    </xf>
    <xf numFmtId="0" fontId="2" fillId="9" borderId="24" xfId="8" applyBorder="1" applyAlignment="1">
      <alignment horizontal="center" vertical="center" wrapText="1"/>
    </xf>
    <xf numFmtId="0" fontId="14" fillId="16" borderId="20" xfId="0" applyFont="1" applyFill="1" applyBorder="1" applyAlignment="1">
      <alignment horizontal="center" vertical="center" wrapText="1"/>
    </xf>
    <xf numFmtId="0" fontId="14" fillId="16" borderId="81" xfId="0" applyFont="1" applyFill="1" applyBorder="1" applyAlignment="1">
      <alignment horizontal="center" vertical="top" wrapText="1"/>
    </xf>
    <xf numFmtId="0" fontId="2" fillId="9" borderId="81" xfId="8" applyBorder="1" applyAlignment="1">
      <alignment horizontal="center" vertical="center" wrapText="1"/>
    </xf>
    <xf numFmtId="0" fontId="14" fillId="16" borderId="81" xfId="0" applyFont="1" applyFill="1" applyBorder="1" applyAlignment="1">
      <alignment horizontal="center" vertical="center" wrapText="1"/>
    </xf>
    <xf numFmtId="4" fontId="68" fillId="0" borderId="81" xfId="0" applyNumberFormat="1" applyFont="1" applyBorder="1" applyAlignment="1">
      <alignment horizontal="center" vertical="center"/>
    </xf>
    <xf numFmtId="167" fontId="68" fillId="0" borderId="81" xfId="0" applyNumberFormat="1" applyFont="1" applyBorder="1" applyAlignment="1">
      <alignment horizontal="center" vertical="center"/>
    </xf>
    <xf numFmtId="178" fontId="94" fillId="0" borderId="0" xfId="0" applyNumberFormat="1" applyFont="1"/>
    <xf numFmtId="9" fontId="36" fillId="0" borderId="81" xfId="9" applyFont="1" applyBorder="1"/>
    <xf numFmtId="178" fontId="0" fillId="0" borderId="81" xfId="0" applyNumberFormat="1" applyBorder="1" applyAlignment="1">
      <alignment horizontal="center" vertical="center"/>
    </xf>
    <xf numFmtId="178" fontId="36" fillId="0" borderId="81" xfId="0" applyNumberFormat="1" applyFont="1" applyBorder="1" applyAlignment="1">
      <alignment horizontal="center" vertical="center"/>
    </xf>
    <xf numFmtId="9" fontId="18" fillId="0" borderId="81" xfId="9" applyFont="1" applyBorder="1" applyAlignment="1">
      <alignment horizontal="center" vertical="center"/>
    </xf>
    <xf numFmtId="2" fontId="5" fillId="0" borderId="81" xfId="0" applyNumberFormat="1" applyFont="1" applyBorder="1"/>
    <xf numFmtId="2" fontId="36" fillId="0" borderId="81" xfId="0" applyNumberFormat="1" applyFont="1" applyBorder="1"/>
    <xf numFmtId="0" fontId="86" fillId="53" borderId="0" xfId="0" applyFont="1" applyFill="1"/>
    <xf numFmtId="10" fontId="0" fillId="0" borderId="0" xfId="0" applyNumberFormat="1"/>
    <xf numFmtId="9" fontId="88" fillId="0" borderId="0" xfId="0" applyNumberFormat="1" applyFont="1"/>
    <xf numFmtId="165" fontId="36" fillId="0" borderId="81" xfId="9" applyNumberFormat="1" applyFont="1" applyBorder="1" applyAlignment="1">
      <alignment horizontal="right"/>
    </xf>
    <xf numFmtId="9" fontId="36" fillId="0" borderId="81" xfId="9" applyFont="1" applyBorder="1" applyAlignment="1">
      <alignment horizontal="right"/>
    </xf>
    <xf numFmtId="165" fontId="18" fillId="0" borderId="81" xfId="9" applyNumberFormat="1" applyFont="1" applyBorder="1" applyAlignment="1">
      <alignment horizontal="right"/>
    </xf>
    <xf numFmtId="0" fontId="2" fillId="4" borderId="4" xfId="30" applyBorder="1" applyAlignment="1">
      <alignment horizontal="left" wrapText="1"/>
    </xf>
    <xf numFmtId="0" fontId="2" fillId="4" borderId="4" xfId="30" applyBorder="1" applyAlignment="1">
      <alignment wrapText="1"/>
    </xf>
    <xf numFmtId="0" fontId="68" fillId="16" borderId="81" xfId="0" applyFont="1" applyFill="1" applyBorder="1" applyAlignment="1">
      <alignment horizontal="center" vertical="center" wrapText="1"/>
    </xf>
    <xf numFmtId="0" fontId="68" fillId="16" borderId="21" xfId="0" applyFont="1" applyFill="1" applyBorder="1" applyAlignment="1">
      <alignment horizontal="center" vertical="center" wrapText="1"/>
    </xf>
    <xf numFmtId="0" fontId="2" fillId="4" borderId="4" xfId="3" applyBorder="1" applyAlignment="1">
      <alignment wrapText="1"/>
    </xf>
    <xf numFmtId="0" fontId="0" fillId="0" borderId="0" xfId="0" applyAlignment="1">
      <alignment vertical="center" wrapText="1"/>
    </xf>
    <xf numFmtId="0" fontId="36" fillId="27" borderId="81" xfId="0" applyFont="1" applyFill="1" applyBorder="1" applyAlignment="1">
      <alignment horizontal="center" vertical="center" wrapText="1"/>
    </xf>
    <xf numFmtId="0" fontId="36" fillId="16" borderId="81" xfId="0" applyFont="1" applyFill="1" applyBorder="1" applyAlignment="1">
      <alignment horizontal="center" vertical="center" wrapText="1"/>
    </xf>
    <xf numFmtId="9" fontId="15" fillId="38" borderId="27" xfId="9" applyFont="1" applyFill="1" applyBorder="1" applyAlignment="1">
      <alignment horizontal="center" vertical="center"/>
    </xf>
    <xf numFmtId="165" fontId="15" fillId="38" borderId="27" xfId="9" applyNumberFormat="1" applyFont="1" applyFill="1" applyBorder="1" applyAlignment="1">
      <alignment horizontal="center" vertical="center"/>
    </xf>
    <xf numFmtId="9" fontId="18" fillId="0" borderId="12" xfId="9" applyFont="1" applyBorder="1" applyAlignment="1">
      <alignment horizontal="center" vertical="center"/>
    </xf>
    <xf numFmtId="0" fontId="2" fillId="9" borderId="81" xfId="8" applyBorder="1" applyAlignment="1">
      <alignment horizontal="center" vertical="center"/>
    </xf>
    <xf numFmtId="0" fontId="0" fillId="0" borderId="81" xfId="0" applyBorder="1"/>
    <xf numFmtId="0" fontId="68" fillId="0" borderId="3" xfId="0" applyFont="1" applyBorder="1" applyAlignment="1">
      <alignment horizontal="center" vertical="center"/>
    </xf>
    <xf numFmtId="0" fontId="2" fillId="5" borderId="52" xfId="4" applyBorder="1" applyAlignment="1">
      <alignment horizontal="center" vertical="center" wrapText="1"/>
    </xf>
    <xf numFmtId="4" fontId="0" fillId="0" borderId="0" xfId="0" applyNumberFormat="1" applyAlignment="1">
      <alignment horizontal="center" vertical="center"/>
    </xf>
    <xf numFmtId="168" fontId="0" fillId="0" borderId="0" xfId="0" applyNumberFormat="1" applyAlignment="1">
      <alignment horizontal="center" vertical="center"/>
    </xf>
    <xf numFmtId="0" fontId="68" fillId="0" borderId="12" xfId="0" applyFont="1" applyBorder="1" applyAlignment="1">
      <alignment horizontal="center" vertical="center" wrapText="1"/>
    </xf>
    <xf numFmtId="0" fontId="68" fillId="0" borderId="6" xfId="0" applyFont="1" applyBorder="1" applyAlignment="1">
      <alignment horizontal="center" vertical="center"/>
    </xf>
    <xf numFmtId="0" fontId="2" fillId="4" borderId="0" xfId="30" applyBorder="1" applyAlignment="1">
      <alignment horizontal="center" vertical="center" wrapText="1"/>
    </xf>
    <xf numFmtId="9" fontId="18" fillId="0" borderId="0" xfId="9" applyFont="1" applyBorder="1" applyAlignment="1">
      <alignment horizontal="center" vertical="center"/>
    </xf>
    <xf numFmtId="186" fontId="2" fillId="4" borderId="16" xfId="3" applyNumberFormat="1" applyBorder="1" applyAlignment="1">
      <alignment horizontal="center" vertical="center"/>
    </xf>
    <xf numFmtId="0" fontId="71" fillId="17" borderId="18" xfId="0" applyFont="1" applyFill="1" applyBorder="1" applyAlignment="1">
      <alignment horizontal="left" vertical="center" indent="1"/>
    </xf>
    <xf numFmtId="0" fontId="5" fillId="5" borderId="81" xfId="4" applyFont="1" applyBorder="1" applyAlignment="1">
      <alignment horizontal="center" vertical="center"/>
    </xf>
    <xf numFmtId="0" fontId="36" fillId="5" borderId="81" xfId="4" applyFont="1" applyBorder="1" applyAlignment="1">
      <alignment horizontal="center" vertical="center" wrapText="1"/>
    </xf>
    <xf numFmtId="182" fontId="18" fillId="0" borderId="81" xfId="0" applyNumberFormat="1" applyFont="1" applyBorder="1"/>
    <xf numFmtId="178" fontId="95" fillId="0" borderId="81" xfId="0" applyNumberFormat="1" applyFont="1" applyBorder="1"/>
    <xf numFmtId="0" fontId="13" fillId="16" borderId="1" xfId="0" applyFont="1" applyFill="1" applyBorder="1" applyAlignment="1">
      <alignment vertical="center"/>
    </xf>
    <xf numFmtId="2" fontId="36" fillId="0" borderId="81" xfId="0" applyNumberFormat="1" applyFont="1" applyBorder="1" applyAlignment="1">
      <alignment vertical="center"/>
    </xf>
    <xf numFmtId="165" fontId="36" fillId="0" borderId="6" xfId="9" applyNumberFormat="1" applyFont="1" applyBorder="1" applyAlignment="1">
      <alignment horizontal="right"/>
    </xf>
    <xf numFmtId="0" fontId="68" fillId="16" borderId="3" xfId="0" applyFont="1" applyFill="1" applyBorder="1" applyAlignment="1">
      <alignment horizontal="center" vertical="center" wrapText="1"/>
    </xf>
    <xf numFmtId="0" fontId="18" fillId="0" borderId="81" xfId="0" applyFont="1" applyBorder="1"/>
    <xf numFmtId="10" fontId="18" fillId="0" borderId="81" xfId="9" applyNumberFormat="1" applyFont="1" applyBorder="1"/>
    <xf numFmtId="187" fontId="0" fillId="0" borderId="0" xfId="0" applyNumberFormat="1"/>
    <xf numFmtId="0" fontId="2" fillId="31" borderId="81" xfId="21" applyBorder="1"/>
    <xf numFmtId="182" fontId="2" fillId="31" borderId="81" xfId="21" applyNumberFormat="1" applyBorder="1"/>
    <xf numFmtId="0" fontId="2" fillId="31" borderId="0" xfId="21"/>
    <xf numFmtId="0" fontId="2" fillId="32" borderId="81" xfId="10" applyBorder="1"/>
    <xf numFmtId="182" fontId="2" fillId="32" borderId="81" xfId="10" applyNumberFormat="1" applyBorder="1"/>
    <xf numFmtId="10" fontId="18" fillId="0" borderId="0" xfId="9" applyNumberFormat="1" applyFont="1" applyBorder="1"/>
    <xf numFmtId="182" fontId="18" fillId="0" borderId="0" xfId="0" applyNumberFormat="1" applyFont="1"/>
    <xf numFmtId="0" fontId="0" fillId="0" borderId="81" xfId="0" applyBorder="1" applyAlignment="1">
      <alignment horizontal="center"/>
    </xf>
    <xf numFmtId="0" fontId="2" fillId="4" borderId="81" xfId="3" applyBorder="1" applyAlignment="1">
      <alignment horizontal="center" vertical="top" wrapText="1"/>
    </xf>
    <xf numFmtId="0" fontId="2" fillId="4" borderId="81" xfId="3" applyBorder="1" applyAlignment="1">
      <alignment horizontal="center" vertical="top"/>
    </xf>
    <xf numFmtId="166" fontId="12" fillId="15" borderId="81" xfId="18" applyNumberFormat="1" applyFont="1" applyBorder="1" applyAlignment="1">
      <alignment horizontal="center" vertical="center"/>
    </xf>
    <xf numFmtId="9" fontId="12" fillId="15" borderId="81" xfId="9" applyFont="1" applyFill="1" applyBorder="1" applyAlignment="1">
      <alignment horizontal="center" vertical="center"/>
    </xf>
    <xf numFmtId="165" fontId="12" fillId="15" borderId="81" xfId="9" applyNumberFormat="1" applyFont="1" applyFill="1" applyBorder="1" applyAlignment="1">
      <alignment horizontal="center" vertical="center"/>
    </xf>
    <xf numFmtId="166" fontId="68" fillId="0" borderId="81" xfId="0" applyNumberFormat="1" applyFont="1" applyBorder="1" applyAlignment="1">
      <alignment horizontal="center" vertical="center"/>
    </xf>
    <xf numFmtId="173" fontId="12" fillId="15" borderId="81" xfId="18" applyNumberFormat="1" applyFont="1" applyBorder="1" applyAlignment="1">
      <alignment horizontal="center" vertical="center"/>
    </xf>
    <xf numFmtId="184" fontId="5" fillId="0" borderId="0" xfId="0" applyNumberFormat="1" applyFont="1"/>
    <xf numFmtId="171" fontId="0" fillId="0" borderId="0" xfId="0" applyNumberFormat="1"/>
    <xf numFmtId="165" fontId="36" fillId="0" borderId="81" xfId="9" applyNumberFormat="1" applyFont="1" applyBorder="1" applyAlignment="1">
      <alignment horizontal="center"/>
    </xf>
    <xf numFmtId="165" fontId="36" fillId="0" borderId="81" xfId="9" applyNumberFormat="1" applyFont="1" applyBorder="1" applyAlignment="1">
      <alignment horizontal="center" vertical="center"/>
    </xf>
    <xf numFmtId="2" fontId="12" fillId="15" borderId="81" xfId="9" applyNumberFormat="1" applyFont="1" applyFill="1" applyBorder="1" applyAlignment="1">
      <alignment horizontal="center" vertical="center"/>
    </xf>
    <xf numFmtId="178" fontId="18" fillId="0" borderId="81" xfId="0" applyNumberFormat="1" applyFont="1" applyBorder="1"/>
    <xf numFmtId="178" fontId="0" fillId="0" borderId="1" xfId="0" applyNumberFormat="1" applyBorder="1" applyAlignment="1">
      <alignment vertical="center"/>
    </xf>
    <xf numFmtId="178" fontId="0" fillId="0" borderId="81" xfId="0" applyNumberFormat="1" applyBorder="1" applyAlignment="1">
      <alignment vertical="center"/>
    </xf>
    <xf numFmtId="178" fontId="2" fillId="4" borderId="81" xfId="3" applyNumberFormat="1" applyBorder="1" applyAlignment="1">
      <alignment wrapText="1"/>
    </xf>
    <xf numFmtId="178" fontId="95" fillId="0" borderId="0" xfId="0" applyNumberFormat="1" applyFont="1" applyAlignment="1">
      <alignment vertical="center"/>
    </xf>
    <xf numFmtId="178" fontId="36" fillId="0" borderId="81" xfId="0" applyNumberFormat="1" applyFont="1" applyBorder="1" applyAlignment="1">
      <alignment vertical="center"/>
    </xf>
    <xf numFmtId="178" fontId="5" fillId="0" borderId="81" xfId="0" applyNumberFormat="1" applyFont="1" applyBorder="1" applyAlignment="1">
      <alignment horizontal="center" vertical="center"/>
    </xf>
    <xf numFmtId="178" fontId="5" fillId="0" borderId="81" xfId="0" applyNumberFormat="1" applyFont="1" applyBorder="1"/>
    <xf numFmtId="178" fontId="5" fillId="0" borderId="1" xfId="0" applyNumberFormat="1" applyFont="1" applyBorder="1" applyAlignment="1">
      <alignment vertical="center"/>
    </xf>
    <xf numFmtId="178" fontId="5" fillId="0" borderId="81" xfId="0" applyNumberFormat="1" applyFont="1" applyBorder="1" applyAlignment="1">
      <alignment vertical="center"/>
    </xf>
    <xf numFmtId="178" fontId="5" fillId="0" borderId="1" xfId="0" applyNumberFormat="1" applyFont="1" applyBorder="1" applyAlignment="1">
      <alignment horizontal="center" vertical="center"/>
    </xf>
    <xf numFmtId="178" fontId="36" fillId="0" borderId="81" xfId="0" applyNumberFormat="1" applyFont="1" applyBorder="1"/>
    <xf numFmtId="178" fontId="36" fillId="0" borderId="1" xfId="0" applyNumberFormat="1" applyFont="1" applyBorder="1" applyAlignment="1">
      <alignment vertical="center"/>
    </xf>
    <xf numFmtId="178" fontId="1" fillId="0" borderId="81" xfId="0" applyNumberFormat="1" applyFont="1" applyBorder="1" applyAlignment="1">
      <alignment vertical="center"/>
    </xf>
    <xf numFmtId="164" fontId="36" fillId="0" borderId="81" xfId="0" applyNumberFormat="1" applyFont="1" applyBorder="1" applyAlignment="1">
      <alignment vertical="center"/>
    </xf>
    <xf numFmtId="0" fontId="71" fillId="17" borderId="36" xfId="0" applyFont="1" applyFill="1" applyBorder="1" applyAlignment="1">
      <alignment horizontal="left" vertical="center" indent="1"/>
    </xf>
    <xf numFmtId="0" fontId="71" fillId="17" borderId="19" xfId="0" applyFont="1" applyFill="1" applyBorder="1" applyAlignment="1">
      <alignment horizontal="left" vertical="center" indent="1"/>
    </xf>
    <xf numFmtId="9" fontId="0" fillId="0" borderId="81" xfId="9" applyFont="1" applyBorder="1"/>
    <xf numFmtId="9" fontId="5" fillId="0" borderId="81" xfId="9" applyFont="1" applyBorder="1"/>
    <xf numFmtId="9" fontId="5" fillId="0" borderId="81" xfId="0" applyNumberFormat="1" applyFont="1" applyBorder="1"/>
    <xf numFmtId="165" fontId="5" fillId="0" borderId="81" xfId="9" applyNumberFormat="1" applyFont="1" applyBorder="1"/>
    <xf numFmtId="0" fontId="5" fillId="0" borderId="81" xfId="0" applyFont="1" applyBorder="1"/>
    <xf numFmtId="166" fontId="68" fillId="0" borderId="5" xfId="0" applyNumberFormat="1" applyFont="1" applyBorder="1" applyAlignment="1">
      <alignment horizontal="center" vertical="center"/>
    </xf>
    <xf numFmtId="0" fontId="18" fillId="0" borderId="81" xfId="0" applyFont="1" applyBorder="1" applyAlignment="1">
      <alignment horizontal="center" vertical="center"/>
    </xf>
    <xf numFmtId="166" fontId="18" fillId="29" borderId="81" xfId="19" applyNumberFormat="1" applyFont="1" applyBorder="1" applyAlignment="1">
      <alignment horizontal="center" vertical="center"/>
    </xf>
    <xf numFmtId="178" fontId="18" fillId="29" borderId="81" xfId="19" applyNumberFormat="1" applyFont="1" applyBorder="1" applyAlignment="1">
      <alignment horizontal="center" vertical="center"/>
    </xf>
    <xf numFmtId="9" fontId="5" fillId="0" borderId="81" xfId="9" applyFont="1" applyBorder="1" applyAlignment="1">
      <alignment horizontal="center" vertical="center"/>
    </xf>
    <xf numFmtId="9" fontId="5" fillId="0" borderId="0" xfId="9" applyFont="1" applyAlignment="1">
      <alignment horizontal="center" vertical="center"/>
    </xf>
    <xf numFmtId="9" fontId="5" fillId="0" borderId="1" xfId="9" applyFont="1" applyBorder="1" applyAlignment="1">
      <alignment horizontal="center" vertical="center"/>
    </xf>
    <xf numFmtId="164" fontId="5" fillId="0" borderId="3" xfId="0" applyNumberFormat="1" applyFont="1" applyBorder="1" applyAlignment="1">
      <alignment horizontal="center" vertical="center"/>
    </xf>
    <xf numFmtId="0" fontId="68" fillId="0" borderId="81" xfId="0" applyFont="1" applyBorder="1" applyAlignment="1">
      <alignment horizontal="center" vertical="center"/>
    </xf>
    <xf numFmtId="2" fontId="36" fillId="0" borderId="81" xfId="0" quotePrefix="1" applyNumberFormat="1" applyFont="1" applyBorder="1" applyAlignment="1">
      <alignment vertical="center"/>
    </xf>
    <xf numFmtId="165" fontId="5" fillId="0" borderId="81" xfId="16" applyNumberFormat="1" applyFont="1" applyFill="1" applyBorder="1"/>
    <xf numFmtId="165" fontId="5" fillId="0" borderId="81" xfId="0" applyNumberFormat="1" applyFont="1" applyBorder="1"/>
    <xf numFmtId="0" fontId="0" fillId="0" borderId="81" xfId="0" applyBorder="1" applyAlignment="1">
      <alignment horizontal="right" wrapText="1"/>
    </xf>
    <xf numFmtId="0" fontId="5" fillId="4" borderId="83" xfId="3" applyFont="1" applyBorder="1" applyAlignment="1">
      <alignment vertical="center"/>
    </xf>
    <xf numFmtId="0" fontId="5" fillId="4" borderId="84" xfId="3" applyFont="1" applyBorder="1" applyAlignment="1">
      <alignment vertical="center"/>
    </xf>
    <xf numFmtId="0" fontId="0" fillId="0" borderId="70" xfId="0" applyBorder="1" applyAlignment="1">
      <alignment horizontal="left"/>
    </xf>
    <xf numFmtId="0" fontId="0" fillId="0" borderId="71" xfId="0" applyBorder="1" applyAlignment="1">
      <alignment horizontal="center" vertical="center"/>
    </xf>
    <xf numFmtId="0" fontId="0" fillId="0" borderId="66" xfId="0" applyBorder="1" applyAlignment="1">
      <alignment horizontal="center" vertical="center"/>
    </xf>
    <xf numFmtId="0" fontId="0" fillId="0" borderId="78" xfId="0" applyBorder="1" applyAlignment="1">
      <alignment horizontal="center" vertical="center"/>
    </xf>
    <xf numFmtId="165" fontId="18" fillId="0" borderId="1" xfId="9" applyNumberFormat="1" applyFont="1" applyBorder="1" applyAlignment="1">
      <alignment horizontal="center" vertical="center"/>
    </xf>
    <xf numFmtId="0" fontId="0" fillId="0" borderId="81" xfId="0" applyBorder="1" applyAlignment="1">
      <alignment vertical="center"/>
    </xf>
    <xf numFmtId="178" fontId="0" fillId="0" borderId="78" xfId="0" applyNumberFormat="1" applyBorder="1"/>
    <xf numFmtId="178" fontId="0" fillId="0" borderId="75" xfId="0" applyNumberFormat="1" applyBorder="1"/>
    <xf numFmtId="178" fontId="0" fillId="0" borderId="72" xfId="0" applyNumberFormat="1" applyBorder="1"/>
    <xf numFmtId="0" fontId="0" fillId="0" borderId="11" xfId="0" applyBorder="1" applyAlignment="1">
      <alignment horizontal="left"/>
    </xf>
    <xf numFmtId="0" fontId="0" fillId="0" borderId="10" xfId="0" applyBorder="1" applyAlignment="1">
      <alignment horizontal="left"/>
    </xf>
    <xf numFmtId="0" fontId="0" fillId="0" borderId="15" xfId="0" applyBorder="1" applyAlignment="1">
      <alignment horizontal="left"/>
    </xf>
    <xf numFmtId="0" fontId="0" fillId="0" borderId="13" xfId="0" applyBorder="1" applyAlignment="1">
      <alignment horizontal="left"/>
    </xf>
    <xf numFmtId="0" fontId="0" fillId="0" borderId="9" xfId="0" applyBorder="1" applyAlignment="1">
      <alignment horizontal="center"/>
    </xf>
    <xf numFmtId="0" fontId="0" fillId="0" borderId="11"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0" fontId="0" fillId="0" borderId="13" xfId="0" applyBorder="1"/>
    <xf numFmtId="0" fontId="0" fillId="0" borderId="6"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5" xfId="0" applyBorder="1" applyAlignment="1">
      <alignment horizontal="center" vertical="center"/>
    </xf>
    <xf numFmtId="0" fontId="2" fillId="60" borderId="69" xfId="33" applyBorder="1" applyAlignment="1">
      <alignment horizontal="center"/>
    </xf>
    <xf numFmtId="0" fontId="2" fillId="60" borderId="69" xfId="33" applyBorder="1" applyAlignment="1">
      <alignment horizontal="center" vertical="center"/>
    </xf>
    <xf numFmtId="0" fontId="2" fillId="60" borderId="71" xfId="33" applyBorder="1" applyAlignment="1">
      <alignment horizontal="center" vertical="center"/>
    </xf>
    <xf numFmtId="0" fontId="2" fillId="60" borderId="72" xfId="33" applyBorder="1" applyAlignment="1">
      <alignment horizontal="center" vertical="center"/>
    </xf>
    <xf numFmtId="0" fontId="0" fillId="0" borderId="68" xfId="0" applyBorder="1"/>
    <xf numFmtId="0" fontId="0" fillId="0" borderId="70" xfId="0" applyBorder="1"/>
    <xf numFmtId="0" fontId="0" fillId="0" borderId="80" xfId="0" applyBorder="1"/>
    <xf numFmtId="0" fontId="18" fillId="4" borderId="81" xfId="3" applyFont="1" applyBorder="1" applyAlignment="1">
      <alignment horizontal="center" vertical="center" wrapText="1"/>
    </xf>
    <xf numFmtId="0" fontId="2" fillId="9" borderId="13" xfId="8" applyBorder="1" applyAlignment="1">
      <alignment horizontal="center"/>
    </xf>
    <xf numFmtId="0" fontId="2" fillId="4" borderId="5" xfId="3" applyBorder="1" applyAlignment="1">
      <alignment horizontal="center" vertical="center"/>
    </xf>
    <xf numFmtId="0" fontId="2" fillId="4" borderId="4" xfId="3" applyBorder="1" applyAlignment="1">
      <alignment horizontal="center" vertical="center"/>
    </xf>
    <xf numFmtId="0" fontId="2" fillId="32" borderId="1" xfId="10" applyBorder="1" applyAlignment="1">
      <alignment horizontal="center" vertical="center"/>
    </xf>
    <xf numFmtId="0" fontId="2" fillId="32" borderId="1" xfId="10" applyBorder="1" applyAlignment="1">
      <alignment horizontal="center" vertical="center" wrapText="1"/>
    </xf>
    <xf numFmtId="0" fontId="2" fillId="6" borderId="1" xfId="5" applyBorder="1" applyAlignment="1">
      <alignment horizontal="center" vertical="center"/>
    </xf>
    <xf numFmtId="0" fontId="2" fillId="4" borderId="5" xfId="3" applyBorder="1" applyAlignment="1">
      <alignment horizontal="center" vertical="center" wrapText="1"/>
    </xf>
    <xf numFmtId="0" fontId="2" fillId="4" borderId="4" xfId="3" applyBorder="1" applyAlignment="1">
      <alignment horizontal="center" vertical="center" wrapText="1"/>
    </xf>
    <xf numFmtId="0" fontId="2" fillId="4" borderId="9" xfId="3" applyBorder="1" applyAlignment="1">
      <alignment horizontal="center" vertical="center"/>
    </xf>
    <xf numFmtId="0" fontId="2" fillId="4" borderId="8" xfId="3" applyBorder="1" applyAlignment="1">
      <alignment horizontal="center" vertical="center"/>
    </xf>
    <xf numFmtId="0" fontId="2" fillId="4" borderId="15" xfId="3" applyBorder="1" applyAlignment="1">
      <alignment horizontal="center" vertical="center"/>
    </xf>
    <xf numFmtId="0" fontId="2" fillId="4" borderId="14" xfId="3" applyBorder="1" applyAlignment="1">
      <alignment horizontal="center" vertical="center"/>
    </xf>
    <xf numFmtId="0" fontId="2" fillId="4" borderId="1" xfId="3" applyBorder="1" applyAlignment="1">
      <alignment horizontal="center" vertical="center"/>
    </xf>
    <xf numFmtId="0" fontId="2" fillId="6" borderId="1" xfId="5" applyBorder="1" applyAlignment="1">
      <alignment horizontal="center" vertical="center" wrapText="1"/>
    </xf>
    <xf numFmtId="0" fontId="0" fillId="0" borderId="0" xfId="0"/>
    <xf numFmtId="0" fontId="2" fillId="4" borderId="1" xfId="3" applyBorder="1" applyAlignment="1">
      <alignment horizontal="center" vertical="center" wrapText="1"/>
    </xf>
    <xf numFmtId="0" fontId="87" fillId="54" borderId="75" xfId="0" applyFont="1" applyFill="1" applyBorder="1" applyAlignment="1">
      <alignment horizontal="center" vertical="center"/>
    </xf>
    <xf numFmtId="0" fontId="87" fillId="54" borderId="76" xfId="0" applyFont="1" applyFill="1" applyBorder="1" applyAlignment="1">
      <alignment horizontal="center" vertical="center"/>
    </xf>
    <xf numFmtId="0" fontId="0" fillId="0" borderId="76" xfId="0" applyBorder="1" applyAlignment="1">
      <alignment horizontal="left"/>
    </xf>
    <xf numFmtId="0" fontId="0" fillId="0" borderId="75" xfId="0" applyBorder="1" applyAlignment="1">
      <alignment horizontal="left"/>
    </xf>
    <xf numFmtId="0" fontId="0" fillId="0" borderId="73" xfId="0" applyBorder="1" applyAlignment="1">
      <alignment horizontal="left"/>
    </xf>
    <xf numFmtId="0" fontId="0" fillId="0" borderId="74" xfId="0" applyBorder="1" applyAlignment="1">
      <alignment horizontal="left"/>
    </xf>
    <xf numFmtId="0" fontId="89" fillId="55" borderId="69" xfId="0" applyFont="1" applyFill="1" applyBorder="1" applyAlignment="1">
      <alignment horizontal="center" vertical="center" wrapText="1"/>
    </xf>
    <xf numFmtId="0" fontId="89" fillId="55" borderId="71" xfId="0" applyFont="1" applyFill="1" applyBorder="1" applyAlignment="1">
      <alignment horizontal="center" vertical="center" wrapText="1"/>
    </xf>
    <xf numFmtId="0" fontId="89" fillId="55" borderId="77" xfId="0" applyFont="1" applyFill="1" applyBorder="1" applyAlignment="1">
      <alignment horizontal="center" vertical="center" wrapText="1"/>
    </xf>
    <xf numFmtId="0" fontId="2" fillId="60" borderId="70" xfId="33" applyBorder="1" applyAlignment="1">
      <alignment horizontal="center"/>
    </xf>
    <xf numFmtId="0" fontId="2" fillId="60" borderId="71" xfId="33" applyBorder="1" applyAlignment="1">
      <alignment horizontal="center"/>
    </xf>
    <xf numFmtId="0" fontId="2" fillId="60" borderId="72" xfId="33" applyBorder="1" applyAlignment="1">
      <alignment horizontal="center"/>
    </xf>
    <xf numFmtId="0" fontId="0" fillId="0" borderId="79" xfId="0" applyBorder="1" applyAlignment="1">
      <alignment horizontal="left"/>
    </xf>
    <xf numFmtId="0" fontId="0" fillId="0" borderId="78" xfId="0" applyBorder="1" applyAlignment="1">
      <alignment horizontal="left"/>
    </xf>
    <xf numFmtId="0" fontId="0" fillId="0" borderId="78" xfId="0" applyBorder="1" applyAlignment="1">
      <alignment horizontal="center"/>
    </xf>
    <xf numFmtId="0" fontId="86" fillId="53" borderId="70" xfId="0" applyFont="1" applyFill="1" applyBorder="1" applyAlignment="1">
      <alignment horizontal="center"/>
    </xf>
    <xf numFmtId="0" fontId="86" fillId="53" borderId="71" xfId="0" applyFont="1" applyFill="1" applyBorder="1" applyAlignment="1">
      <alignment horizontal="center"/>
    </xf>
    <xf numFmtId="0" fontId="86" fillId="53" borderId="72" xfId="0" applyFont="1" applyFill="1" applyBorder="1" applyAlignment="1">
      <alignment horizontal="center"/>
    </xf>
    <xf numFmtId="0" fontId="0" fillId="0" borderId="0" xfId="0" applyAlignment="1">
      <alignment horizontal="left"/>
    </xf>
    <xf numFmtId="0" fontId="0" fillId="0" borderId="72" xfId="0" applyBorder="1" applyAlignment="1">
      <alignment horizontal="left"/>
    </xf>
    <xf numFmtId="0" fontId="86" fillId="58" borderId="74" xfId="0" applyFont="1" applyFill="1" applyBorder="1" applyAlignment="1">
      <alignment horizontal="center" vertical="center" wrapText="1"/>
    </xf>
    <xf numFmtId="0" fontId="86" fillId="58" borderId="0" xfId="0" applyFont="1" applyFill="1" applyAlignment="1">
      <alignment horizontal="center" vertical="center" wrapText="1"/>
    </xf>
    <xf numFmtId="0" fontId="0" fillId="0" borderId="78" xfId="0" applyBorder="1" applyAlignment="1">
      <alignment horizontal="left" vertical="center"/>
    </xf>
    <xf numFmtId="0" fontId="0" fillId="0" borderId="67" xfId="0" applyBorder="1" applyAlignment="1">
      <alignment horizontal="left"/>
    </xf>
    <xf numFmtId="0" fontId="88" fillId="0" borderId="67" xfId="0" applyFont="1" applyBorder="1" applyAlignment="1">
      <alignment horizontal="left"/>
    </xf>
    <xf numFmtId="0" fontId="0" fillId="0" borderId="9" xfId="0" applyBorder="1" applyAlignment="1">
      <alignment horizontal="left"/>
    </xf>
    <xf numFmtId="0" fontId="0" fillId="0" borderId="7" xfId="0" applyBorder="1" applyAlignment="1">
      <alignment horizontal="left"/>
    </xf>
    <xf numFmtId="0" fontId="0" fillId="0" borderId="11" xfId="0" applyBorder="1" applyAlignment="1">
      <alignment horizontal="left"/>
    </xf>
    <xf numFmtId="0" fontId="0" fillId="0" borderId="10" xfId="0" applyBorder="1" applyAlignment="1">
      <alignment horizontal="left"/>
    </xf>
    <xf numFmtId="0" fontId="4" fillId="56" borderId="69" xfId="0" applyFont="1" applyFill="1" applyBorder="1" applyAlignment="1">
      <alignment horizontal="center" vertical="center" wrapText="1"/>
    </xf>
    <xf numFmtId="0" fontId="4" fillId="56" borderId="71" xfId="0" applyFont="1" applyFill="1" applyBorder="1" applyAlignment="1">
      <alignment horizontal="center" vertical="center" wrapText="1"/>
    </xf>
    <xf numFmtId="0" fontId="61" fillId="0" borderId="67" xfId="23" applyBorder="1" applyAlignment="1">
      <alignment horizontal="center"/>
    </xf>
    <xf numFmtId="0" fontId="86" fillId="53" borderId="68" xfId="0" applyFont="1" applyFill="1" applyBorder="1" applyAlignment="1">
      <alignment horizontal="center"/>
    </xf>
    <xf numFmtId="0" fontId="86" fillId="53" borderId="73" xfId="0" applyFont="1" applyFill="1" applyBorder="1" applyAlignment="1">
      <alignment horizontal="center"/>
    </xf>
    <xf numFmtId="0" fontId="4" fillId="57" borderId="69" xfId="0" applyFont="1" applyFill="1" applyBorder="1" applyAlignment="1">
      <alignment horizontal="center" vertical="center" wrapText="1"/>
    </xf>
    <xf numFmtId="0" fontId="4" fillId="57" borderId="71" xfId="0" applyFont="1" applyFill="1" applyBorder="1" applyAlignment="1">
      <alignment horizontal="center" vertical="center" wrapText="1"/>
    </xf>
    <xf numFmtId="0" fontId="4" fillId="57" borderId="77" xfId="0" applyFont="1" applyFill="1" applyBorder="1" applyAlignment="1">
      <alignment horizontal="center" vertical="center" wrapText="1"/>
    </xf>
    <xf numFmtId="0" fontId="88" fillId="0" borderId="78" xfId="0" applyFont="1" applyBorder="1" applyAlignment="1">
      <alignment horizontal="center"/>
    </xf>
    <xf numFmtId="0" fontId="86" fillId="53" borderId="74" xfId="0" applyFont="1" applyFill="1" applyBorder="1" applyAlignment="1">
      <alignment horizontal="center"/>
    </xf>
    <xf numFmtId="0" fontId="0" fillId="0" borderId="72" xfId="0" applyBorder="1" applyAlignment="1">
      <alignment horizontal="center"/>
    </xf>
    <xf numFmtId="0" fontId="0" fillId="0" borderId="0" xfId="0" applyAlignment="1">
      <alignment horizontal="center"/>
    </xf>
    <xf numFmtId="0" fontId="86" fillId="53" borderId="0" xfId="0" applyFont="1" applyFill="1" applyAlignment="1">
      <alignment horizontal="center"/>
    </xf>
    <xf numFmtId="0" fontId="86" fillId="53" borderId="69" xfId="0" applyFont="1" applyFill="1" applyBorder="1" applyAlignment="1">
      <alignment horizontal="center"/>
    </xf>
    <xf numFmtId="0" fontId="0" fillId="0" borderId="75" xfId="0" applyBorder="1" applyAlignment="1">
      <alignment horizontal="center"/>
    </xf>
    <xf numFmtId="0" fontId="0" fillId="0" borderId="76" xfId="0" applyBorder="1" applyAlignment="1">
      <alignment horizontal="center"/>
    </xf>
    <xf numFmtId="0" fontId="0" fillId="0" borderId="73" xfId="0" applyBorder="1" applyAlignment="1">
      <alignment horizontal="center"/>
    </xf>
    <xf numFmtId="0" fontId="0" fillId="0" borderId="74" xfId="0" applyBorder="1" applyAlignment="1">
      <alignment horizontal="center"/>
    </xf>
    <xf numFmtId="0" fontId="0" fillId="0" borderId="66" xfId="0" applyBorder="1" applyAlignment="1">
      <alignment horizontal="center"/>
    </xf>
    <xf numFmtId="0" fontId="0" fillId="0" borderId="67" xfId="0" applyBorder="1" applyAlignment="1">
      <alignment horizontal="center"/>
    </xf>
    <xf numFmtId="0" fontId="0" fillId="0" borderId="70" xfId="0" applyBorder="1" applyAlignment="1">
      <alignment horizontal="left"/>
    </xf>
    <xf numFmtId="0" fontId="86" fillId="53" borderId="78" xfId="0" applyFont="1" applyFill="1" applyBorder="1" applyAlignment="1">
      <alignment horizontal="center"/>
    </xf>
    <xf numFmtId="0" fontId="0" fillId="0" borderId="80" xfId="0" applyBorder="1" applyAlignment="1">
      <alignment horizontal="left"/>
    </xf>
    <xf numFmtId="0" fontId="86" fillId="59" borderId="69" xfId="0" applyFont="1" applyFill="1" applyBorder="1" applyAlignment="1">
      <alignment horizontal="center" vertical="center" wrapText="1"/>
    </xf>
    <xf numFmtId="0" fontId="86" fillId="59" borderId="71" xfId="0" applyFont="1" applyFill="1" applyBorder="1" applyAlignment="1">
      <alignment horizontal="center" vertical="center" wrapText="1"/>
    </xf>
    <xf numFmtId="0" fontId="0" fillId="0" borderId="68" xfId="0" applyBorder="1" applyAlignment="1">
      <alignment horizontal="left"/>
    </xf>
    <xf numFmtId="0" fontId="0" fillId="0" borderId="69" xfId="0" applyBorder="1" applyAlignment="1">
      <alignment horizontal="left"/>
    </xf>
    <xf numFmtId="0" fontId="88" fillId="0" borderId="69" xfId="0" applyFont="1" applyBorder="1" applyAlignment="1">
      <alignment horizontal="center"/>
    </xf>
    <xf numFmtId="0" fontId="88" fillId="0" borderId="73" xfId="0" applyFont="1" applyBorder="1" applyAlignment="1">
      <alignment horizontal="center"/>
    </xf>
    <xf numFmtId="0" fontId="86" fillId="53" borderId="79" xfId="0" applyFont="1" applyFill="1" applyBorder="1" applyAlignment="1">
      <alignment horizontal="center"/>
    </xf>
    <xf numFmtId="0" fontId="4" fillId="57" borderId="74" xfId="0" applyFont="1" applyFill="1" applyBorder="1" applyAlignment="1">
      <alignment horizontal="center" vertical="center" wrapText="1"/>
    </xf>
    <xf numFmtId="0" fontId="4" fillId="57" borderId="0" xfId="0" applyFont="1" applyFill="1" applyAlignment="1">
      <alignment horizontal="center" vertical="center" wrapText="1"/>
    </xf>
    <xf numFmtId="0" fontId="2" fillId="60" borderId="68" xfId="33" applyBorder="1" applyAlignment="1">
      <alignment horizontal="center"/>
    </xf>
    <xf numFmtId="0" fontId="2" fillId="60" borderId="69" xfId="33" applyBorder="1" applyAlignment="1">
      <alignment horizontal="center"/>
    </xf>
    <xf numFmtId="0" fontId="88" fillId="0" borderId="67" xfId="0" applyFont="1" applyBorder="1" applyAlignment="1">
      <alignment horizontal="center"/>
    </xf>
    <xf numFmtId="0" fontId="0" fillId="0" borderId="66" xfId="0" applyBorder="1" applyAlignment="1">
      <alignment horizontal="left"/>
    </xf>
    <xf numFmtId="182" fontId="0" fillId="0" borderId="75" xfId="0" applyNumberFormat="1" applyBorder="1" applyAlignment="1">
      <alignment horizontal="left"/>
    </xf>
    <xf numFmtId="182" fontId="0" fillId="0" borderId="76" xfId="0" applyNumberFormat="1" applyBorder="1" applyAlignment="1">
      <alignment horizontal="left"/>
    </xf>
    <xf numFmtId="0" fontId="87" fillId="53" borderId="66" xfId="0" applyFont="1" applyFill="1" applyBorder="1" applyAlignment="1">
      <alignment horizontal="center" vertical="center"/>
    </xf>
    <xf numFmtId="0" fontId="87" fillId="53" borderId="67" xfId="0" applyFont="1" applyFill="1" applyBorder="1" applyAlignment="1">
      <alignment horizontal="center" vertical="center"/>
    </xf>
    <xf numFmtId="0" fontId="4" fillId="55" borderId="69" xfId="0" applyFont="1" applyFill="1" applyBorder="1" applyAlignment="1">
      <alignment horizontal="center" vertical="center" wrapText="1"/>
    </xf>
    <xf numFmtId="0" fontId="4" fillId="55" borderId="71" xfId="0" applyFont="1" applyFill="1" applyBorder="1" applyAlignment="1">
      <alignment horizontal="center" vertical="center" wrapText="1"/>
    </xf>
    <xf numFmtId="0" fontId="88" fillId="0" borderId="74" xfId="0" applyFont="1" applyBorder="1" applyAlignment="1">
      <alignment horizontal="center"/>
    </xf>
    <xf numFmtId="0" fontId="88" fillId="0" borderId="79" xfId="0" applyFont="1" applyBorder="1" applyAlignment="1">
      <alignment horizontal="center"/>
    </xf>
    <xf numFmtId="0" fontId="0" fillId="0" borderId="68" xfId="0" applyBorder="1" applyAlignment="1">
      <alignment horizontal="center"/>
    </xf>
    <xf numFmtId="0" fontId="88" fillId="0" borderId="66" xfId="0" applyFont="1" applyBorder="1" applyAlignment="1">
      <alignment horizontal="center"/>
    </xf>
    <xf numFmtId="0" fontId="0" fillId="0" borderId="70" xfId="0" applyBorder="1" applyAlignment="1">
      <alignment horizontal="center"/>
    </xf>
    <xf numFmtId="0" fontId="0" fillId="0" borderId="80" xfId="0" applyBorder="1" applyAlignment="1">
      <alignment horizontal="center"/>
    </xf>
    <xf numFmtId="0" fontId="88" fillId="0" borderId="72" xfId="0" applyFont="1" applyBorder="1" applyAlignment="1">
      <alignment horizontal="center"/>
    </xf>
    <xf numFmtId="0" fontId="4" fillId="56" borderId="74" xfId="0" applyFont="1" applyFill="1" applyBorder="1" applyAlignment="1">
      <alignment horizontal="center" vertical="center" wrapText="1"/>
    </xf>
    <xf numFmtId="0" fontId="4" fillId="56" borderId="0" xfId="0" applyFont="1" applyFill="1" applyAlignment="1">
      <alignment horizontal="center" vertical="center" wrapText="1"/>
    </xf>
    <xf numFmtId="0" fontId="4" fillId="56" borderId="76" xfId="0" applyFont="1" applyFill="1" applyBorder="1" applyAlignment="1">
      <alignment horizontal="center" vertical="center" wrapText="1"/>
    </xf>
    <xf numFmtId="0" fontId="86" fillId="58" borderId="69" xfId="0" applyFont="1" applyFill="1" applyBorder="1" applyAlignment="1">
      <alignment horizontal="center" vertical="center" wrapText="1"/>
    </xf>
    <xf numFmtId="0" fontId="86" fillId="58" borderId="71" xfId="0" applyFont="1" applyFill="1" applyBorder="1" applyAlignment="1">
      <alignment horizontal="center" vertical="center" wrapText="1"/>
    </xf>
    <xf numFmtId="0" fontId="89" fillId="55" borderId="72" xfId="0" applyFont="1" applyFill="1" applyBorder="1" applyAlignment="1">
      <alignment horizontal="center" vertical="center" wrapText="1"/>
    </xf>
    <xf numFmtId="0" fontId="89" fillId="55" borderId="75" xfId="0" applyFont="1" applyFill="1" applyBorder="1" applyAlignment="1">
      <alignment horizontal="center" vertical="center" wrapText="1"/>
    </xf>
    <xf numFmtId="0" fontId="86" fillId="58" borderId="77" xfId="0" applyFont="1" applyFill="1" applyBorder="1" applyAlignment="1">
      <alignment horizontal="center" vertical="center" wrapText="1"/>
    </xf>
    <xf numFmtId="0" fontId="4" fillId="57" borderId="72" xfId="0" applyFont="1" applyFill="1" applyBorder="1" applyAlignment="1">
      <alignment horizontal="center" vertical="center" wrapText="1"/>
    </xf>
    <xf numFmtId="0" fontId="4" fillId="57" borderId="75" xfId="0" applyFont="1" applyFill="1" applyBorder="1" applyAlignment="1">
      <alignment horizontal="center" vertical="center" wrapText="1"/>
    </xf>
    <xf numFmtId="0" fontId="0" fillId="0" borderId="79" xfId="0" applyBorder="1" applyAlignment="1">
      <alignment horizontal="center"/>
    </xf>
    <xf numFmtId="0" fontId="87" fillId="58" borderId="0" xfId="0" applyFont="1" applyFill="1" applyAlignment="1">
      <alignment horizontal="center"/>
    </xf>
    <xf numFmtId="0" fontId="23" fillId="21" borderId="81" xfId="0" applyFont="1" applyFill="1" applyBorder="1" applyAlignment="1">
      <alignment horizontal="center" vertical="center"/>
    </xf>
    <xf numFmtId="0" fontId="39" fillId="9" borderId="5" xfId="8" applyFont="1" applyBorder="1" applyAlignment="1">
      <alignment horizontal="center" vertical="center"/>
    </xf>
    <xf numFmtId="0" fontId="39" fillId="9" borderId="2" xfId="8" applyFont="1" applyBorder="1" applyAlignment="1">
      <alignment horizontal="center" vertical="center"/>
    </xf>
    <xf numFmtId="0" fontId="39" fillId="9" borderId="4" xfId="8" applyFont="1" applyBorder="1" applyAlignment="1">
      <alignment horizontal="center" vertical="center"/>
    </xf>
    <xf numFmtId="0" fontId="38" fillId="16" borderId="35" xfId="0" applyFont="1" applyFill="1" applyBorder="1" applyAlignment="1">
      <alignment horizontal="center" vertical="center"/>
    </xf>
    <xf numFmtId="0" fontId="38" fillId="16" borderId="36" xfId="0" applyFont="1" applyFill="1" applyBorder="1" applyAlignment="1">
      <alignment horizontal="center" vertical="center"/>
    </xf>
    <xf numFmtId="0" fontId="38" fillId="16" borderId="37" xfId="0" applyFont="1" applyFill="1" applyBorder="1" applyAlignment="1">
      <alignment horizontal="center" vertical="center"/>
    </xf>
    <xf numFmtId="0" fontId="5" fillId="4" borderId="5" xfId="3" applyFont="1" applyBorder="1" applyAlignment="1">
      <alignment horizontal="center" wrapText="1"/>
    </xf>
    <xf numFmtId="0" fontId="5" fillId="4" borderId="2" xfId="3" applyFont="1" applyBorder="1" applyAlignment="1">
      <alignment horizontal="center" wrapText="1"/>
    </xf>
    <xf numFmtId="0" fontId="5" fillId="4" borderId="4" xfId="3" applyFont="1" applyBorder="1" applyAlignment="1">
      <alignment horizontal="center" wrapText="1"/>
    </xf>
    <xf numFmtId="0" fontId="39" fillId="29" borderId="5" xfId="19" applyFont="1" applyBorder="1" applyAlignment="1">
      <alignment horizontal="center" vertical="center"/>
    </xf>
    <xf numFmtId="0" fontId="39" fillId="29" borderId="2" xfId="19" applyFont="1" applyBorder="1" applyAlignment="1">
      <alignment horizontal="center" vertical="center"/>
    </xf>
    <xf numFmtId="0" fontId="39" fillId="21" borderId="82" xfId="0" applyFont="1" applyFill="1" applyBorder="1" applyAlignment="1">
      <alignment horizontal="center" vertical="center" wrapText="1"/>
    </xf>
    <xf numFmtId="0" fontId="39" fillId="21" borderId="83" xfId="0" applyFont="1" applyFill="1" applyBorder="1" applyAlignment="1">
      <alignment horizontal="center" vertical="center" wrapText="1"/>
    </xf>
    <xf numFmtId="0" fontId="39" fillId="21" borderId="84" xfId="0" applyFont="1" applyFill="1" applyBorder="1" applyAlignment="1">
      <alignment horizontal="center" vertical="center" wrapText="1"/>
    </xf>
    <xf numFmtId="9" fontId="5" fillId="0" borderId="82" xfId="9" applyFont="1" applyBorder="1" applyAlignment="1">
      <alignment horizontal="center" vertical="center"/>
    </xf>
    <xf numFmtId="9" fontId="5" fillId="0" borderId="83" xfId="9" applyFont="1" applyBorder="1" applyAlignment="1">
      <alignment horizontal="center" vertical="center"/>
    </xf>
    <xf numFmtId="9" fontId="5" fillId="0" borderId="84" xfId="9" applyFont="1" applyBorder="1" applyAlignment="1">
      <alignment horizontal="center" vertical="center"/>
    </xf>
    <xf numFmtId="9" fontId="5" fillId="29" borderId="85" xfId="19" applyNumberFormat="1" applyFont="1" applyBorder="1" applyAlignment="1">
      <alignment horizontal="center" vertical="center" wrapText="1"/>
    </xf>
    <xf numFmtId="9" fontId="5" fillId="29" borderId="86" xfId="19" applyNumberFormat="1" applyFont="1" applyBorder="1" applyAlignment="1">
      <alignment horizontal="center" vertical="center" wrapText="1"/>
    </xf>
    <xf numFmtId="9" fontId="5" fillId="29" borderId="87" xfId="19" applyNumberFormat="1" applyFont="1" applyBorder="1" applyAlignment="1">
      <alignment horizontal="center" vertical="center" wrapText="1"/>
    </xf>
    <xf numFmtId="0" fontId="5" fillId="4" borderId="82" xfId="3" applyFont="1" applyBorder="1" applyAlignment="1">
      <alignment horizontal="center" vertical="center"/>
    </xf>
    <xf numFmtId="0" fontId="5" fillId="4" borderId="83" xfId="3" applyFont="1" applyBorder="1" applyAlignment="1">
      <alignment horizontal="center" vertical="center"/>
    </xf>
    <xf numFmtId="0" fontId="5" fillId="4" borderId="84" xfId="3" applyFont="1" applyBorder="1" applyAlignment="1">
      <alignment horizontal="center" vertical="center"/>
    </xf>
    <xf numFmtId="0" fontId="5" fillId="0" borderId="3" xfId="0" applyFont="1" applyBorder="1" applyAlignment="1">
      <alignment horizontal="center" vertical="center"/>
    </xf>
    <xf numFmtId="0" fontId="5" fillId="0" borderId="12" xfId="0" applyFont="1" applyBorder="1" applyAlignment="1">
      <alignment horizontal="center" vertical="center"/>
    </xf>
    <xf numFmtId="178" fontId="5" fillId="0" borderId="3" xfId="0" applyNumberFormat="1" applyFont="1" applyBorder="1" applyAlignment="1">
      <alignment horizontal="center" vertical="center"/>
    </xf>
    <xf numFmtId="178" fontId="5" fillId="0" borderId="12" xfId="0" applyNumberFormat="1" applyFont="1" applyBorder="1" applyAlignment="1">
      <alignment horizontal="center" vertical="center"/>
    </xf>
    <xf numFmtId="0" fontId="2" fillId="4" borderId="9" xfId="30" applyBorder="1" applyAlignment="1">
      <alignment horizontal="center" vertical="center" wrapText="1"/>
    </xf>
    <xf numFmtId="0" fontId="2" fillId="4" borderId="11" xfId="30" applyBorder="1" applyAlignment="1">
      <alignment horizontal="center" vertical="center" wrapText="1"/>
    </xf>
    <xf numFmtId="0" fontId="2" fillId="4" borderId="3" xfId="30" applyBorder="1" applyAlignment="1">
      <alignment horizontal="center" vertical="center" wrapText="1"/>
    </xf>
    <xf numFmtId="0" fontId="2" fillId="4" borderId="12" xfId="30" applyBorder="1" applyAlignment="1">
      <alignment horizontal="center" vertical="center" wrapText="1"/>
    </xf>
    <xf numFmtId="0" fontId="2" fillId="4" borderId="6" xfId="30" applyBorder="1" applyAlignment="1">
      <alignment horizontal="center" vertical="center" wrapText="1"/>
    </xf>
    <xf numFmtId="0" fontId="70" fillId="25" borderId="54" xfId="0" applyFont="1" applyFill="1" applyBorder="1" applyAlignment="1">
      <alignment horizontal="center" vertical="center"/>
    </xf>
    <xf numFmtId="0" fontId="70" fillId="25" borderId="19" xfId="0" applyFont="1" applyFill="1" applyBorder="1" applyAlignment="1">
      <alignment horizontal="center" vertical="center"/>
    </xf>
    <xf numFmtId="0" fontId="70" fillId="25" borderId="25" xfId="0" applyFont="1" applyFill="1" applyBorder="1" applyAlignment="1">
      <alignment horizontal="center" vertical="center"/>
    </xf>
    <xf numFmtId="2" fontId="49" fillId="38" borderId="19" xfId="0" applyNumberFormat="1" applyFont="1" applyFill="1" applyBorder="1" applyAlignment="1">
      <alignment horizontal="center" vertical="center"/>
    </xf>
    <xf numFmtId="0" fontId="51" fillId="38" borderId="19" xfId="0" applyFont="1" applyFill="1" applyBorder="1" applyAlignment="1">
      <alignment horizontal="center" vertical="center"/>
    </xf>
    <xf numFmtId="0" fontId="51" fillId="38" borderId="20" xfId="0" applyFont="1" applyFill="1" applyBorder="1" applyAlignment="1">
      <alignment horizontal="center" vertical="center"/>
    </xf>
    <xf numFmtId="0" fontId="0" fillId="25" borderId="19" xfId="0" applyFill="1" applyBorder="1" applyAlignment="1">
      <alignment horizontal="center" vertical="center"/>
    </xf>
    <xf numFmtId="0" fontId="0" fillId="25" borderId="23" xfId="0" applyFill="1" applyBorder="1" applyAlignment="1">
      <alignment horizontal="center" vertical="center"/>
    </xf>
    <xf numFmtId="0" fontId="0" fillId="25" borderId="24" xfId="0" applyFill="1" applyBorder="1" applyAlignment="1">
      <alignment horizontal="center" vertical="center"/>
    </xf>
    <xf numFmtId="2" fontId="53" fillId="38" borderId="54" xfId="0" applyNumberFormat="1" applyFont="1" applyFill="1" applyBorder="1" applyAlignment="1">
      <alignment horizontal="center" vertical="center" wrapText="1"/>
    </xf>
    <xf numFmtId="2" fontId="53" fillId="38" borderId="19" xfId="0" applyNumberFormat="1" applyFont="1" applyFill="1" applyBorder="1" applyAlignment="1">
      <alignment horizontal="center" vertical="center" wrapText="1"/>
    </xf>
    <xf numFmtId="0" fontId="54" fillId="38" borderId="2" xfId="0" applyFont="1" applyFill="1" applyBorder="1" applyAlignment="1">
      <alignment horizontal="center" vertical="center"/>
    </xf>
    <xf numFmtId="0" fontId="54" fillId="38" borderId="4" xfId="0" applyFont="1" applyFill="1" applyBorder="1" applyAlignment="1">
      <alignment horizontal="center" vertical="center"/>
    </xf>
    <xf numFmtId="0" fontId="4" fillId="4" borderId="60" xfId="3" applyFont="1" applyBorder="1" applyAlignment="1">
      <alignment horizontal="center" vertical="center"/>
    </xf>
    <xf numFmtId="0" fontId="4" fillId="4" borderId="61" xfId="3" applyFont="1" applyBorder="1" applyAlignment="1">
      <alignment horizontal="center" vertical="center"/>
    </xf>
    <xf numFmtId="0" fontId="54" fillId="38" borderId="19" xfId="0" applyFont="1" applyFill="1" applyBorder="1" applyAlignment="1">
      <alignment horizontal="center" vertical="center"/>
    </xf>
    <xf numFmtId="0" fontId="54" fillId="38" borderId="53" xfId="0" applyFont="1" applyFill="1" applyBorder="1" applyAlignment="1">
      <alignment horizontal="center" vertical="center"/>
    </xf>
    <xf numFmtId="2" fontId="53" fillId="38" borderId="19" xfId="0" applyNumberFormat="1" applyFont="1" applyFill="1" applyBorder="1" applyAlignment="1">
      <alignment horizontal="center" vertical="center"/>
    </xf>
    <xf numFmtId="2" fontId="5" fillId="29" borderId="5" xfId="19" applyNumberFormat="1" applyFont="1" applyBorder="1" applyAlignment="1">
      <alignment horizontal="center" vertical="center" wrapText="1"/>
    </xf>
    <xf numFmtId="2" fontId="5" fillId="29" borderId="2" xfId="19" applyNumberFormat="1" applyFont="1" applyBorder="1" applyAlignment="1">
      <alignment horizontal="center" vertical="center" wrapText="1"/>
    </xf>
    <xf numFmtId="2" fontId="5" fillId="29" borderId="4" xfId="19" applyNumberFormat="1" applyFont="1" applyBorder="1" applyAlignment="1">
      <alignment horizontal="center" vertical="center" wrapText="1"/>
    </xf>
    <xf numFmtId="2" fontId="53" fillId="38" borderId="6" xfId="0" applyNumberFormat="1" applyFont="1" applyFill="1" applyBorder="1" applyAlignment="1">
      <alignment horizontal="center" vertical="center" wrapText="1"/>
    </xf>
    <xf numFmtId="0" fontId="68" fillId="9" borderId="1" xfId="8" applyFont="1" applyBorder="1" applyAlignment="1">
      <alignment horizontal="center" vertical="center"/>
    </xf>
    <xf numFmtId="0" fontId="2" fillId="29" borderId="5" xfId="19" applyBorder="1" applyAlignment="1">
      <alignment horizontal="center"/>
    </xf>
    <xf numFmtId="0" fontId="2" fillId="29" borderId="2" xfId="19" applyBorder="1" applyAlignment="1">
      <alignment horizontal="center"/>
    </xf>
    <xf numFmtId="0" fontId="2" fillId="29" borderId="4" xfId="19" applyBorder="1" applyAlignment="1">
      <alignment horizontal="center"/>
    </xf>
    <xf numFmtId="178" fontId="0" fillId="0" borderId="3" xfId="0" applyNumberFormat="1" applyBorder="1" applyAlignment="1">
      <alignment horizontal="center" vertical="center"/>
    </xf>
    <xf numFmtId="178" fontId="0" fillId="0" borderId="12" xfId="0" applyNumberFormat="1" applyBorder="1" applyAlignment="1">
      <alignment horizontal="center" vertical="center"/>
    </xf>
    <xf numFmtId="178" fontId="5" fillId="0" borderId="6" xfId="0" applyNumberFormat="1" applyFont="1" applyBorder="1" applyAlignment="1">
      <alignment horizontal="center" vertical="center"/>
    </xf>
    <xf numFmtId="178" fontId="5" fillId="0" borderId="81" xfId="0" applyNumberFormat="1" applyFont="1" applyBorder="1" applyAlignment="1">
      <alignment horizontal="center" vertical="center"/>
    </xf>
    <xf numFmtId="0" fontId="5" fillId="4" borderId="85" xfId="3" applyFont="1" applyBorder="1" applyAlignment="1">
      <alignment horizontal="center" vertical="center"/>
    </xf>
    <xf numFmtId="0" fontId="5" fillId="4" borderId="86" xfId="3" applyFont="1" applyBorder="1" applyAlignment="1">
      <alignment horizontal="center" vertical="center"/>
    </xf>
    <xf numFmtId="173" fontId="5" fillId="4" borderId="86" xfId="3" applyNumberFormat="1" applyFont="1" applyBorder="1" applyAlignment="1">
      <alignment horizontal="center" vertical="center"/>
    </xf>
    <xf numFmtId="173" fontId="5" fillId="4" borderId="87" xfId="3" applyNumberFormat="1" applyFont="1" applyBorder="1" applyAlignment="1">
      <alignment horizontal="center" vertical="center"/>
    </xf>
    <xf numFmtId="0" fontId="2" fillId="4" borderId="8" xfId="30" applyBorder="1" applyAlignment="1">
      <alignment horizontal="center" vertical="center" wrapText="1" readingOrder="1"/>
    </xf>
    <xf numFmtId="0" fontId="2" fillId="4" borderId="10" xfId="30" applyBorder="1" applyAlignment="1">
      <alignment horizontal="center" vertical="center" wrapText="1" readingOrder="1"/>
    </xf>
    <xf numFmtId="0" fontId="2" fillId="4" borderId="14" xfId="30" applyBorder="1" applyAlignment="1">
      <alignment horizontal="center" vertical="center" wrapText="1" readingOrder="1"/>
    </xf>
    <xf numFmtId="0" fontId="2" fillId="4" borderId="8" xfId="30" applyBorder="1" applyAlignment="1">
      <alignment horizontal="center" vertical="center" wrapText="1"/>
    </xf>
    <xf numFmtId="0" fontId="2" fillId="4" borderId="10" xfId="30" applyBorder="1" applyAlignment="1">
      <alignment horizontal="center" vertical="center" wrapText="1"/>
    </xf>
    <xf numFmtId="0" fontId="2" fillId="4" borderId="14" xfId="30" applyBorder="1" applyAlignment="1">
      <alignment horizontal="center" vertical="center" wrapText="1"/>
    </xf>
    <xf numFmtId="0" fontId="36" fillId="5" borderId="82" xfId="4" applyFont="1" applyBorder="1" applyAlignment="1">
      <alignment horizontal="center" vertical="center"/>
    </xf>
    <xf numFmtId="0" fontId="36" fillId="5" borderId="83" xfId="4" applyFont="1" applyBorder="1" applyAlignment="1">
      <alignment horizontal="center" vertical="center"/>
    </xf>
    <xf numFmtId="0" fontId="36" fillId="5" borderId="84" xfId="4" applyFont="1" applyBorder="1" applyAlignment="1">
      <alignment horizontal="center" vertical="center"/>
    </xf>
    <xf numFmtId="0" fontId="5" fillId="0" borderId="3" xfId="0" quotePrefix="1" applyFont="1" applyBorder="1" applyAlignment="1">
      <alignment horizontal="center" vertical="center"/>
    </xf>
    <xf numFmtId="0" fontId="5" fillId="0" borderId="6" xfId="0" applyFont="1" applyBorder="1" applyAlignment="1">
      <alignment horizontal="center" vertical="center"/>
    </xf>
    <xf numFmtId="0" fontId="2" fillId="4" borderId="0" xfId="3" applyBorder="1" applyAlignment="1">
      <alignment horizontal="center" vertical="center"/>
    </xf>
    <xf numFmtId="165" fontId="2" fillId="9" borderId="0" xfId="8" applyNumberFormat="1" applyAlignment="1">
      <alignment horizontal="right" vertical="center"/>
    </xf>
    <xf numFmtId="9" fontId="2" fillId="4" borderId="0" xfId="3" applyNumberFormat="1" applyBorder="1" applyAlignment="1">
      <alignment horizontal="center" vertical="center"/>
    </xf>
    <xf numFmtId="165" fontId="2" fillId="4" borderId="0" xfId="3" applyNumberFormat="1" applyBorder="1" applyAlignment="1">
      <alignment horizontal="center" vertical="center"/>
    </xf>
    <xf numFmtId="0" fontId="2" fillId="5" borderId="0" xfId="4" applyAlignment="1">
      <alignment horizontal="center"/>
    </xf>
    <xf numFmtId="0" fontId="0" fillId="0" borderId="5" xfId="0" applyBorder="1" applyAlignment="1">
      <alignment horizontal="center" wrapText="1"/>
    </xf>
    <xf numFmtId="0" fontId="0" fillId="0" borderId="2" xfId="0" applyBorder="1" applyAlignment="1">
      <alignment horizontal="center" wrapText="1"/>
    </xf>
    <xf numFmtId="0" fontId="0" fillId="0" borderId="4" xfId="0" applyBorder="1" applyAlignment="1">
      <alignment horizontal="center" wrapText="1"/>
    </xf>
    <xf numFmtId="0" fontId="0" fillId="0" borderId="11" xfId="0" applyBorder="1" applyAlignment="1">
      <alignment horizontal="center" wrapText="1"/>
    </xf>
    <xf numFmtId="0" fontId="0" fillId="0" borderId="0" xfId="0" applyAlignment="1">
      <alignment horizontal="center" wrapText="1"/>
    </xf>
    <xf numFmtId="0" fontId="0" fillId="0" borderId="3" xfId="0" applyBorder="1" applyAlignment="1">
      <alignment horizontal="center" wrapText="1"/>
    </xf>
    <xf numFmtId="0" fontId="0" fillId="0" borderId="12" xfId="0" applyBorder="1" applyAlignment="1">
      <alignment horizontal="center" wrapText="1"/>
    </xf>
    <xf numFmtId="0" fontId="7" fillId="0" borderId="3" xfId="0" applyFont="1" applyBorder="1" applyAlignment="1">
      <alignment horizontal="center" wrapText="1"/>
    </xf>
    <xf numFmtId="0" fontId="7" fillId="0" borderId="6" xfId="0" applyFont="1" applyBorder="1" applyAlignment="1">
      <alignment horizontal="center" wrapText="1"/>
    </xf>
    <xf numFmtId="0" fontId="7" fillId="0" borderId="12" xfId="0" applyFont="1" applyBorder="1" applyAlignment="1">
      <alignment horizontal="center" wrapText="1"/>
    </xf>
    <xf numFmtId="0" fontId="7" fillId="0" borderId="5" xfId="0" applyFont="1" applyBorder="1" applyAlignment="1">
      <alignment horizontal="center" wrapText="1"/>
    </xf>
    <xf numFmtId="0" fontId="7" fillId="0" borderId="2" xfId="0" applyFont="1" applyBorder="1" applyAlignment="1">
      <alignment horizontal="center" wrapText="1"/>
    </xf>
    <xf numFmtId="0" fontId="7" fillId="0" borderId="4" xfId="0" applyFont="1" applyBorder="1" applyAlignment="1">
      <alignment horizontal="center" wrapText="1"/>
    </xf>
    <xf numFmtId="0" fontId="7" fillId="0" borderId="5" xfId="0" applyFont="1" applyBorder="1" applyAlignment="1">
      <alignment horizontal="center"/>
    </xf>
    <xf numFmtId="0" fontId="7" fillId="0" borderId="2" xfId="0" applyFont="1" applyBorder="1" applyAlignment="1">
      <alignment horizontal="center"/>
    </xf>
    <xf numFmtId="0" fontId="7" fillId="0" borderId="1" xfId="0" applyFont="1" applyBorder="1" applyAlignment="1">
      <alignment horizontal="center" wrapText="1"/>
    </xf>
    <xf numFmtId="0" fontId="7" fillId="0" borderId="0" xfId="15" applyFont="1" applyAlignment="1">
      <alignment horizontal="center" wrapText="1"/>
    </xf>
    <xf numFmtId="0" fontId="7" fillId="0" borderId="11" xfId="0" applyFont="1" applyBorder="1" applyAlignment="1">
      <alignment horizontal="center" wrapText="1"/>
    </xf>
    <xf numFmtId="0" fontId="7" fillId="0" borderId="0" xfId="0" applyFont="1" applyAlignment="1">
      <alignment horizontal="center" wrapText="1"/>
    </xf>
    <xf numFmtId="0" fontId="7" fillId="0" borderId="4" xfId="0" applyFont="1" applyBorder="1" applyAlignment="1">
      <alignment horizontal="center"/>
    </xf>
    <xf numFmtId="0" fontId="7" fillId="0" borderId="5" xfId="0" applyFont="1" applyBorder="1" applyAlignment="1">
      <alignment horizontal="center" vertical="center" wrapText="1"/>
    </xf>
    <xf numFmtId="0" fontId="7" fillId="0" borderId="2" xfId="0" applyFont="1" applyBorder="1" applyAlignment="1">
      <alignment horizontal="center" vertical="center" wrapText="1"/>
    </xf>
    <xf numFmtId="0" fontId="7" fillId="0" borderId="4" xfId="0" applyFont="1" applyBorder="1" applyAlignment="1">
      <alignment horizontal="center" vertical="center" wrapText="1"/>
    </xf>
    <xf numFmtId="0" fontId="7" fillId="0" borderId="9" xfId="0" applyFont="1" applyBorder="1" applyAlignment="1">
      <alignment horizontal="center" wrapText="1"/>
    </xf>
    <xf numFmtId="0" fontId="7" fillId="0" borderId="8" xfId="0" applyFont="1" applyBorder="1" applyAlignment="1">
      <alignment horizontal="center" wrapText="1"/>
    </xf>
    <xf numFmtId="0" fontId="7" fillId="0" borderId="15" xfId="0" applyFont="1" applyBorder="1" applyAlignment="1">
      <alignment horizontal="center" wrapText="1"/>
    </xf>
    <xf numFmtId="0" fontId="7" fillId="0" borderId="14" xfId="0" applyFont="1" applyBorder="1" applyAlignment="1">
      <alignment horizontal="center" wrapText="1"/>
    </xf>
    <xf numFmtId="0" fontId="96" fillId="29" borderId="81" xfId="19" applyFont="1" applyBorder="1"/>
    <xf numFmtId="0" fontId="96" fillId="0" borderId="0" xfId="0" applyFont="1"/>
    <xf numFmtId="0" fontId="96" fillId="4" borderId="81" xfId="3" applyFont="1" applyBorder="1"/>
  </cellXfs>
  <cellStyles count="34">
    <cellStyle name="20% - Ênfase1" xfId="10" builtinId="30" customBuiltin="1"/>
    <cellStyle name="20% - Ênfase2" xfId="1" builtinId="34" customBuiltin="1"/>
    <cellStyle name="20% - Ênfase3" xfId="3" builtinId="38" customBuiltin="1"/>
    <cellStyle name="20% - Ênfase3 2" xfId="30" xr:uid="{C099B99E-EB92-45B4-981B-2F5BC5711818}"/>
    <cellStyle name="20% - Ênfase4" xfId="21" builtinId="42"/>
    <cellStyle name="20% - Ênfase5" xfId="19" builtinId="46"/>
    <cellStyle name="20% - Ênfase6" xfId="5" builtinId="50"/>
    <cellStyle name="40% - Ênfase1" xfId="20" builtinId="31"/>
    <cellStyle name="40% - Ênfase2" xfId="12" builtinId="35"/>
    <cellStyle name="40% - Ênfase3" xfId="8" builtinId="39"/>
    <cellStyle name="40% - Ênfase5" xfId="24" builtinId="47"/>
    <cellStyle name="60% - Ênfase1" xfId="11" builtinId="32"/>
    <cellStyle name="60% - Ênfase2" xfId="2" builtinId="36"/>
    <cellStyle name="60% - Ênfase3" xfId="4" builtinId="40"/>
    <cellStyle name="60% - Ênfase4" xfId="33" builtinId="44"/>
    <cellStyle name="60% - Ênfase6" xfId="6" builtinId="52"/>
    <cellStyle name="Comma 2" xfId="29" xr:uid="{390A07B8-FACD-4191-A9DB-E1065DB9277C}"/>
    <cellStyle name="Ênfase3" xfId="7" builtinId="37"/>
    <cellStyle name="Estilo 1" xfId="22" xr:uid="{11BA7123-2D21-47C7-A2C0-30B96A790125}"/>
    <cellStyle name="Hiperlink" xfId="23" builtinId="8"/>
    <cellStyle name="Normal" xfId="0" builtinId="0"/>
    <cellStyle name="Normal 2" xfId="15" xr:uid="{4DE39E0F-2DF3-4121-8474-3BE36EB1A6B6}"/>
    <cellStyle name="Normal 2 2" xfId="28" xr:uid="{99B4002A-6E56-4BB6-B802-3A247DEC2914}"/>
    <cellStyle name="Normal 2 3" xfId="26" xr:uid="{23C14E0E-DB81-4D26-96CB-9C660BD97248}"/>
    <cellStyle name="Nota" xfId="18" builtinId="10"/>
    <cellStyle name="Porcentagem" xfId="9" builtinId="5"/>
    <cellStyle name="Porcentagem 2" xfId="16" xr:uid="{A2182D13-E3DE-4D1D-950B-51EA76615478}"/>
    <cellStyle name="Porcentagem 2 2" xfId="25" xr:uid="{B6577C99-94B4-45F4-8087-52720A2DB834}"/>
    <cellStyle name="Subtitle" xfId="14" xr:uid="{8DD1A468-A60B-4EA2-B605-04C7E1FFD3F4}"/>
    <cellStyle name="Title" xfId="13" xr:uid="{CBF3E04B-E995-4A99-9487-81FC2C88C6CF}"/>
    <cellStyle name="Vírgula 2" xfId="17" xr:uid="{AC0EDA93-EE0D-48D4-9450-4820CC01FB1F}"/>
    <cellStyle name="Vírgula 2 2" xfId="32" xr:uid="{4953F1DA-F198-4F41-9FC0-142F57FA6DFE}"/>
    <cellStyle name="Vírgula 3" xfId="31" xr:uid="{BA263AF2-71C3-4064-B3A5-AE6C2F74F8EB}"/>
    <cellStyle name="Vírgula 4" xfId="27" xr:uid="{F139045D-877D-48C0-9211-12537EFF0E3B}"/>
  </cellStyles>
  <dxfs count="37">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ill>
        <patternFill>
          <bgColor rgb="FFDAEEF3"/>
        </patternFill>
      </fill>
    </dxf>
    <dxf>
      <font>
        <color rgb="FFFF0000"/>
      </font>
    </dxf>
    <dxf>
      <font>
        <b val="0"/>
        <i val="0"/>
        <strike val="0"/>
        <color theme="0" tint="-4.9989318521683403E-2"/>
      </font>
    </dxf>
    <dxf>
      <font>
        <b val="0"/>
        <i val="0"/>
        <strike val="0"/>
        <color theme="0" tint="-4.9989318521683403E-2"/>
      </font>
    </dxf>
    <dxf>
      <font>
        <b val="0"/>
        <i val="0"/>
        <strike val="0"/>
        <condense val="0"/>
        <extend val="0"/>
        <outline val="0"/>
        <shadow val="0"/>
        <u val="none"/>
        <vertAlign val="baseline"/>
        <sz val="12"/>
        <color rgb="FF0000FF"/>
        <name val="Arial"/>
        <family val="2"/>
        <scheme val="none"/>
      </font>
      <numFmt numFmtId="2" formatCode="0.00"/>
      <fill>
        <patternFill patternType="solid">
          <fgColor indexed="64"/>
          <bgColor rgb="FFFFFFEB"/>
        </patternFill>
      </fill>
      <alignment horizontal="center"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rgb="FF0000FF"/>
        <name val="Arial"/>
        <family val="2"/>
        <scheme val="none"/>
      </font>
      <numFmt numFmtId="2" formatCode="0.00"/>
      <fill>
        <patternFill patternType="solid">
          <fgColor indexed="64"/>
          <bgColor rgb="FFFFFFEB"/>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rgb="FF0000FF"/>
        <name val="Arial"/>
        <family val="2"/>
        <scheme val="none"/>
      </font>
      <numFmt numFmtId="2" formatCode="0.00"/>
      <fill>
        <patternFill patternType="solid">
          <fgColor indexed="64"/>
          <bgColor rgb="FFFFFFEB"/>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theme="0" tint="-4.9989318521683403E-2"/>
        </patternFill>
      </fill>
      <alignment horizontal="left" vertical="center" textRotation="0" wrapText="0" indent="1"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sz val="12"/>
      </font>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right style="thin">
          <color theme="0" tint="-0.499984740745262"/>
        </right>
        <top style="thin">
          <color theme="0" tint="-0.499984740745262"/>
        </top>
      </border>
    </dxf>
    <dxf>
      <border outline="0">
        <bottom style="thin">
          <color theme="0" tint="-0.499984740745262"/>
        </bottom>
      </border>
    </dxf>
    <dxf>
      <font>
        <strike val="0"/>
        <outline val="0"/>
        <shadow val="0"/>
        <u val="none"/>
        <vertAlign val="baseline"/>
        <color auto="1"/>
        <name val="Arial"/>
        <family val="2"/>
        <scheme val="none"/>
      </font>
    </dxf>
    <dxf>
      <font>
        <b/>
        <i val="0"/>
        <strike val="0"/>
        <condense val="0"/>
        <extend val="0"/>
        <outline val="0"/>
        <shadow val="0"/>
        <u val="none"/>
        <vertAlign val="baseline"/>
        <sz val="14"/>
        <color rgb="FF0000FF"/>
        <name val="Arial"/>
        <family val="2"/>
        <scheme val="none"/>
      </font>
      <numFmt numFmtId="173" formatCode="#,##0_ ;[Red]\-#,##0\ "/>
      <fill>
        <patternFill patternType="solid">
          <fgColor indexed="64"/>
          <bgColor rgb="FFFFFFEF"/>
        </patternFill>
      </fill>
      <alignment horizontal="center" vertical="center" textRotation="0" wrapText="0" indent="0" justifyLastLine="0" shrinkToFit="0" readingOrder="0"/>
      <border diagonalUp="0" diagonalDown="0" outline="0">
        <left style="thin">
          <color theme="0" tint="-0.499984740745262"/>
        </left>
        <right/>
        <top style="thin">
          <color theme="0" tint="-0.499984740745262"/>
        </top>
        <bottom style="thin">
          <color theme="0" tint="-0.499984740745262"/>
        </bottom>
      </border>
    </dxf>
    <dxf>
      <font>
        <b/>
        <i val="0"/>
        <strike val="0"/>
        <condense val="0"/>
        <extend val="0"/>
        <outline val="0"/>
        <shadow val="0"/>
        <u val="none"/>
        <vertAlign val="baseline"/>
        <sz val="14"/>
        <color rgb="FF0000FF"/>
        <name val="Arial"/>
        <family val="2"/>
        <scheme val="none"/>
      </font>
      <numFmt numFmtId="173" formatCode="#,##0_ ;[Red]\-#,##0\ "/>
      <fill>
        <patternFill patternType="solid">
          <fgColor indexed="64"/>
          <bgColor rgb="FFFFFFEF"/>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14"/>
        <color rgb="FF0000FF"/>
        <name val="Arial"/>
        <family val="2"/>
        <scheme val="none"/>
      </font>
      <numFmt numFmtId="173" formatCode="#,##0_ ;[Red]\-#,##0\ "/>
      <fill>
        <patternFill patternType="solid">
          <fgColor indexed="64"/>
          <bgColor rgb="FFFFFFEF"/>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theme="0" tint="-4.9989318521683403E-2"/>
        </patternFill>
      </fill>
      <alignment horizontal="left" vertical="center" textRotation="0" wrapText="0" indent="1"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alignment horizontal="center" vertical="center" textRotation="0" wrapText="0" indent="0" justifyLastLine="0" shrinkToFit="0" readingOrder="0"/>
    </dxf>
    <dxf>
      <border outline="0">
        <top style="thin">
          <color theme="0" tint="-0.499984740745262"/>
        </top>
      </border>
    </dxf>
    <dxf>
      <font>
        <b/>
        <i val="0"/>
        <strike val="0"/>
        <condense val="0"/>
        <extend val="0"/>
        <outline val="0"/>
        <shadow val="0"/>
        <u val="none"/>
        <vertAlign val="baseline"/>
        <sz val="14"/>
        <color rgb="FF0000FF"/>
        <name val="Arial"/>
        <family val="2"/>
        <scheme val="none"/>
      </font>
      <fill>
        <patternFill patternType="solid">
          <fgColor indexed="64"/>
          <bgColor rgb="FFFFFFEF"/>
        </patternFill>
      </fill>
      <alignment horizontal="center" vertical="center" textRotation="0" wrapText="0" indent="0" justifyLastLine="0" shrinkToFit="0" readingOrder="0"/>
    </dxf>
    <dxf>
      <border outline="0">
        <bottom style="thin">
          <color theme="0" tint="-0.499984740745262"/>
        </bottom>
      </border>
    </dxf>
    <dxf>
      <font>
        <strike val="0"/>
        <outline val="0"/>
        <shadow val="0"/>
        <u val="none"/>
        <vertAlign val="baseline"/>
        <color auto="1"/>
        <name val="Arial"/>
        <family val="2"/>
        <scheme val="none"/>
      </font>
    </dxf>
  </dxfs>
  <tableStyles count="0" defaultTableStyle="TableStyleMedium2" defaultPivotStyle="PivotStyleLight16"/>
  <colors>
    <mruColors>
      <color rgb="FFFFC8C8"/>
      <color rgb="FF66FFFF"/>
      <color rgb="FFFFDFD9"/>
      <color rgb="FF0033CC"/>
      <color rgb="FFFFFFEB"/>
      <color rgb="FFE8D9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b="1">
                <a:solidFill>
                  <a:schemeClr val="tx1"/>
                </a:solidFill>
              </a:rPr>
              <a:t>LCA GHG emissions - Brazilian Aluminum</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0454696860411532"/>
          <c:y val="8.6158925459508429E-2"/>
          <c:w val="0.87795939271903989"/>
          <c:h val="0.75886391282163268"/>
        </c:manualLayout>
      </c:layout>
      <c:barChart>
        <c:barDir val="col"/>
        <c:grouping val="stacked"/>
        <c:varyColors val="0"/>
        <c:ser>
          <c:idx val="0"/>
          <c:order val="0"/>
          <c:spPr>
            <a:no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9-BAE1-4FF9-BD70-6199C68827B8}"/>
                </c:ext>
              </c:extLst>
            </c:dLbl>
            <c:dLbl>
              <c:idx val="1"/>
              <c:delete val="1"/>
              <c:extLst>
                <c:ext xmlns:c15="http://schemas.microsoft.com/office/drawing/2012/chart" uri="{CE6537A1-D6FC-4f65-9D91-7224C49458BB}"/>
                <c:ext xmlns:c16="http://schemas.microsoft.com/office/drawing/2014/chart" uri="{C3380CC4-5D6E-409C-BE32-E72D297353CC}">
                  <c16:uniqueId val="{0000000D-BAE1-4FF9-BD70-6199C68827B8}"/>
                </c:ext>
              </c:extLst>
            </c:dLbl>
            <c:dLbl>
              <c:idx val="2"/>
              <c:delete val="1"/>
              <c:extLst>
                <c:ext xmlns:c15="http://schemas.microsoft.com/office/drawing/2012/chart" uri="{CE6537A1-D6FC-4f65-9D91-7224C49458BB}"/>
                <c:ext xmlns:c16="http://schemas.microsoft.com/office/drawing/2014/chart" uri="{C3380CC4-5D6E-409C-BE32-E72D297353CC}">
                  <c16:uniqueId val="{0000000C-BAE1-4FF9-BD70-6199C68827B8}"/>
                </c:ext>
              </c:extLst>
            </c:dLbl>
            <c:dLbl>
              <c:idx val="3"/>
              <c:delete val="1"/>
              <c:extLst>
                <c:ext xmlns:c15="http://schemas.microsoft.com/office/drawing/2012/chart" uri="{CE6537A1-D6FC-4f65-9D91-7224C49458BB}"/>
                <c:ext xmlns:c16="http://schemas.microsoft.com/office/drawing/2014/chart" uri="{C3380CC4-5D6E-409C-BE32-E72D297353CC}">
                  <c16:uniqueId val="{00000006-BAE1-4FF9-BD70-6199C68827B8}"/>
                </c:ext>
              </c:extLst>
            </c:dLbl>
            <c:dLbl>
              <c:idx val="4"/>
              <c:delete val="1"/>
              <c:extLst>
                <c:ext xmlns:c15="http://schemas.microsoft.com/office/drawing/2012/chart" uri="{CE6537A1-D6FC-4f65-9D91-7224C49458BB}"/>
                <c:ext xmlns:c16="http://schemas.microsoft.com/office/drawing/2014/chart" uri="{C3380CC4-5D6E-409C-BE32-E72D297353CC}">
                  <c16:uniqueId val="{00000005-BAE1-4FF9-BD70-6199C68827B8}"/>
                </c:ext>
              </c:extLst>
            </c:dLbl>
            <c:dLbl>
              <c:idx val="5"/>
              <c:delete val="1"/>
              <c:extLst>
                <c:ext xmlns:c15="http://schemas.microsoft.com/office/drawing/2012/chart" uri="{CE6537A1-D6FC-4f65-9D91-7224C49458BB}"/>
                <c:ext xmlns:c16="http://schemas.microsoft.com/office/drawing/2014/chart" uri="{C3380CC4-5D6E-409C-BE32-E72D297353CC}">
                  <c16:uniqueId val="{00000004-BAE1-4FF9-BD70-6199C68827B8}"/>
                </c:ext>
              </c:extLst>
            </c:dLbl>
            <c:dLbl>
              <c:idx val="6"/>
              <c:delete val="1"/>
              <c:extLst>
                <c:ext xmlns:c15="http://schemas.microsoft.com/office/drawing/2012/chart" uri="{CE6537A1-D6FC-4f65-9D91-7224C49458BB}"/>
                <c:ext xmlns:c16="http://schemas.microsoft.com/office/drawing/2014/chart" uri="{C3380CC4-5D6E-409C-BE32-E72D297353CC}">
                  <c16:uniqueId val="{00000003-BAE1-4FF9-BD70-6199C68827B8}"/>
                </c:ext>
              </c:extLst>
            </c:dLbl>
            <c:dLbl>
              <c:idx val="7"/>
              <c:delete val="1"/>
              <c:extLst>
                <c:ext xmlns:c15="http://schemas.microsoft.com/office/drawing/2012/chart" uri="{CE6537A1-D6FC-4f65-9D91-7224C49458BB}"/>
                <c:ext xmlns:c16="http://schemas.microsoft.com/office/drawing/2014/chart" uri="{C3380CC4-5D6E-409C-BE32-E72D297353CC}">
                  <c16:uniqueId val="{00000002-BAE1-4FF9-BD70-6199C68827B8}"/>
                </c:ext>
              </c:extLst>
            </c:dLbl>
            <c:dLbl>
              <c:idx val="8"/>
              <c:delete val="1"/>
              <c:extLst>
                <c:ext xmlns:c15="http://schemas.microsoft.com/office/drawing/2012/chart" uri="{CE6537A1-D6FC-4f65-9D91-7224C49458BB}"/>
                <c:ext xmlns:c16="http://schemas.microsoft.com/office/drawing/2014/chart" uri="{C3380CC4-5D6E-409C-BE32-E72D297353CC}">
                  <c16:uniqueId val="{00000001-BAE1-4FF9-BD70-6199C68827B8}"/>
                </c:ext>
              </c:extLst>
            </c:dLbl>
            <c:dLbl>
              <c:idx val="9"/>
              <c:delete val="1"/>
              <c:extLst>
                <c:ext xmlns:c15="http://schemas.microsoft.com/office/drawing/2012/chart" uri="{CE6537A1-D6FC-4f65-9D91-7224C49458BB}"/>
                <c:ext xmlns:c16="http://schemas.microsoft.com/office/drawing/2014/chart" uri="{C3380CC4-5D6E-409C-BE32-E72D297353CC}">
                  <c16:uniqueId val="{00000000-BAE1-4FF9-BD70-6199C68827B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cust"/>
            <c:noEndCap val="0"/>
            <c:plus>
              <c:numLit>
                <c:formatCode>ge\r\a\l</c:formatCode>
                <c:ptCount val="1"/>
                <c:pt idx="0">
                  <c:v>1</c:v>
                </c:pt>
              </c:numLit>
            </c:plus>
            <c:minus>
              <c:numLit>
                <c:formatCode>ge\r\a\l</c:formatCode>
                <c:ptCount val="1"/>
                <c:pt idx="0">
                  <c:v>0</c:v>
                </c:pt>
              </c:numLit>
            </c:minus>
            <c:spPr>
              <a:noFill/>
              <a:ln w="25400" cap="flat" cmpd="sng" algn="ctr">
                <a:solidFill>
                  <a:schemeClr val="tx1"/>
                </a:solidFill>
                <a:round/>
              </a:ln>
              <a:effectLst/>
            </c:spPr>
          </c:errBars>
          <c:cat>
            <c:strRef>
              <c:f>Gráfico!$C$22:$C$34</c:f>
              <c:strCache>
                <c:ptCount val="13"/>
                <c:pt idx="0">
                  <c:v>Matérias Primas</c:v>
                </c:pt>
                <c:pt idx="1">
                  <c:v>Frete Minério</c:v>
                </c:pt>
                <c:pt idx="2">
                  <c:v>Alumina</c:v>
                </c:pt>
                <c:pt idx="3">
                  <c:v>Alumínio Primário &amp; Secundário</c:v>
                </c:pt>
                <c:pt idx="4">
                  <c:v>Ligas</c:v>
                </c:pt>
                <c:pt idx="5">
                  <c:v>Conformação Siderúrgica</c:v>
                </c:pt>
                <c:pt idx="6">
                  <c:v>Frete para as Autopeças</c:v>
                </c:pt>
                <c:pt idx="7">
                  <c:v>Conformação Final (Autopeças &amp; Montadoras)</c:v>
                </c:pt>
                <c:pt idx="8">
                  <c:v>Perdas de Processamento</c:v>
                </c:pt>
                <c:pt idx="9">
                  <c:v>Frete para as Montadoras</c:v>
                </c:pt>
                <c:pt idx="10">
                  <c:v>Alumínio Líquido Bruto (kg CO2e/kg Alumínio)</c:v>
                </c:pt>
                <c:pt idx="11">
                  <c:v>Alumínio Siderúrgico (kg CO2e/kg Alumínio)</c:v>
                </c:pt>
                <c:pt idx="12">
                  <c:v>Alumínio no Portão da Montadora (kg CO2e/kg Alumínio)</c:v>
                </c:pt>
              </c:strCache>
            </c:strRef>
          </c:cat>
          <c:val>
            <c:numRef>
              <c:f>Gráfico!$M$22:$M$34</c:f>
              <c:numCache>
                <c:formatCode>#,##0_ ;[Red]\-#,##0\ </c:formatCode>
                <c:ptCount val="13"/>
                <c:pt idx="0">
                  <c:v>922.05732279163612</c:v>
                </c:pt>
                <c:pt idx="1">
                  <c:v>922.05732279163612</c:v>
                </c:pt>
                <c:pt idx="2">
                  <c:v>922.05732279163612</c:v>
                </c:pt>
                <c:pt idx="3">
                  <c:v>2299.0230407519994</c:v>
                </c:pt>
                <c:pt idx="4">
                  <c:v>6536.2904387955368</c:v>
                </c:pt>
                <c:pt idx="5">
                  <c:v>7939.1050092592304</c:v>
                </c:pt>
                <c:pt idx="6">
                  <c:v>8286.5409286932263</c:v>
                </c:pt>
                <c:pt idx="7">
                  <c:v>8286.5409286932263</c:v>
                </c:pt>
                <c:pt idx="8">
                  <c:v>8616.7927260588312</c:v>
                </c:pt>
                <c:pt idx="9">
                  <c:v>8792.6456388355418</c:v>
                </c:pt>
                <c:pt idx="10">
                  <c:v>6536.2904387955368</c:v>
                </c:pt>
                <c:pt idx="11">
                  <c:v>8286.5409286932263</c:v>
                </c:pt>
                <c:pt idx="12">
                  <c:v>8792.6456388355418</c:v>
                </c:pt>
              </c:numCache>
            </c:numRef>
          </c:val>
          <c:extLst>
            <c:ext xmlns:c16="http://schemas.microsoft.com/office/drawing/2014/chart" uri="{C3380CC4-5D6E-409C-BE32-E72D297353CC}">
              <c16:uniqueId val="{00000000-1FFE-42A0-9B12-A9513F47B7BD}"/>
            </c:ext>
          </c:extLst>
        </c:ser>
        <c:ser>
          <c:idx val="1"/>
          <c:order val="1"/>
          <c:spPr>
            <a:solidFill>
              <a:schemeClr val="bg1">
                <a:lumMod val="95000"/>
              </a:schemeClr>
            </a:solidFill>
            <a:ln w="6350">
              <a:solidFill>
                <a:schemeClr val="tx1"/>
              </a:solidFill>
            </a:ln>
            <a:effectLst/>
          </c:spPr>
          <c:invertIfNegative val="0"/>
          <c:dLbls>
            <c:delete val="1"/>
          </c:dLbls>
          <c:cat>
            <c:strRef>
              <c:f>Gráfico!$C$22:$C$34</c:f>
              <c:strCache>
                <c:ptCount val="13"/>
                <c:pt idx="0">
                  <c:v>Matérias Primas</c:v>
                </c:pt>
                <c:pt idx="1">
                  <c:v>Frete Minério</c:v>
                </c:pt>
                <c:pt idx="2">
                  <c:v>Alumina</c:v>
                </c:pt>
                <c:pt idx="3">
                  <c:v>Alumínio Primário &amp; Secundário</c:v>
                </c:pt>
                <c:pt idx="4">
                  <c:v>Ligas</c:v>
                </c:pt>
                <c:pt idx="5">
                  <c:v>Conformação Siderúrgica</c:v>
                </c:pt>
                <c:pt idx="6">
                  <c:v>Frete para as Autopeças</c:v>
                </c:pt>
                <c:pt idx="7">
                  <c:v>Conformação Final (Autopeças &amp; Montadoras)</c:v>
                </c:pt>
                <c:pt idx="8">
                  <c:v>Perdas de Processamento</c:v>
                </c:pt>
                <c:pt idx="9">
                  <c:v>Frete para as Montadoras</c:v>
                </c:pt>
                <c:pt idx="10">
                  <c:v>Alumínio Líquido Bruto (kg CO2e/kg Alumínio)</c:v>
                </c:pt>
                <c:pt idx="11">
                  <c:v>Alumínio Siderúrgico (kg CO2e/kg Alumínio)</c:v>
                </c:pt>
                <c:pt idx="12">
                  <c:v>Alumínio no Portão da Montadora (kg CO2e/kg Alumínio)</c:v>
                </c:pt>
              </c:strCache>
            </c:strRef>
          </c:cat>
          <c:val>
            <c:numRef>
              <c:f>Gráfico!$N$22:$N$34</c:f>
              <c:numCache>
                <c:formatCode>#,##0_ ;[Red]\-#,##0\ </c:formatCode>
                <c:ptCount val="13"/>
                <c:pt idx="0">
                  <c:v>0</c:v>
                </c:pt>
                <c:pt idx="1">
                  <c:v>0</c:v>
                </c:pt>
                <c:pt idx="2">
                  <c:v>1</c:v>
                </c:pt>
                <c:pt idx="3">
                  <c:v>2</c:v>
                </c:pt>
                <c:pt idx="4">
                  <c:v>3</c:v>
                </c:pt>
                <c:pt idx="5">
                  <c:v>4</c:v>
                </c:pt>
                <c:pt idx="6">
                  <c:v>5</c:v>
                </c:pt>
                <c:pt idx="7">
                  <c:v>6</c:v>
                </c:pt>
                <c:pt idx="8">
                  <c:v>7</c:v>
                </c:pt>
                <c:pt idx="9">
                  <c:v>8</c:v>
                </c:pt>
                <c:pt idx="10">
                  <c:v>0</c:v>
                </c:pt>
                <c:pt idx="11">
                  <c:v>0</c:v>
                </c:pt>
                <c:pt idx="12">
                  <c:v>0</c:v>
                </c:pt>
              </c:numCache>
            </c:numRef>
          </c:val>
          <c:extLst>
            <c:ext xmlns:c16="http://schemas.microsoft.com/office/drawing/2014/chart" uri="{C3380CC4-5D6E-409C-BE32-E72D297353CC}">
              <c16:uniqueId val="{00000001-1FFE-42A0-9B12-A9513F47B7BD}"/>
            </c:ext>
          </c:extLst>
        </c:ser>
        <c:ser>
          <c:idx val="2"/>
          <c:order val="2"/>
          <c:spPr>
            <a:solidFill>
              <a:schemeClr val="bg1">
                <a:lumMod val="85000"/>
                <a:alpha val="40000"/>
              </a:schemeClr>
            </a:solidFill>
            <a:ln w="6350">
              <a:solidFill>
                <a:schemeClr val="tx1"/>
              </a:solidFill>
            </a:ln>
            <a:effectLst/>
          </c:spPr>
          <c:invertIfNegative val="0"/>
          <c:dLbls>
            <c:dLbl>
              <c:idx val="0"/>
              <c:layout>
                <c:manualLayout>
                  <c:x val="-1.0269951746591473E-3"/>
                  <c:y val="-3.833620854897450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E1-4FF9-BD70-6199C68827B8}"/>
                </c:ext>
              </c:extLst>
            </c:dLbl>
            <c:dLbl>
              <c:idx val="1"/>
              <c:layout>
                <c:manualLayout>
                  <c:x val="-8.2159613972730278E-3"/>
                  <c:y val="-4.025301897642322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AE1-4FF9-BD70-6199C68827B8}"/>
                </c:ext>
              </c:extLst>
            </c:dLbl>
            <c:dLbl>
              <c:idx val="6"/>
              <c:layout>
                <c:manualLayout>
                  <c:x val="-7.5312109463087611E-17"/>
                  <c:y val="-3.64193981215257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AE1-4FF9-BD70-6199C68827B8}"/>
                </c:ext>
              </c:extLst>
            </c:dLbl>
            <c:dLbl>
              <c:idx val="7"/>
              <c:layout>
                <c:manualLayout>
                  <c:x val="-7.5312109463087611E-17"/>
                  <c:y val="3.066896683917960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AE1-4FF9-BD70-6199C68827B8}"/>
                </c:ext>
              </c:extLst>
            </c:dLbl>
            <c:dLbl>
              <c:idx val="8"/>
              <c:layout>
                <c:manualLayout>
                  <c:x val="0"/>
                  <c:y val="3.833620854897450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AE1-4FF9-BD70-6199C68827B8}"/>
                </c:ext>
              </c:extLst>
            </c:dLbl>
            <c:dLbl>
              <c:idx val="9"/>
              <c:layout>
                <c:manualLayout>
                  <c:x val="0"/>
                  <c:y val="-3.066896683917964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AE1-4FF9-BD70-6199C68827B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Gráfico!$P$22:$P$34</c:f>
                <c:numCache>
                  <c:formatCode>General</c:formatCode>
                  <c:ptCount val="13"/>
                  <c:pt idx="0">
                    <c:v>175.00481059826711</c:v>
                  </c:pt>
                  <c:pt idx="1">
                    <c:v>0</c:v>
                  </c:pt>
                  <c:pt idx="2">
                    <c:v>694.03419017629722</c:v>
                  </c:pt>
                  <c:pt idx="3">
                    <c:v>2125.4275255782049</c:v>
                  </c:pt>
                  <c:pt idx="4">
                    <c:v>53.266137250653628</c:v>
                  </c:pt>
                  <c:pt idx="5">
                    <c:v>163.45340742833014</c:v>
                  </c:pt>
                  <c:pt idx="6">
                    <c:v>0</c:v>
                  </c:pt>
                  <c:pt idx="7">
                    <c:v>131.98660131106112</c:v>
                  </c:pt>
                  <c:pt idx="8">
                    <c:v>453.61895029705988</c:v>
                  </c:pt>
                  <c:pt idx="9">
                    <c:v>0</c:v>
                  </c:pt>
                  <c:pt idx="10">
                    <c:v>2994.4665263527695</c:v>
                  </c:pt>
                  <c:pt idx="11">
                    <c:v>3211.1860710317524</c:v>
                  </c:pt>
                  <c:pt idx="12">
                    <c:v>3796.791622639872</c:v>
                  </c:pt>
                </c:numCache>
              </c:numRef>
            </c:plus>
            <c:minus>
              <c:numRef>
                <c:f>Gráfico!$L$22:$L$34</c:f>
                <c:numCache>
                  <c:formatCode>General</c:formatCode>
                  <c:ptCount val="13"/>
                  <c:pt idx="0">
                    <c:v>130.50334047554725</c:v>
                  </c:pt>
                  <c:pt idx="1">
                    <c:v>0</c:v>
                  </c:pt>
                  <c:pt idx="2">
                    <c:v>962.87994029871459</c:v>
                  </c:pt>
                  <c:pt idx="3">
                    <c:v>1553.0987506113279</c:v>
                  </c:pt>
                  <c:pt idx="4">
                    <c:v>59.348992673231805</c:v>
                  </c:pt>
                  <c:pt idx="5">
                    <c:v>251.7539267872535</c:v>
                  </c:pt>
                  <c:pt idx="6">
                    <c:v>0</c:v>
                  </c:pt>
                  <c:pt idx="7">
                    <c:v>68.719511004344156</c:v>
                  </c:pt>
                  <c:pt idx="8">
                    <c:v>153.40115267948835</c:v>
                  </c:pt>
                  <c:pt idx="9">
                    <c:v>0</c:v>
                  </c:pt>
                  <c:pt idx="10">
                    <c:v>2646.4820313855894</c:v>
                  </c:pt>
                  <c:pt idx="11">
                    <c:v>2957.5849508460751</c:v>
                  </c:pt>
                  <c:pt idx="12">
                    <c:v>3179.7056145299075</c:v>
                  </c:pt>
                </c:numCache>
              </c:numRef>
            </c:minus>
            <c:spPr>
              <a:noFill/>
              <a:ln w="25400" cap="flat" cmpd="sng" algn="ctr">
                <a:solidFill>
                  <a:schemeClr val="tx1"/>
                </a:solidFill>
                <a:round/>
              </a:ln>
              <a:effectLst/>
            </c:spPr>
          </c:errBars>
          <c:cat>
            <c:strRef>
              <c:f>Gráfico!$C$22:$C$34</c:f>
              <c:strCache>
                <c:ptCount val="13"/>
                <c:pt idx="0">
                  <c:v>Matérias Primas</c:v>
                </c:pt>
                <c:pt idx="1">
                  <c:v>Frete Minério</c:v>
                </c:pt>
                <c:pt idx="2">
                  <c:v>Alumina</c:v>
                </c:pt>
                <c:pt idx="3">
                  <c:v>Alumínio Primário &amp; Secundário</c:v>
                </c:pt>
                <c:pt idx="4">
                  <c:v>Ligas</c:v>
                </c:pt>
                <c:pt idx="5">
                  <c:v>Conformação Siderúrgica</c:v>
                </c:pt>
                <c:pt idx="6">
                  <c:v>Frete para as Autopeças</c:v>
                </c:pt>
                <c:pt idx="7">
                  <c:v>Conformação Final (Autopeças &amp; Montadoras)</c:v>
                </c:pt>
                <c:pt idx="8">
                  <c:v>Perdas de Processamento</c:v>
                </c:pt>
                <c:pt idx="9">
                  <c:v>Frete para as Montadoras</c:v>
                </c:pt>
                <c:pt idx="10">
                  <c:v>Alumínio Líquido Bruto (kg CO2e/kg Alumínio)</c:v>
                </c:pt>
                <c:pt idx="11">
                  <c:v>Alumínio Siderúrgico (kg CO2e/kg Alumínio)</c:v>
                </c:pt>
                <c:pt idx="12">
                  <c:v>Alumínio no Portão da Montadora (kg CO2e/kg Alumínio)</c:v>
                </c:pt>
              </c:strCache>
            </c:strRef>
          </c:cat>
          <c:val>
            <c:numRef>
              <c:f>Gráfico!$O$22:$O$34</c:f>
              <c:numCache>
                <c:formatCode>#,##0_ ;[Red]\-#,##0\ </c:formatCode>
                <c:ptCount val="13"/>
                <c:pt idx="0">
                  <c:v>922.05732279163612</c:v>
                </c:pt>
                <c:pt idx="1">
                  <c:v>0</c:v>
                </c:pt>
                <c:pt idx="2">
                  <c:v>1376.9657179603632</c:v>
                </c:pt>
                <c:pt idx="3">
                  <c:v>4237.2673980435375</c:v>
                </c:pt>
                <c:pt idx="4">
                  <c:v>1402.8145704636936</c:v>
                </c:pt>
                <c:pt idx="5">
                  <c:v>347.43591943399565</c:v>
                </c:pt>
                <c:pt idx="6">
                  <c:v>0</c:v>
                </c:pt>
                <c:pt idx="7">
                  <c:v>330.2517973656046</c:v>
                </c:pt>
                <c:pt idx="8">
                  <c:v>175.85291277671089</c:v>
                </c:pt>
                <c:pt idx="9">
                  <c:v>0</c:v>
                </c:pt>
                <c:pt idx="10">
                  <c:v>0</c:v>
                </c:pt>
                <c:pt idx="11">
                  <c:v>0</c:v>
                </c:pt>
                <c:pt idx="12">
                  <c:v>0</c:v>
                </c:pt>
              </c:numCache>
            </c:numRef>
          </c:val>
          <c:extLst>
            <c:ext xmlns:c16="http://schemas.microsoft.com/office/drawing/2014/chart" uri="{C3380CC4-5D6E-409C-BE32-E72D297353CC}">
              <c16:uniqueId val="{00000002-1FFE-42A0-9B12-A9513F47B7BD}"/>
            </c:ext>
          </c:extLst>
        </c:ser>
        <c:dLbls>
          <c:dLblPos val="ctr"/>
          <c:showLegendKey val="0"/>
          <c:showVal val="1"/>
          <c:showCatName val="0"/>
          <c:showSerName val="0"/>
          <c:showPercent val="0"/>
          <c:showBubbleSize val="0"/>
        </c:dLbls>
        <c:gapWidth val="150"/>
        <c:overlap val="100"/>
        <c:axId val="1554493008"/>
        <c:axId val="1554495888"/>
      </c:barChart>
      <c:catAx>
        <c:axId val="15544930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554495888"/>
        <c:crosses val="autoZero"/>
        <c:auto val="1"/>
        <c:lblAlgn val="ctr"/>
        <c:lblOffset val="100"/>
        <c:noMultiLvlLbl val="0"/>
      </c:catAx>
      <c:valAx>
        <c:axId val="1554495888"/>
        <c:scaling>
          <c:orientation val="minMax"/>
          <c:max val="90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solidFill>
                    <a:latin typeface="+mn-lt"/>
                    <a:ea typeface="+mn-ea"/>
                    <a:cs typeface="+mn-cs"/>
                  </a:defRPr>
                </a:pPr>
                <a:r>
                  <a:rPr lang="en-US" sz="1800" b="0" i="0" u="none" strike="noStrike" baseline="0">
                    <a:solidFill>
                      <a:schemeClr val="tx1"/>
                    </a:solidFill>
                    <a:effectLst/>
                  </a:rPr>
                  <a:t>g CO</a:t>
                </a:r>
                <a:r>
                  <a:rPr lang="en-US" sz="1800" b="0" i="0" u="none" strike="noStrike" baseline="-25000">
                    <a:solidFill>
                      <a:schemeClr val="tx1"/>
                    </a:solidFill>
                    <a:effectLst/>
                  </a:rPr>
                  <a:t>2</a:t>
                </a:r>
                <a:r>
                  <a:rPr lang="en-US" sz="1800" b="0" i="0" u="none" strike="noStrike" baseline="0">
                    <a:solidFill>
                      <a:schemeClr val="tx1"/>
                    </a:solidFill>
                    <a:effectLst/>
                  </a:rPr>
                  <a:t>e/kg alumínio</a:t>
                </a:r>
              </a:p>
            </c:rich>
          </c:tx>
          <c:layout>
            <c:manualLayout>
              <c:xMode val="edge"/>
              <c:yMode val="edge"/>
              <c:x val="1.7493638676844784E-2"/>
              <c:y val="0.41766253288237504"/>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title>
        <c:numFmt formatCode="#,##0_ ;[Red]\-#,##0\ "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554493008"/>
        <c:crosses val="autoZero"/>
        <c:crossBetween val="between"/>
      </c:valAx>
      <c:spPr>
        <a:noFill/>
        <a:ln>
          <a:noFill/>
        </a:ln>
        <a:effectLst/>
      </c:spPr>
    </c:plotArea>
    <c:plotVisOnly val="1"/>
    <c:dispBlanksAs val="gap"/>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jpeg"/><Relationship Id="rId2" Type="http://schemas.openxmlformats.org/officeDocument/2006/relationships/customXml" Target="../ink/ink1.xml"/><Relationship Id="rId1" Type="http://schemas.openxmlformats.org/officeDocument/2006/relationships/image" Target="../media/image39.jpe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jpeg"/><Relationship Id="rId9" Type="http://schemas.openxmlformats.org/officeDocument/2006/relationships/image" Target="../media/image46.png"/></Relationships>
</file>

<file path=xl/drawings/_rels/drawing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7</xdr:col>
      <xdr:colOff>44160</xdr:colOff>
      <xdr:row>15</xdr:row>
      <xdr:rowOff>99060</xdr:rowOff>
    </xdr:to>
    <xdr:pic>
      <xdr:nvPicPr>
        <xdr:cNvPr id="2" name="Imagem 1">
          <a:extLst>
            <a:ext uri="{FF2B5EF4-FFF2-40B4-BE49-F238E27FC236}">
              <a16:creationId xmlns:a16="http://schemas.microsoft.com/office/drawing/2014/main" id="{DC9F76C1-A251-D8E3-37A4-B9868A6FD134}"/>
            </a:ext>
          </a:extLst>
        </xdr:cNvPr>
        <xdr:cNvPicPr>
          <a:picLocks noChangeAspect="1"/>
        </xdr:cNvPicPr>
      </xdr:nvPicPr>
      <xdr:blipFill>
        <a:blip xmlns:r="http://schemas.openxmlformats.org/officeDocument/2006/relationships" r:embed="rId1"/>
        <a:stretch>
          <a:fillRect/>
        </a:stretch>
      </xdr:blipFill>
      <xdr:spPr>
        <a:xfrm>
          <a:off x="0" y="182881"/>
          <a:ext cx="4311360" cy="2659379"/>
        </a:xfrm>
        <a:prstGeom prst="rect">
          <a:avLst/>
        </a:prstGeom>
      </xdr:spPr>
    </xdr:pic>
    <xdr:clientData/>
  </xdr:twoCellAnchor>
  <xdr:twoCellAnchor editAs="oneCell">
    <xdr:from>
      <xdr:col>8</xdr:col>
      <xdr:colOff>1</xdr:colOff>
      <xdr:row>1</xdr:row>
      <xdr:rowOff>0</xdr:rowOff>
    </xdr:from>
    <xdr:to>
      <xdr:col>14</xdr:col>
      <xdr:colOff>495301</xdr:colOff>
      <xdr:row>22</xdr:row>
      <xdr:rowOff>153034</xdr:rowOff>
    </xdr:to>
    <xdr:pic>
      <xdr:nvPicPr>
        <xdr:cNvPr id="3" name="Imagem 2">
          <a:extLst>
            <a:ext uri="{FF2B5EF4-FFF2-40B4-BE49-F238E27FC236}">
              <a16:creationId xmlns:a16="http://schemas.microsoft.com/office/drawing/2014/main" id="{E56E2B96-8810-4251-EA22-065E0A440BBF}"/>
            </a:ext>
          </a:extLst>
        </xdr:cNvPr>
        <xdr:cNvPicPr>
          <a:picLocks noChangeAspect="1"/>
        </xdr:cNvPicPr>
      </xdr:nvPicPr>
      <xdr:blipFill>
        <a:blip xmlns:r="http://schemas.openxmlformats.org/officeDocument/2006/relationships" r:embed="rId2"/>
        <a:stretch>
          <a:fillRect/>
        </a:stretch>
      </xdr:blipFill>
      <xdr:spPr>
        <a:xfrm>
          <a:off x="4876801" y="182880"/>
          <a:ext cx="4152900" cy="3993514"/>
        </a:xfrm>
        <a:prstGeom prst="rect">
          <a:avLst/>
        </a:prstGeom>
      </xdr:spPr>
    </xdr:pic>
    <xdr:clientData/>
  </xdr:twoCellAnchor>
  <xdr:twoCellAnchor editAs="oneCell">
    <xdr:from>
      <xdr:col>16</xdr:col>
      <xdr:colOff>0</xdr:colOff>
      <xdr:row>1</xdr:row>
      <xdr:rowOff>7620</xdr:rowOff>
    </xdr:from>
    <xdr:to>
      <xdr:col>23</xdr:col>
      <xdr:colOff>15240</xdr:colOff>
      <xdr:row>23</xdr:row>
      <xdr:rowOff>64741</xdr:rowOff>
    </xdr:to>
    <xdr:pic>
      <xdr:nvPicPr>
        <xdr:cNvPr id="4" name="Imagem 3">
          <a:extLst>
            <a:ext uri="{FF2B5EF4-FFF2-40B4-BE49-F238E27FC236}">
              <a16:creationId xmlns:a16="http://schemas.microsoft.com/office/drawing/2014/main" id="{1DDD413F-D31E-2A41-43BA-5F8B9E535D55}"/>
            </a:ext>
          </a:extLst>
        </xdr:cNvPr>
        <xdr:cNvPicPr>
          <a:picLocks noChangeAspect="1"/>
        </xdr:cNvPicPr>
      </xdr:nvPicPr>
      <xdr:blipFill>
        <a:blip xmlns:r="http://schemas.openxmlformats.org/officeDocument/2006/relationships" r:embed="rId3"/>
        <a:stretch>
          <a:fillRect/>
        </a:stretch>
      </xdr:blipFill>
      <xdr:spPr>
        <a:xfrm>
          <a:off x="9753600" y="190500"/>
          <a:ext cx="4282440" cy="4080481"/>
        </a:xfrm>
        <a:prstGeom prst="rect">
          <a:avLst/>
        </a:prstGeom>
      </xdr:spPr>
    </xdr:pic>
    <xdr:clientData/>
  </xdr:twoCellAnchor>
  <xdr:twoCellAnchor editAs="oneCell">
    <xdr:from>
      <xdr:col>0</xdr:col>
      <xdr:colOff>0</xdr:colOff>
      <xdr:row>26</xdr:row>
      <xdr:rowOff>0</xdr:rowOff>
    </xdr:from>
    <xdr:to>
      <xdr:col>10</xdr:col>
      <xdr:colOff>272143</xdr:colOff>
      <xdr:row>45</xdr:row>
      <xdr:rowOff>179249</xdr:rowOff>
    </xdr:to>
    <xdr:pic>
      <xdr:nvPicPr>
        <xdr:cNvPr id="5" name="Imagem 4">
          <a:extLst>
            <a:ext uri="{FF2B5EF4-FFF2-40B4-BE49-F238E27FC236}">
              <a16:creationId xmlns:a16="http://schemas.microsoft.com/office/drawing/2014/main" id="{11843F08-E857-4A7C-0DCD-6EC0A2E11A36}"/>
            </a:ext>
          </a:extLst>
        </xdr:cNvPr>
        <xdr:cNvPicPr>
          <a:picLocks noChangeAspect="1"/>
        </xdr:cNvPicPr>
      </xdr:nvPicPr>
      <xdr:blipFill>
        <a:blip xmlns:r="http://schemas.openxmlformats.org/officeDocument/2006/relationships" r:embed="rId4"/>
        <a:stretch>
          <a:fillRect/>
        </a:stretch>
      </xdr:blipFill>
      <xdr:spPr>
        <a:xfrm>
          <a:off x="0" y="4811486"/>
          <a:ext cx="6368143" cy="3695335"/>
        </a:xfrm>
        <a:prstGeom prst="rect">
          <a:avLst/>
        </a:prstGeom>
      </xdr:spPr>
    </xdr:pic>
    <xdr:clientData/>
  </xdr:twoCellAnchor>
  <xdr:twoCellAnchor editAs="oneCell">
    <xdr:from>
      <xdr:col>0</xdr:col>
      <xdr:colOff>0</xdr:colOff>
      <xdr:row>47</xdr:row>
      <xdr:rowOff>32657</xdr:rowOff>
    </xdr:from>
    <xdr:to>
      <xdr:col>6</xdr:col>
      <xdr:colOff>13642</xdr:colOff>
      <xdr:row>58</xdr:row>
      <xdr:rowOff>32656</xdr:rowOff>
    </xdr:to>
    <xdr:pic>
      <xdr:nvPicPr>
        <xdr:cNvPr id="6" name="Imagem 5">
          <a:extLst>
            <a:ext uri="{FF2B5EF4-FFF2-40B4-BE49-F238E27FC236}">
              <a16:creationId xmlns:a16="http://schemas.microsoft.com/office/drawing/2014/main" id="{04E08631-D9D2-5A6C-6FEA-64079AD5E717}"/>
            </a:ext>
          </a:extLst>
        </xdr:cNvPr>
        <xdr:cNvPicPr>
          <a:picLocks noChangeAspect="1"/>
        </xdr:cNvPicPr>
      </xdr:nvPicPr>
      <xdr:blipFill>
        <a:blip xmlns:r="http://schemas.openxmlformats.org/officeDocument/2006/relationships" r:embed="rId5"/>
        <a:stretch>
          <a:fillRect/>
        </a:stretch>
      </xdr:blipFill>
      <xdr:spPr>
        <a:xfrm>
          <a:off x="0" y="8730343"/>
          <a:ext cx="3671242" cy="2035628"/>
        </a:xfrm>
        <a:prstGeom prst="rect">
          <a:avLst/>
        </a:prstGeom>
      </xdr:spPr>
    </xdr:pic>
    <xdr:clientData/>
  </xdr:twoCellAnchor>
  <xdr:twoCellAnchor editAs="oneCell">
    <xdr:from>
      <xdr:col>7</xdr:col>
      <xdr:colOff>0</xdr:colOff>
      <xdr:row>47</xdr:row>
      <xdr:rowOff>0</xdr:rowOff>
    </xdr:from>
    <xdr:to>
      <xdr:col>14</xdr:col>
      <xdr:colOff>114680</xdr:colOff>
      <xdr:row>69</xdr:row>
      <xdr:rowOff>127726</xdr:rowOff>
    </xdr:to>
    <xdr:pic>
      <xdr:nvPicPr>
        <xdr:cNvPr id="7" name="Imagem 6">
          <a:extLst>
            <a:ext uri="{FF2B5EF4-FFF2-40B4-BE49-F238E27FC236}">
              <a16:creationId xmlns:a16="http://schemas.microsoft.com/office/drawing/2014/main" id="{5AE8636C-9019-A7BB-CCDF-C4F33D68C6F8}"/>
            </a:ext>
          </a:extLst>
        </xdr:cNvPr>
        <xdr:cNvPicPr>
          <a:picLocks noChangeAspect="1"/>
        </xdr:cNvPicPr>
      </xdr:nvPicPr>
      <xdr:blipFill>
        <a:blip xmlns:r="http://schemas.openxmlformats.org/officeDocument/2006/relationships" r:embed="rId6"/>
        <a:stretch>
          <a:fillRect/>
        </a:stretch>
      </xdr:blipFill>
      <xdr:spPr>
        <a:xfrm>
          <a:off x="4267200" y="8697686"/>
          <a:ext cx="4381880" cy="4198984"/>
        </a:xfrm>
        <a:prstGeom prst="rect">
          <a:avLst/>
        </a:prstGeom>
      </xdr:spPr>
    </xdr:pic>
    <xdr:clientData/>
  </xdr:twoCellAnchor>
  <xdr:twoCellAnchor editAs="oneCell">
    <xdr:from>
      <xdr:col>15</xdr:col>
      <xdr:colOff>0</xdr:colOff>
      <xdr:row>47</xdr:row>
      <xdr:rowOff>0</xdr:rowOff>
    </xdr:from>
    <xdr:to>
      <xdr:col>22</xdr:col>
      <xdr:colOff>579540</xdr:colOff>
      <xdr:row>63</xdr:row>
      <xdr:rowOff>18763</xdr:rowOff>
    </xdr:to>
    <xdr:pic>
      <xdr:nvPicPr>
        <xdr:cNvPr id="8" name="Imagem 7">
          <a:extLst>
            <a:ext uri="{FF2B5EF4-FFF2-40B4-BE49-F238E27FC236}">
              <a16:creationId xmlns:a16="http://schemas.microsoft.com/office/drawing/2014/main" id="{81EE3C0D-FEF1-A09C-C8C9-82D79DB42278}"/>
            </a:ext>
          </a:extLst>
        </xdr:cNvPr>
        <xdr:cNvPicPr>
          <a:picLocks noChangeAspect="1"/>
        </xdr:cNvPicPr>
      </xdr:nvPicPr>
      <xdr:blipFill>
        <a:blip xmlns:r="http://schemas.openxmlformats.org/officeDocument/2006/relationships" r:embed="rId7"/>
        <a:stretch>
          <a:fillRect/>
        </a:stretch>
      </xdr:blipFill>
      <xdr:spPr>
        <a:xfrm>
          <a:off x="9144000" y="8697686"/>
          <a:ext cx="4846740" cy="2979678"/>
        </a:xfrm>
        <a:prstGeom prst="rect">
          <a:avLst/>
        </a:prstGeom>
      </xdr:spPr>
    </xdr:pic>
    <xdr:clientData/>
  </xdr:twoCellAnchor>
  <xdr:twoCellAnchor editAs="oneCell">
    <xdr:from>
      <xdr:col>24</xdr:col>
      <xdr:colOff>0</xdr:colOff>
      <xdr:row>47</xdr:row>
      <xdr:rowOff>0</xdr:rowOff>
    </xdr:from>
    <xdr:to>
      <xdr:col>31</xdr:col>
      <xdr:colOff>564299</xdr:colOff>
      <xdr:row>61</xdr:row>
      <xdr:rowOff>84052</xdr:rowOff>
    </xdr:to>
    <xdr:pic>
      <xdr:nvPicPr>
        <xdr:cNvPr id="9" name="Imagem 8">
          <a:extLst>
            <a:ext uri="{FF2B5EF4-FFF2-40B4-BE49-F238E27FC236}">
              <a16:creationId xmlns:a16="http://schemas.microsoft.com/office/drawing/2014/main" id="{F8350400-7A5E-326E-9A17-9987300D5638}"/>
            </a:ext>
          </a:extLst>
        </xdr:cNvPr>
        <xdr:cNvPicPr>
          <a:picLocks noChangeAspect="1"/>
        </xdr:cNvPicPr>
      </xdr:nvPicPr>
      <xdr:blipFill>
        <a:blip xmlns:r="http://schemas.openxmlformats.org/officeDocument/2006/relationships" r:embed="rId8"/>
        <a:stretch>
          <a:fillRect/>
        </a:stretch>
      </xdr:blipFill>
      <xdr:spPr>
        <a:xfrm>
          <a:off x="14630400" y="8697686"/>
          <a:ext cx="4831499" cy="2674852"/>
        </a:xfrm>
        <a:prstGeom prst="rect">
          <a:avLst/>
        </a:prstGeom>
      </xdr:spPr>
    </xdr:pic>
    <xdr:clientData/>
  </xdr:twoCellAnchor>
  <xdr:twoCellAnchor editAs="oneCell">
    <xdr:from>
      <xdr:col>7</xdr:col>
      <xdr:colOff>10886</xdr:colOff>
      <xdr:row>72</xdr:row>
      <xdr:rowOff>10886</xdr:rowOff>
    </xdr:from>
    <xdr:to>
      <xdr:col>13</xdr:col>
      <xdr:colOff>552270</xdr:colOff>
      <xdr:row>96</xdr:row>
      <xdr:rowOff>95095</xdr:rowOff>
    </xdr:to>
    <xdr:pic>
      <xdr:nvPicPr>
        <xdr:cNvPr id="10" name="Imagem 9">
          <a:extLst>
            <a:ext uri="{FF2B5EF4-FFF2-40B4-BE49-F238E27FC236}">
              <a16:creationId xmlns:a16="http://schemas.microsoft.com/office/drawing/2014/main" id="{DCA435BB-3EE8-CDF7-D122-913DCD4BD4A7}"/>
            </a:ext>
          </a:extLst>
        </xdr:cNvPr>
        <xdr:cNvPicPr>
          <a:picLocks noChangeAspect="1"/>
        </xdr:cNvPicPr>
      </xdr:nvPicPr>
      <xdr:blipFill>
        <a:blip xmlns:r="http://schemas.openxmlformats.org/officeDocument/2006/relationships" r:embed="rId9"/>
        <a:stretch>
          <a:fillRect/>
        </a:stretch>
      </xdr:blipFill>
      <xdr:spPr>
        <a:xfrm>
          <a:off x="4278086" y="13335000"/>
          <a:ext cx="4198984" cy="4525580"/>
        </a:xfrm>
        <a:prstGeom prst="rect">
          <a:avLst/>
        </a:prstGeom>
      </xdr:spPr>
    </xdr:pic>
    <xdr:clientData/>
  </xdr:twoCellAnchor>
  <xdr:twoCellAnchor editAs="oneCell">
    <xdr:from>
      <xdr:col>0</xdr:col>
      <xdr:colOff>0</xdr:colOff>
      <xdr:row>72</xdr:row>
      <xdr:rowOff>1</xdr:rowOff>
    </xdr:from>
    <xdr:to>
      <xdr:col>6</xdr:col>
      <xdr:colOff>10886</xdr:colOff>
      <xdr:row>83</xdr:row>
      <xdr:rowOff>106910</xdr:rowOff>
    </xdr:to>
    <xdr:pic>
      <xdr:nvPicPr>
        <xdr:cNvPr id="11" name="Imagem 10">
          <a:extLst>
            <a:ext uri="{FF2B5EF4-FFF2-40B4-BE49-F238E27FC236}">
              <a16:creationId xmlns:a16="http://schemas.microsoft.com/office/drawing/2014/main" id="{A220FC32-2227-515C-07A4-6410EBAEA29B}"/>
            </a:ext>
          </a:extLst>
        </xdr:cNvPr>
        <xdr:cNvPicPr>
          <a:picLocks noChangeAspect="1"/>
        </xdr:cNvPicPr>
      </xdr:nvPicPr>
      <xdr:blipFill>
        <a:blip xmlns:r="http://schemas.openxmlformats.org/officeDocument/2006/relationships" r:embed="rId10"/>
        <a:stretch>
          <a:fillRect/>
        </a:stretch>
      </xdr:blipFill>
      <xdr:spPr>
        <a:xfrm>
          <a:off x="0" y="13324115"/>
          <a:ext cx="3668486" cy="2142538"/>
        </a:xfrm>
        <a:prstGeom prst="rect">
          <a:avLst/>
        </a:prstGeom>
      </xdr:spPr>
    </xdr:pic>
    <xdr:clientData/>
  </xdr:twoCellAnchor>
  <xdr:twoCellAnchor editAs="oneCell">
    <xdr:from>
      <xdr:col>7</xdr:col>
      <xdr:colOff>0</xdr:colOff>
      <xdr:row>99</xdr:row>
      <xdr:rowOff>0</xdr:rowOff>
    </xdr:from>
    <xdr:to>
      <xdr:col>19</xdr:col>
      <xdr:colOff>114944</xdr:colOff>
      <xdr:row>125</xdr:row>
      <xdr:rowOff>103840</xdr:rowOff>
    </xdr:to>
    <xdr:pic>
      <xdr:nvPicPr>
        <xdr:cNvPr id="12" name="Imagem 11">
          <a:extLst>
            <a:ext uri="{FF2B5EF4-FFF2-40B4-BE49-F238E27FC236}">
              <a16:creationId xmlns:a16="http://schemas.microsoft.com/office/drawing/2014/main" id="{615E1049-DD9D-46A5-78E2-4D6CF5A9476B}"/>
            </a:ext>
          </a:extLst>
        </xdr:cNvPr>
        <xdr:cNvPicPr>
          <a:picLocks noChangeAspect="1"/>
        </xdr:cNvPicPr>
      </xdr:nvPicPr>
      <xdr:blipFill>
        <a:blip xmlns:r="http://schemas.openxmlformats.org/officeDocument/2006/relationships" r:embed="rId11"/>
        <a:stretch>
          <a:fillRect/>
        </a:stretch>
      </xdr:blipFill>
      <xdr:spPr>
        <a:xfrm>
          <a:off x="4267200" y="18407743"/>
          <a:ext cx="7430144" cy="4915326"/>
        </a:xfrm>
        <a:prstGeom prst="rect">
          <a:avLst/>
        </a:prstGeom>
      </xdr:spPr>
    </xdr:pic>
    <xdr:clientData/>
  </xdr:twoCellAnchor>
  <xdr:twoCellAnchor editAs="oneCell">
    <xdr:from>
      <xdr:col>0</xdr:col>
      <xdr:colOff>1</xdr:colOff>
      <xdr:row>99</xdr:row>
      <xdr:rowOff>1</xdr:rowOff>
    </xdr:from>
    <xdr:to>
      <xdr:col>5</xdr:col>
      <xdr:colOff>605999</xdr:colOff>
      <xdr:row>112</xdr:row>
      <xdr:rowOff>43544</xdr:rowOff>
    </xdr:to>
    <xdr:pic>
      <xdr:nvPicPr>
        <xdr:cNvPr id="13" name="Imagem 12">
          <a:extLst>
            <a:ext uri="{FF2B5EF4-FFF2-40B4-BE49-F238E27FC236}">
              <a16:creationId xmlns:a16="http://schemas.microsoft.com/office/drawing/2014/main" id="{FDC538F4-E450-A2F8-B6BD-2551747805DB}"/>
            </a:ext>
          </a:extLst>
        </xdr:cNvPr>
        <xdr:cNvPicPr>
          <a:picLocks noChangeAspect="1"/>
        </xdr:cNvPicPr>
      </xdr:nvPicPr>
      <xdr:blipFill>
        <a:blip xmlns:r="http://schemas.openxmlformats.org/officeDocument/2006/relationships" r:embed="rId12"/>
        <a:stretch>
          <a:fillRect/>
        </a:stretch>
      </xdr:blipFill>
      <xdr:spPr>
        <a:xfrm>
          <a:off x="1" y="18407744"/>
          <a:ext cx="3653998" cy="2449286"/>
        </a:xfrm>
        <a:prstGeom prst="rect">
          <a:avLst/>
        </a:prstGeom>
      </xdr:spPr>
    </xdr:pic>
    <xdr:clientData/>
  </xdr:twoCellAnchor>
  <xdr:twoCellAnchor editAs="oneCell">
    <xdr:from>
      <xdr:col>0</xdr:col>
      <xdr:colOff>0</xdr:colOff>
      <xdr:row>127</xdr:row>
      <xdr:rowOff>1</xdr:rowOff>
    </xdr:from>
    <xdr:to>
      <xdr:col>6</xdr:col>
      <xdr:colOff>117642</xdr:colOff>
      <xdr:row>131</xdr:row>
      <xdr:rowOff>174173</xdr:rowOff>
    </xdr:to>
    <xdr:pic>
      <xdr:nvPicPr>
        <xdr:cNvPr id="14" name="Imagem 13">
          <a:extLst>
            <a:ext uri="{FF2B5EF4-FFF2-40B4-BE49-F238E27FC236}">
              <a16:creationId xmlns:a16="http://schemas.microsoft.com/office/drawing/2014/main" id="{F99A1AC9-223E-1A15-D88C-B4E00B0BBB25}"/>
            </a:ext>
          </a:extLst>
        </xdr:cNvPr>
        <xdr:cNvPicPr>
          <a:picLocks noChangeAspect="1"/>
        </xdr:cNvPicPr>
      </xdr:nvPicPr>
      <xdr:blipFill>
        <a:blip xmlns:r="http://schemas.openxmlformats.org/officeDocument/2006/relationships" r:embed="rId13"/>
        <a:stretch>
          <a:fillRect/>
        </a:stretch>
      </xdr:blipFill>
      <xdr:spPr>
        <a:xfrm>
          <a:off x="0" y="23589344"/>
          <a:ext cx="3775242" cy="914400"/>
        </a:xfrm>
        <a:prstGeom prst="rect">
          <a:avLst/>
        </a:prstGeom>
      </xdr:spPr>
    </xdr:pic>
    <xdr:clientData/>
  </xdr:twoCellAnchor>
  <xdr:twoCellAnchor editAs="oneCell">
    <xdr:from>
      <xdr:col>7</xdr:col>
      <xdr:colOff>15155</xdr:colOff>
      <xdr:row>127</xdr:row>
      <xdr:rowOff>2048</xdr:rowOff>
    </xdr:from>
    <xdr:to>
      <xdr:col>24</xdr:col>
      <xdr:colOff>79850</xdr:colOff>
      <xdr:row>163</xdr:row>
      <xdr:rowOff>43546</xdr:rowOff>
    </xdr:to>
    <xdr:pic>
      <xdr:nvPicPr>
        <xdr:cNvPr id="15" name="Imagem 14">
          <a:extLst>
            <a:ext uri="{FF2B5EF4-FFF2-40B4-BE49-F238E27FC236}">
              <a16:creationId xmlns:a16="http://schemas.microsoft.com/office/drawing/2014/main" id="{37771C94-652C-7010-42BB-AC6D9FFE412B}"/>
            </a:ext>
          </a:extLst>
        </xdr:cNvPr>
        <xdr:cNvPicPr>
          <a:picLocks noChangeAspect="1"/>
        </xdr:cNvPicPr>
      </xdr:nvPicPr>
      <xdr:blipFill>
        <a:blip xmlns:r="http://schemas.openxmlformats.org/officeDocument/2006/relationships" r:embed="rId14"/>
        <a:stretch>
          <a:fillRect/>
        </a:stretch>
      </xdr:blipFill>
      <xdr:spPr>
        <a:xfrm rot="5400000">
          <a:off x="6287383" y="20804338"/>
          <a:ext cx="6476165" cy="10459881"/>
        </a:xfrm>
        <a:prstGeom prst="rect">
          <a:avLst/>
        </a:prstGeom>
      </xdr:spPr>
    </xdr:pic>
    <xdr:clientData/>
  </xdr:twoCellAnchor>
  <xdr:twoCellAnchor editAs="oneCell">
    <xdr:from>
      <xdr:col>25</xdr:col>
      <xdr:colOff>458</xdr:colOff>
      <xdr:row>125</xdr:row>
      <xdr:rowOff>184598</xdr:rowOff>
    </xdr:from>
    <xdr:to>
      <xdr:col>42</xdr:col>
      <xdr:colOff>531177</xdr:colOff>
      <xdr:row>163</xdr:row>
      <xdr:rowOff>130629</xdr:rowOff>
    </xdr:to>
    <xdr:pic>
      <xdr:nvPicPr>
        <xdr:cNvPr id="16" name="Imagem 15">
          <a:extLst>
            <a:ext uri="{FF2B5EF4-FFF2-40B4-BE49-F238E27FC236}">
              <a16:creationId xmlns:a16="http://schemas.microsoft.com/office/drawing/2014/main" id="{E570D44F-FF85-B800-757F-22B73AC7F412}"/>
            </a:ext>
          </a:extLst>
        </xdr:cNvPr>
        <xdr:cNvPicPr>
          <a:picLocks noChangeAspect="1"/>
        </xdr:cNvPicPr>
      </xdr:nvPicPr>
      <xdr:blipFill>
        <a:blip xmlns:r="http://schemas.openxmlformats.org/officeDocument/2006/relationships" r:embed="rId15"/>
        <a:stretch>
          <a:fillRect/>
        </a:stretch>
      </xdr:blipFill>
      <xdr:spPr>
        <a:xfrm rot="5400000">
          <a:off x="17198317" y="21445968"/>
          <a:ext cx="6978202" cy="10893919"/>
        </a:xfrm>
        <a:prstGeom prst="rect">
          <a:avLst/>
        </a:prstGeom>
      </xdr:spPr>
    </xdr:pic>
    <xdr:clientData/>
  </xdr:twoCellAnchor>
  <xdr:twoCellAnchor editAs="oneCell">
    <xdr:from>
      <xdr:col>0</xdr:col>
      <xdr:colOff>0</xdr:colOff>
      <xdr:row>165</xdr:row>
      <xdr:rowOff>15240</xdr:rowOff>
    </xdr:from>
    <xdr:to>
      <xdr:col>6</xdr:col>
      <xdr:colOff>41345</xdr:colOff>
      <xdr:row>173</xdr:row>
      <xdr:rowOff>15240</xdr:rowOff>
    </xdr:to>
    <xdr:pic>
      <xdr:nvPicPr>
        <xdr:cNvPr id="17" name="Imagem 16" descr="Texto&#10;&#10;Descrição gerada automaticamente">
          <a:extLst>
            <a:ext uri="{FF2B5EF4-FFF2-40B4-BE49-F238E27FC236}">
              <a16:creationId xmlns:a16="http://schemas.microsoft.com/office/drawing/2014/main" id="{B6611E93-9E7F-A21D-115D-F6DC3320B1FD}"/>
            </a:ext>
          </a:extLst>
        </xdr:cNvPr>
        <xdr:cNvPicPr>
          <a:picLocks noChangeAspect="1"/>
        </xdr:cNvPicPr>
      </xdr:nvPicPr>
      <xdr:blipFill>
        <a:blip xmlns:r="http://schemas.openxmlformats.org/officeDocument/2006/relationships" r:embed="rId16"/>
        <a:stretch>
          <a:fillRect/>
        </a:stretch>
      </xdr:blipFill>
      <xdr:spPr>
        <a:xfrm>
          <a:off x="0" y="30281880"/>
          <a:ext cx="3698945" cy="1463040"/>
        </a:xfrm>
        <a:prstGeom prst="rect">
          <a:avLst/>
        </a:prstGeom>
      </xdr:spPr>
    </xdr:pic>
    <xdr:clientData/>
  </xdr:twoCellAnchor>
  <xdr:twoCellAnchor editAs="oneCell">
    <xdr:from>
      <xdr:col>7</xdr:col>
      <xdr:colOff>0</xdr:colOff>
      <xdr:row>165</xdr:row>
      <xdr:rowOff>0</xdr:rowOff>
    </xdr:from>
    <xdr:to>
      <xdr:col>20</xdr:col>
      <xdr:colOff>39624</xdr:colOff>
      <xdr:row>181</xdr:row>
      <xdr:rowOff>137160</xdr:rowOff>
    </xdr:to>
    <xdr:pic>
      <xdr:nvPicPr>
        <xdr:cNvPr id="18" name="Imagem 17" descr="Gráfico, Gráfico de barras&#10;&#10;Descrição gerada automaticamente">
          <a:extLst>
            <a:ext uri="{FF2B5EF4-FFF2-40B4-BE49-F238E27FC236}">
              <a16:creationId xmlns:a16="http://schemas.microsoft.com/office/drawing/2014/main" id="{F1D685BB-5D1C-89C5-D600-DFCC042148B1}"/>
            </a:ext>
          </a:extLst>
        </xdr:cNvPr>
        <xdr:cNvPicPr>
          <a:picLocks noChangeAspect="1"/>
        </xdr:cNvPicPr>
      </xdr:nvPicPr>
      <xdr:blipFill>
        <a:blip xmlns:r="http://schemas.openxmlformats.org/officeDocument/2006/relationships" r:embed="rId17"/>
        <a:stretch>
          <a:fillRect/>
        </a:stretch>
      </xdr:blipFill>
      <xdr:spPr>
        <a:xfrm>
          <a:off x="4267200" y="30266640"/>
          <a:ext cx="7964424" cy="3063240"/>
        </a:xfrm>
        <a:prstGeom prst="rect">
          <a:avLst/>
        </a:prstGeom>
      </xdr:spPr>
    </xdr:pic>
    <xdr:clientData/>
  </xdr:twoCellAnchor>
  <xdr:twoCellAnchor editAs="oneCell">
    <xdr:from>
      <xdr:col>21</xdr:col>
      <xdr:colOff>-1</xdr:colOff>
      <xdr:row>165</xdr:row>
      <xdr:rowOff>0</xdr:rowOff>
    </xdr:from>
    <xdr:to>
      <xdr:col>30</xdr:col>
      <xdr:colOff>546928</xdr:colOff>
      <xdr:row>182</xdr:row>
      <xdr:rowOff>15240</xdr:rowOff>
    </xdr:to>
    <xdr:pic>
      <xdr:nvPicPr>
        <xdr:cNvPr id="19" name="Imagem 18" descr="Gráfico, Gráfico de barras&#10;&#10;Descrição gerada automaticamente">
          <a:extLst>
            <a:ext uri="{FF2B5EF4-FFF2-40B4-BE49-F238E27FC236}">
              <a16:creationId xmlns:a16="http://schemas.microsoft.com/office/drawing/2014/main" id="{B72FC2EA-B53A-D6B7-7FEB-C2168572EEAD}"/>
            </a:ext>
          </a:extLst>
        </xdr:cNvPr>
        <xdr:cNvPicPr>
          <a:picLocks noChangeAspect="1"/>
        </xdr:cNvPicPr>
      </xdr:nvPicPr>
      <xdr:blipFill>
        <a:blip xmlns:r="http://schemas.openxmlformats.org/officeDocument/2006/relationships" r:embed="rId18"/>
        <a:stretch>
          <a:fillRect/>
        </a:stretch>
      </xdr:blipFill>
      <xdr:spPr>
        <a:xfrm>
          <a:off x="12801599" y="30266640"/>
          <a:ext cx="6033329" cy="3124200"/>
        </a:xfrm>
        <a:prstGeom prst="rect">
          <a:avLst/>
        </a:prstGeom>
      </xdr:spPr>
    </xdr:pic>
    <xdr:clientData/>
  </xdr:twoCellAnchor>
  <xdr:twoCellAnchor editAs="oneCell">
    <xdr:from>
      <xdr:col>32</xdr:col>
      <xdr:colOff>0</xdr:colOff>
      <xdr:row>166</xdr:row>
      <xdr:rowOff>0</xdr:rowOff>
    </xdr:from>
    <xdr:to>
      <xdr:col>41</xdr:col>
      <xdr:colOff>472440</xdr:colOff>
      <xdr:row>189</xdr:row>
      <xdr:rowOff>1220</xdr:rowOff>
    </xdr:to>
    <xdr:pic>
      <xdr:nvPicPr>
        <xdr:cNvPr id="20" name="Imagem 19" descr="Gráfico, Gráfico de barras&#10;&#10;Descrição gerada automaticamente">
          <a:extLst>
            <a:ext uri="{FF2B5EF4-FFF2-40B4-BE49-F238E27FC236}">
              <a16:creationId xmlns:a16="http://schemas.microsoft.com/office/drawing/2014/main" id="{0EB2F58D-F65F-5CFD-27FB-85FB887788E1}"/>
            </a:ext>
          </a:extLst>
        </xdr:cNvPr>
        <xdr:cNvPicPr>
          <a:picLocks noChangeAspect="1"/>
        </xdr:cNvPicPr>
      </xdr:nvPicPr>
      <xdr:blipFill>
        <a:blip xmlns:r="http://schemas.openxmlformats.org/officeDocument/2006/relationships" r:embed="rId19"/>
        <a:stretch>
          <a:fillRect/>
        </a:stretch>
      </xdr:blipFill>
      <xdr:spPr>
        <a:xfrm>
          <a:off x="19507200" y="30449520"/>
          <a:ext cx="5958840" cy="4206008"/>
        </a:xfrm>
        <a:prstGeom prst="rect">
          <a:avLst/>
        </a:prstGeom>
      </xdr:spPr>
    </xdr:pic>
    <xdr:clientData/>
  </xdr:twoCellAnchor>
  <xdr:twoCellAnchor editAs="oneCell">
    <xdr:from>
      <xdr:col>43</xdr:col>
      <xdr:colOff>0</xdr:colOff>
      <xdr:row>166</xdr:row>
      <xdr:rowOff>-1</xdr:rowOff>
    </xdr:from>
    <xdr:to>
      <xdr:col>51</xdr:col>
      <xdr:colOff>45720</xdr:colOff>
      <xdr:row>183</xdr:row>
      <xdr:rowOff>172720</xdr:rowOff>
    </xdr:to>
    <xdr:pic>
      <xdr:nvPicPr>
        <xdr:cNvPr id="21" name="Imagem 20" descr="Gráfico, Gráfico de pizza&#10;&#10;Descrição gerada automaticamente">
          <a:extLst>
            <a:ext uri="{FF2B5EF4-FFF2-40B4-BE49-F238E27FC236}">
              <a16:creationId xmlns:a16="http://schemas.microsoft.com/office/drawing/2014/main" id="{9E565BE0-012B-0E19-E0F7-68A94FC9E09D}"/>
            </a:ext>
          </a:extLst>
        </xdr:cNvPr>
        <xdr:cNvPicPr>
          <a:picLocks noChangeAspect="1"/>
        </xdr:cNvPicPr>
      </xdr:nvPicPr>
      <xdr:blipFill>
        <a:blip xmlns:r="http://schemas.openxmlformats.org/officeDocument/2006/relationships" r:embed="rId20"/>
        <a:stretch>
          <a:fillRect/>
        </a:stretch>
      </xdr:blipFill>
      <xdr:spPr>
        <a:xfrm>
          <a:off x="26212800" y="30449519"/>
          <a:ext cx="4922520" cy="3281681"/>
        </a:xfrm>
        <a:prstGeom prst="rect">
          <a:avLst/>
        </a:prstGeom>
      </xdr:spPr>
    </xdr:pic>
    <xdr:clientData/>
  </xdr:twoCellAnchor>
  <xdr:twoCellAnchor editAs="oneCell">
    <xdr:from>
      <xdr:col>52</xdr:col>
      <xdr:colOff>0</xdr:colOff>
      <xdr:row>166</xdr:row>
      <xdr:rowOff>0</xdr:rowOff>
    </xdr:from>
    <xdr:to>
      <xdr:col>60</xdr:col>
      <xdr:colOff>456356</xdr:colOff>
      <xdr:row>184</xdr:row>
      <xdr:rowOff>15240</xdr:rowOff>
    </xdr:to>
    <xdr:pic>
      <xdr:nvPicPr>
        <xdr:cNvPr id="22" name="Imagem 21" descr="Diagrama&#10;&#10;Descrição gerada automaticamente">
          <a:extLst>
            <a:ext uri="{FF2B5EF4-FFF2-40B4-BE49-F238E27FC236}">
              <a16:creationId xmlns:a16="http://schemas.microsoft.com/office/drawing/2014/main" id="{9162C306-64E1-A53F-50CB-F3660E8CB183}"/>
            </a:ext>
          </a:extLst>
        </xdr:cNvPr>
        <xdr:cNvPicPr>
          <a:picLocks noChangeAspect="1"/>
        </xdr:cNvPicPr>
      </xdr:nvPicPr>
      <xdr:blipFill>
        <a:blip xmlns:r="http://schemas.openxmlformats.org/officeDocument/2006/relationships" r:embed="rId21"/>
        <a:stretch>
          <a:fillRect/>
        </a:stretch>
      </xdr:blipFill>
      <xdr:spPr>
        <a:xfrm>
          <a:off x="31699200" y="30449520"/>
          <a:ext cx="5333156" cy="3307080"/>
        </a:xfrm>
        <a:prstGeom prst="rect">
          <a:avLst/>
        </a:prstGeom>
      </xdr:spPr>
    </xdr:pic>
    <xdr:clientData/>
  </xdr:twoCellAnchor>
  <xdr:twoCellAnchor editAs="oneCell">
    <xdr:from>
      <xdr:col>0</xdr:col>
      <xdr:colOff>1</xdr:colOff>
      <xdr:row>190</xdr:row>
      <xdr:rowOff>0</xdr:rowOff>
    </xdr:from>
    <xdr:to>
      <xdr:col>5</xdr:col>
      <xdr:colOff>601519</xdr:colOff>
      <xdr:row>199</xdr:row>
      <xdr:rowOff>15240</xdr:rowOff>
    </xdr:to>
    <xdr:pic>
      <xdr:nvPicPr>
        <xdr:cNvPr id="23" name="Imagem 22" descr="Texto&#10;&#10;Descrição gerada automaticamente com confiança média">
          <a:extLst>
            <a:ext uri="{FF2B5EF4-FFF2-40B4-BE49-F238E27FC236}">
              <a16:creationId xmlns:a16="http://schemas.microsoft.com/office/drawing/2014/main" id="{CB66CFED-4F2D-2C48-F87B-E8A6C7604776}"/>
            </a:ext>
          </a:extLst>
        </xdr:cNvPr>
        <xdr:cNvPicPr>
          <a:picLocks noChangeAspect="1"/>
        </xdr:cNvPicPr>
      </xdr:nvPicPr>
      <xdr:blipFill>
        <a:blip xmlns:r="http://schemas.openxmlformats.org/officeDocument/2006/relationships" r:embed="rId22"/>
        <a:stretch>
          <a:fillRect/>
        </a:stretch>
      </xdr:blipFill>
      <xdr:spPr>
        <a:xfrm>
          <a:off x="1" y="34838640"/>
          <a:ext cx="3649518" cy="1661160"/>
        </a:xfrm>
        <a:prstGeom prst="rect">
          <a:avLst/>
        </a:prstGeom>
      </xdr:spPr>
    </xdr:pic>
    <xdr:clientData/>
  </xdr:twoCellAnchor>
  <xdr:twoCellAnchor editAs="oneCell">
    <xdr:from>
      <xdr:col>7</xdr:col>
      <xdr:colOff>0</xdr:colOff>
      <xdr:row>189</xdr:row>
      <xdr:rowOff>0</xdr:rowOff>
    </xdr:from>
    <xdr:to>
      <xdr:col>17</xdr:col>
      <xdr:colOff>541595</xdr:colOff>
      <xdr:row>219</xdr:row>
      <xdr:rowOff>23337</xdr:rowOff>
    </xdr:to>
    <xdr:pic>
      <xdr:nvPicPr>
        <xdr:cNvPr id="24" name="Imagem 23" descr="Interface gráfica do usuário&#10;&#10;Descrição gerada automaticamente">
          <a:extLst>
            <a:ext uri="{FF2B5EF4-FFF2-40B4-BE49-F238E27FC236}">
              <a16:creationId xmlns:a16="http://schemas.microsoft.com/office/drawing/2014/main" id="{6FECFF2C-D1D6-B918-F998-49745A58C5A8}"/>
            </a:ext>
          </a:extLst>
        </xdr:cNvPr>
        <xdr:cNvPicPr>
          <a:picLocks noChangeAspect="1"/>
        </xdr:cNvPicPr>
      </xdr:nvPicPr>
      <xdr:blipFill>
        <a:blip xmlns:r="http://schemas.openxmlformats.org/officeDocument/2006/relationships" r:embed="rId23"/>
        <a:stretch>
          <a:fillRect/>
        </a:stretch>
      </xdr:blipFill>
      <xdr:spPr>
        <a:xfrm>
          <a:off x="4267200" y="34655760"/>
          <a:ext cx="6637595" cy="5509737"/>
        </a:xfrm>
        <a:prstGeom prst="rect">
          <a:avLst/>
        </a:prstGeom>
      </xdr:spPr>
    </xdr:pic>
    <xdr:clientData/>
  </xdr:twoCellAnchor>
  <xdr:twoCellAnchor editAs="oneCell">
    <xdr:from>
      <xdr:col>19</xdr:col>
      <xdr:colOff>0</xdr:colOff>
      <xdr:row>190</xdr:row>
      <xdr:rowOff>0</xdr:rowOff>
    </xdr:from>
    <xdr:to>
      <xdr:col>28</xdr:col>
      <xdr:colOff>286256</xdr:colOff>
      <xdr:row>204</xdr:row>
      <xdr:rowOff>30480</xdr:rowOff>
    </xdr:to>
    <xdr:pic>
      <xdr:nvPicPr>
        <xdr:cNvPr id="25" name="Imagem 24" descr="Tabela&#10;&#10;Descrição gerada automaticamente">
          <a:extLst>
            <a:ext uri="{FF2B5EF4-FFF2-40B4-BE49-F238E27FC236}">
              <a16:creationId xmlns:a16="http://schemas.microsoft.com/office/drawing/2014/main" id="{B1CCB34D-BEE2-0FBC-DA56-22B4801A216F}"/>
            </a:ext>
          </a:extLst>
        </xdr:cNvPr>
        <xdr:cNvPicPr>
          <a:picLocks noChangeAspect="1"/>
        </xdr:cNvPicPr>
      </xdr:nvPicPr>
      <xdr:blipFill>
        <a:blip xmlns:r="http://schemas.openxmlformats.org/officeDocument/2006/relationships" r:embed="rId24"/>
        <a:stretch>
          <a:fillRect/>
        </a:stretch>
      </xdr:blipFill>
      <xdr:spPr>
        <a:xfrm>
          <a:off x="11582400" y="34838640"/>
          <a:ext cx="5772656" cy="2590800"/>
        </a:xfrm>
        <a:prstGeom prst="rect">
          <a:avLst/>
        </a:prstGeom>
      </xdr:spPr>
    </xdr:pic>
    <xdr:clientData/>
  </xdr:twoCellAnchor>
  <xdr:twoCellAnchor editAs="oneCell">
    <xdr:from>
      <xdr:col>29</xdr:col>
      <xdr:colOff>-1</xdr:colOff>
      <xdr:row>190</xdr:row>
      <xdr:rowOff>0</xdr:rowOff>
    </xdr:from>
    <xdr:to>
      <xdr:col>36</xdr:col>
      <xdr:colOff>571230</xdr:colOff>
      <xdr:row>204</xdr:row>
      <xdr:rowOff>15240</xdr:rowOff>
    </xdr:to>
    <xdr:pic>
      <xdr:nvPicPr>
        <xdr:cNvPr id="26" name="Imagem 25" descr="Gráfico, Gráfico de barras&#10;&#10;Descrição gerada automaticamente">
          <a:extLst>
            <a:ext uri="{FF2B5EF4-FFF2-40B4-BE49-F238E27FC236}">
              <a16:creationId xmlns:a16="http://schemas.microsoft.com/office/drawing/2014/main" id="{F6187D81-4A28-6D35-A030-EBAC35046634}"/>
            </a:ext>
          </a:extLst>
        </xdr:cNvPr>
        <xdr:cNvPicPr>
          <a:picLocks noChangeAspect="1"/>
        </xdr:cNvPicPr>
      </xdr:nvPicPr>
      <xdr:blipFill>
        <a:blip xmlns:r="http://schemas.openxmlformats.org/officeDocument/2006/relationships" r:embed="rId25"/>
        <a:stretch>
          <a:fillRect/>
        </a:stretch>
      </xdr:blipFill>
      <xdr:spPr>
        <a:xfrm>
          <a:off x="17678399" y="34838640"/>
          <a:ext cx="4838431" cy="2575560"/>
        </a:xfrm>
        <a:prstGeom prst="rect">
          <a:avLst/>
        </a:prstGeom>
      </xdr:spPr>
    </xdr:pic>
    <xdr:clientData/>
  </xdr:twoCellAnchor>
  <xdr:twoCellAnchor editAs="oneCell">
    <xdr:from>
      <xdr:col>19</xdr:col>
      <xdr:colOff>0</xdr:colOff>
      <xdr:row>205</xdr:row>
      <xdr:rowOff>0</xdr:rowOff>
    </xdr:from>
    <xdr:to>
      <xdr:col>31</xdr:col>
      <xdr:colOff>398472</xdr:colOff>
      <xdr:row>219</xdr:row>
      <xdr:rowOff>15240</xdr:rowOff>
    </xdr:to>
    <xdr:pic>
      <xdr:nvPicPr>
        <xdr:cNvPr id="27" name="Imagem 26" descr="Gráfico, Gráfico de barras&#10;&#10;Descrição gerada automaticamente">
          <a:extLst>
            <a:ext uri="{FF2B5EF4-FFF2-40B4-BE49-F238E27FC236}">
              <a16:creationId xmlns:a16="http://schemas.microsoft.com/office/drawing/2014/main" id="{A463AA11-3BF5-7D06-5749-AEA1EE8382CF}"/>
            </a:ext>
          </a:extLst>
        </xdr:cNvPr>
        <xdr:cNvPicPr>
          <a:picLocks noChangeAspect="1"/>
        </xdr:cNvPicPr>
      </xdr:nvPicPr>
      <xdr:blipFill>
        <a:blip xmlns:r="http://schemas.openxmlformats.org/officeDocument/2006/relationships" r:embed="rId26"/>
        <a:stretch>
          <a:fillRect/>
        </a:stretch>
      </xdr:blipFill>
      <xdr:spPr>
        <a:xfrm>
          <a:off x="11582400" y="37581840"/>
          <a:ext cx="7713672" cy="2575560"/>
        </a:xfrm>
        <a:prstGeom prst="rect">
          <a:avLst/>
        </a:prstGeom>
      </xdr:spPr>
    </xdr:pic>
    <xdr:clientData/>
  </xdr:twoCellAnchor>
  <xdr:twoCellAnchor editAs="oneCell">
    <xdr:from>
      <xdr:col>33</xdr:col>
      <xdr:colOff>0</xdr:colOff>
      <xdr:row>48</xdr:row>
      <xdr:rowOff>0</xdr:rowOff>
    </xdr:from>
    <xdr:to>
      <xdr:col>45</xdr:col>
      <xdr:colOff>541701</xdr:colOff>
      <xdr:row>66</xdr:row>
      <xdr:rowOff>103506</xdr:rowOff>
    </xdr:to>
    <xdr:pic>
      <xdr:nvPicPr>
        <xdr:cNvPr id="28" name="Imagem 27">
          <a:extLst>
            <a:ext uri="{FF2B5EF4-FFF2-40B4-BE49-F238E27FC236}">
              <a16:creationId xmlns:a16="http://schemas.microsoft.com/office/drawing/2014/main" id="{966BBA98-F92D-B88C-8538-ADB5202AA773}"/>
            </a:ext>
          </a:extLst>
        </xdr:cNvPr>
        <xdr:cNvPicPr>
          <a:picLocks noChangeAspect="1"/>
        </xdr:cNvPicPr>
      </xdr:nvPicPr>
      <xdr:blipFill>
        <a:blip xmlns:r="http://schemas.openxmlformats.org/officeDocument/2006/relationships" r:embed="rId27"/>
        <a:stretch>
          <a:fillRect/>
        </a:stretch>
      </xdr:blipFill>
      <xdr:spPr>
        <a:xfrm>
          <a:off x="20116800" y="8742218"/>
          <a:ext cx="7856901" cy="3345470"/>
        </a:xfrm>
        <a:prstGeom prst="rect">
          <a:avLst/>
        </a:prstGeom>
      </xdr:spPr>
    </xdr:pic>
    <xdr:clientData/>
  </xdr:twoCellAnchor>
  <xdr:twoCellAnchor editAs="oneCell">
    <xdr:from>
      <xdr:col>47</xdr:col>
      <xdr:colOff>0</xdr:colOff>
      <xdr:row>48</xdr:row>
      <xdr:rowOff>0</xdr:rowOff>
    </xdr:from>
    <xdr:to>
      <xdr:col>55</xdr:col>
      <xdr:colOff>46147</xdr:colOff>
      <xdr:row>69</xdr:row>
      <xdr:rowOff>53677</xdr:rowOff>
    </xdr:to>
    <xdr:pic>
      <xdr:nvPicPr>
        <xdr:cNvPr id="29" name="Imagem 28">
          <a:extLst>
            <a:ext uri="{FF2B5EF4-FFF2-40B4-BE49-F238E27FC236}">
              <a16:creationId xmlns:a16="http://schemas.microsoft.com/office/drawing/2014/main" id="{9302FBA0-CF3B-0EF4-F6EF-0F7F49AB4C61}"/>
            </a:ext>
          </a:extLst>
        </xdr:cNvPr>
        <xdr:cNvPicPr>
          <a:picLocks noChangeAspect="1"/>
        </xdr:cNvPicPr>
      </xdr:nvPicPr>
      <xdr:blipFill>
        <a:blip xmlns:r="http://schemas.openxmlformats.org/officeDocument/2006/relationships" r:embed="rId28"/>
        <a:stretch>
          <a:fillRect/>
        </a:stretch>
      </xdr:blipFill>
      <xdr:spPr>
        <a:xfrm>
          <a:off x="28651200" y="8869680"/>
          <a:ext cx="4922947" cy="38941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25399</xdr:colOff>
      <xdr:row>12</xdr:row>
      <xdr:rowOff>0</xdr:rowOff>
    </xdr:from>
    <xdr:to>
      <xdr:col>13</xdr:col>
      <xdr:colOff>3794756</xdr:colOff>
      <xdr:row>13</xdr:row>
      <xdr:rowOff>169334</xdr:rowOff>
    </xdr:to>
    <xdr:pic>
      <xdr:nvPicPr>
        <xdr:cNvPr id="7" name="Imagem 6">
          <a:extLst>
            <a:ext uri="{FF2B5EF4-FFF2-40B4-BE49-F238E27FC236}">
              <a16:creationId xmlns:a16="http://schemas.microsoft.com/office/drawing/2014/main" id="{D0F6A39B-11D4-22B8-B244-C53FEFF1D231}"/>
            </a:ext>
          </a:extLst>
        </xdr:cNvPr>
        <xdr:cNvPicPr>
          <a:picLocks noChangeAspect="1"/>
        </xdr:cNvPicPr>
      </xdr:nvPicPr>
      <xdr:blipFill>
        <a:blip xmlns:r="http://schemas.openxmlformats.org/officeDocument/2006/relationships" r:embed="rId1"/>
        <a:stretch>
          <a:fillRect/>
        </a:stretch>
      </xdr:blipFill>
      <xdr:spPr>
        <a:xfrm>
          <a:off x="15731066" y="2446867"/>
          <a:ext cx="3769357" cy="355600"/>
        </a:xfrm>
        <a:prstGeom prst="rect">
          <a:avLst/>
        </a:prstGeom>
      </xdr:spPr>
    </xdr:pic>
    <xdr:clientData/>
  </xdr:twoCellAnchor>
  <xdr:twoCellAnchor editAs="oneCell">
    <xdr:from>
      <xdr:col>12</xdr:col>
      <xdr:colOff>1642533</xdr:colOff>
      <xdr:row>4</xdr:row>
      <xdr:rowOff>33866</xdr:rowOff>
    </xdr:from>
    <xdr:to>
      <xdr:col>13</xdr:col>
      <xdr:colOff>3098800</xdr:colOff>
      <xdr:row>7</xdr:row>
      <xdr:rowOff>29439</xdr:rowOff>
    </xdr:to>
    <xdr:pic>
      <xdr:nvPicPr>
        <xdr:cNvPr id="8" name="Imagem 7">
          <a:extLst>
            <a:ext uri="{FF2B5EF4-FFF2-40B4-BE49-F238E27FC236}">
              <a16:creationId xmlns:a16="http://schemas.microsoft.com/office/drawing/2014/main" id="{1D51B0E4-327D-DC51-6DEB-18C91A3614F7}"/>
            </a:ext>
          </a:extLst>
        </xdr:cNvPr>
        <xdr:cNvPicPr>
          <a:picLocks noChangeAspect="1"/>
        </xdr:cNvPicPr>
      </xdr:nvPicPr>
      <xdr:blipFill>
        <a:blip xmlns:r="http://schemas.openxmlformats.org/officeDocument/2006/relationships" r:embed="rId2"/>
        <a:stretch>
          <a:fillRect/>
        </a:stretch>
      </xdr:blipFill>
      <xdr:spPr>
        <a:xfrm>
          <a:off x="15705666" y="905933"/>
          <a:ext cx="3098801" cy="554373"/>
        </a:xfrm>
        <a:prstGeom prst="rect">
          <a:avLst/>
        </a:prstGeom>
      </xdr:spPr>
    </xdr:pic>
    <xdr:clientData/>
  </xdr:twoCellAnchor>
  <xdr:twoCellAnchor editAs="oneCell">
    <xdr:from>
      <xdr:col>18</xdr:col>
      <xdr:colOff>50800</xdr:colOff>
      <xdr:row>4</xdr:row>
      <xdr:rowOff>8466</xdr:rowOff>
    </xdr:from>
    <xdr:to>
      <xdr:col>20</xdr:col>
      <xdr:colOff>889277</xdr:colOff>
      <xdr:row>5</xdr:row>
      <xdr:rowOff>104164</xdr:rowOff>
    </xdr:to>
    <xdr:pic>
      <xdr:nvPicPr>
        <xdr:cNvPr id="10" name="Imagem 9">
          <a:extLst>
            <a:ext uri="{FF2B5EF4-FFF2-40B4-BE49-F238E27FC236}">
              <a16:creationId xmlns:a16="http://schemas.microsoft.com/office/drawing/2014/main" id="{460E187F-BDC7-699E-79A6-F0EBCC71B797}"/>
            </a:ext>
          </a:extLst>
        </xdr:cNvPr>
        <xdr:cNvPicPr>
          <a:picLocks noChangeAspect="1"/>
        </xdr:cNvPicPr>
      </xdr:nvPicPr>
      <xdr:blipFill>
        <a:blip xmlns:r="http://schemas.openxmlformats.org/officeDocument/2006/relationships" r:embed="rId3"/>
        <a:stretch>
          <a:fillRect/>
        </a:stretch>
      </xdr:blipFill>
      <xdr:spPr>
        <a:xfrm>
          <a:off x="24146933" y="880533"/>
          <a:ext cx="3200677" cy="281964"/>
        </a:xfrm>
        <a:prstGeom prst="rect">
          <a:avLst/>
        </a:prstGeom>
      </xdr:spPr>
    </xdr:pic>
    <xdr:clientData/>
  </xdr:twoCellAnchor>
  <xdr:twoCellAnchor editAs="oneCell">
    <xdr:from>
      <xdr:col>12</xdr:col>
      <xdr:colOff>1634067</xdr:colOff>
      <xdr:row>22</xdr:row>
      <xdr:rowOff>93133</xdr:rowOff>
    </xdr:from>
    <xdr:to>
      <xdr:col>15</xdr:col>
      <xdr:colOff>624431</xdr:colOff>
      <xdr:row>28</xdr:row>
      <xdr:rowOff>140655</xdr:rowOff>
    </xdr:to>
    <xdr:pic>
      <xdr:nvPicPr>
        <xdr:cNvPr id="15" name="Imagem 14">
          <a:extLst>
            <a:ext uri="{FF2B5EF4-FFF2-40B4-BE49-F238E27FC236}">
              <a16:creationId xmlns:a16="http://schemas.microsoft.com/office/drawing/2014/main" id="{F2DCBA90-0581-E6EC-95ED-23AABCA550B2}"/>
            </a:ext>
          </a:extLst>
        </xdr:cNvPr>
        <xdr:cNvPicPr>
          <a:picLocks noChangeAspect="1"/>
        </xdr:cNvPicPr>
      </xdr:nvPicPr>
      <xdr:blipFill>
        <a:blip xmlns:r="http://schemas.openxmlformats.org/officeDocument/2006/relationships" r:embed="rId4"/>
        <a:stretch>
          <a:fillRect/>
        </a:stretch>
      </xdr:blipFill>
      <xdr:spPr>
        <a:xfrm>
          <a:off x="15697200" y="4572000"/>
          <a:ext cx="5052498" cy="1249788"/>
        </a:xfrm>
        <a:prstGeom prst="rect">
          <a:avLst/>
        </a:prstGeom>
      </xdr:spPr>
    </xdr:pic>
    <xdr:clientData/>
  </xdr:twoCellAnchor>
  <xdr:oneCellAnchor>
    <xdr:from>
      <xdr:col>13</xdr:col>
      <xdr:colOff>287867</xdr:colOff>
      <xdr:row>36</xdr:row>
      <xdr:rowOff>0</xdr:rowOff>
    </xdr:from>
    <xdr:ext cx="2217612" cy="198137"/>
    <xdr:pic>
      <xdr:nvPicPr>
        <xdr:cNvPr id="16" name="Imagem 15">
          <a:extLst>
            <a:ext uri="{FF2B5EF4-FFF2-40B4-BE49-F238E27FC236}">
              <a16:creationId xmlns:a16="http://schemas.microsoft.com/office/drawing/2014/main" id="{630D53BF-D1FC-44BB-9EB4-DB95B2933D83}"/>
            </a:ext>
          </a:extLst>
        </xdr:cNvPr>
        <xdr:cNvPicPr>
          <a:picLocks noChangeAspect="1"/>
        </xdr:cNvPicPr>
      </xdr:nvPicPr>
      <xdr:blipFill>
        <a:blip xmlns:r="http://schemas.openxmlformats.org/officeDocument/2006/relationships" r:embed="rId5"/>
        <a:stretch>
          <a:fillRect/>
        </a:stretch>
      </xdr:blipFill>
      <xdr:spPr>
        <a:xfrm>
          <a:off x="15993534" y="7814733"/>
          <a:ext cx="2217612" cy="198137"/>
        </a:xfrm>
        <a:prstGeom prst="rect">
          <a:avLst/>
        </a:prstGeom>
      </xdr:spPr>
    </xdr:pic>
    <xdr:clientData/>
  </xdr:oneCellAnchor>
  <xdr:oneCellAnchor>
    <xdr:from>
      <xdr:col>13</xdr:col>
      <xdr:colOff>304800</xdr:colOff>
      <xdr:row>37</xdr:row>
      <xdr:rowOff>42334</xdr:rowOff>
    </xdr:from>
    <xdr:ext cx="2964437" cy="175275"/>
    <xdr:pic>
      <xdr:nvPicPr>
        <xdr:cNvPr id="17" name="Imagem 16">
          <a:extLst>
            <a:ext uri="{FF2B5EF4-FFF2-40B4-BE49-F238E27FC236}">
              <a16:creationId xmlns:a16="http://schemas.microsoft.com/office/drawing/2014/main" id="{9B98C83D-2DDE-40E6-B149-2C3E39F20325}"/>
            </a:ext>
          </a:extLst>
        </xdr:cNvPr>
        <xdr:cNvPicPr>
          <a:picLocks noChangeAspect="1"/>
        </xdr:cNvPicPr>
      </xdr:nvPicPr>
      <xdr:blipFill>
        <a:blip xmlns:r="http://schemas.openxmlformats.org/officeDocument/2006/relationships" r:embed="rId6"/>
        <a:stretch>
          <a:fillRect/>
        </a:stretch>
      </xdr:blipFill>
      <xdr:spPr>
        <a:xfrm>
          <a:off x="16010467" y="8043334"/>
          <a:ext cx="2964437" cy="175275"/>
        </a:xfrm>
        <a:prstGeom prst="rect">
          <a:avLst/>
        </a:prstGeom>
      </xdr:spPr>
    </xdr:pic>
    <xdr:clientData/>
  </xdr:oneCellAnchor>
  <xdr:twoCellAnchor editAs="oneCell">
    <xdr:from>
      <xdr:col>13</xdr:col>
      <xdr:colOff>0</xdr:colOff>
      <xdr:row>1</xdr:row>
      <xdr:rowOff>0</xdr:rowOff>
    </xdr:from>
    <xdr:to>
      <xdr:col>13</xdr:col>
      <xdr:colOff>2149026</xdr:colOff>
      <xdr:row>2</xdr:row>
      <xdr:rowOff>7640</xdr:rowOff>
    </xdr:to>
    <xdr:pic>
      <xdr:nvPicPr>
        <xdr:cNvPr id="18" name="Imagem 17">
          <a:extLst>
            <a:ext uri="{FF2B5EF4-FFF2-40B4-BE49-F238E27FC236}">
              <a16:creationId xmlns:a16="http://schemas.microsoft.com/office/drawing/2014/main" id="{ED7AB487-61B5-5ADF-E04E-EC71AAA48D85}"/>
            </a:ext>
          </a:extLst>
        </xdr:cNvPr>
        <xdr:cNvPicPr>
          <a:picLocks noChangeAspect="1"/>
        </xdr:cNvPicPr>
      </xdr:nvPicPr>
      <xdr:blipFill>
        <a:blip xmlns:r="http://schemas.openxmlformats.org/officeDocument/2006/relationships" r:embed="rId7"/>
        <a:stretch>
          <a:fillRect/>
        </a:stretch>
      </xdr:blipFill>
      <xdr:spPr>
        <a:xfrm>
          <a:off x="15705667" y="228600"/>
          <a:ext cx="2149026" cy="236240"/>
        </a:xfrm>
        <a:prstGeom prst="rect">
          <a:avLst/>
        </a:prstGeom>
      </xdr:spPr>
    </xdr:pic>
    <xdr:clientData/>
  </xdr:twoCellAnchor>
  <xdr:twoCellAnchor editAs="oneCell">
    <xdr:from>
      <xdr:col>13</xdr:col>
      <xdr:colOff>2201333</xdr:colOff>
      <xdr:row>1</xdr:row>
      <xdr:rowOff>16933</xdr:rowOff>
    </xdr:from>
    <xdr:to>
      <xdr:col>13</xdr:col>
      <xdr:colOff>3255873</xdr:colOff>
      <xdr:row>2</xdr:row>
      <xdr:rowOff>25400</xdr:rowOff>
    </xdr:to>
    <xdr:pic>
      <xdr:nvPicPr>
        <xdr:cNvPr id="19" name="Imagem 18">
          <a:extLst>
            <a:ext uri="{FF2B5EF4-FFF2-40B4-BE49-F238E27FC236}">
              <a16:creationId xmlns:a16="http://schemas.microsoft.com/office/drawing/2014/main" id="{FB2AC6E5-B0B5-B9F5-585F-9321248773B1}"/>
            </a:ext>
          </a:extLst>
        </xdr:cNvPr>
        <xdr:cNvPicPr>
          <a:picLocks noChangeAspect="1"/>
        </xdr:cNvPicPr>
      </xdr:nvPicPr>
      <xdr:blipFill>
        <a:blip xmlns:r="http://schemas.openxmlformats.org/officeDocument/2006/relationships" r:embed="rId8"/>
        <a:stretch>
          <a:fillRect/>
        </a:stretch>
      </xdr:blipFill>
      <xdr:spPr>
        <a:xfrm>
          <a:off x="17907000" y="245533"/>
          <a:ext cx="1054540" cy="237067"/>
        </a:xfrm>
        <a:prstGeom prst="rect">
          <a:avLst/>
        </a:prstGeom>
      </xdr:spPr>
    </xdr:pic>
    <xdr:clientData/>
  </xdr:twoCellAnchor>
  <xdr:twoCellAnchor editAs="oneCell">
    <xdr:from>
      <xdr:col>13</xdr:col>
      <xdr:colOff>16933</xdr:colOff>
      <xdr:row>2</xdr:row>
      <xdr:rowOff>118533</xdr:rowOff>
    </xdr:from>
    <xdr:to>
      <xdr:col>13</xdr:col>
      <xdr:colOff>2973749</xdr:colOff>
      <xdr:row>3</xdr:row>
      <xdr:rowOff>72829</xdr:rowOff>
    </xdr:to>
    <xdr:pic>
      <xdr:nvPicPr>
        <xdr:cNvPr id="20" name="Imagem 19">
          <a:extLst>
            <a:ext uri="{FF2B5EF4-FFF2-40B4-BE49-F238E27FC236}">
              <a16:creationId xmlns:a16="http://schemas.microsoft.com/office/drawing/2014/main" id="{E706D231-A934-72D1-66BB-EE0F8AFB4D8A}"/>
            </a:ext>
          </a:extLst>
        </xdr:cNvPr>
        <xdr:cNvPicPr>
          <a:picLocks noChangeAspect="1"/>
        </xdr:cNvPicPr>
      </xdr:nvPicPr>
      <xdr:blipFill>
        <a:blip xmlns:r="http://schemas.openxmlformats.org/officeDocument/2006/relationships" r:embed="rId9"/>
        <a:stretch>
          <a:fillRect/>
        </a:stretch>
      </xdr:blipFill>
      <xdr:spPr>
        <a:xfrm>
          <a:off x="15722600" y="575733"/>
          <a:ext cx="2956816" cy="182896"/>
        </a:xfrm>
        <a:prstGeom prst="rect">
          <a:avLst/>
        </a:prstGeom>
      </xdr:spPr>
    </xdr:pic>
    <xdr:clientData/>
  </xdr:twoCellAnchor>
  <xdr:twoCellAnchor editAs="oneCell">
    <xdr:from>
      <xdr:col>13</xdr:col>
      <xdr:colOff>2980266</xdr:colOff>
      <xdr:row>2</xdr:row>
      <xdr:rowOff>110066</xdr:rowOff>
    </xdr:from>
    <xdr:to>
      <xdr:col>14</xdr:col>
      <xdr:colOff>290503</xdr:colOff>
      <xdr:row>3</xdr:row>
      <xdr:rowOff>79603</xdr:rowOff>
    </xdr:to>
    <xdr:pic>
      <xdr:nvPicPr>
        <xdr:cNvPr id="21" name="Imagem 20">
          <a:extLst>
            <a:ext uri="{FF2B5EF4-FFF2-40B4-BE49-F238E27FC236}">
              <a16:creationId xmlns:a16="http://schemas.microsoft.com/office/drawing/2014/main" id="{A8AA37BC-3F9C-2858-DE70-4A7163AA5E16}"/>
            </a:ext>
          </a:extLst>
        </xdr:cNvPr>
        <xdr:cNvPicPr>
          <a:picLocks noChangeAspect="1"/>
        </xdr:cNvPicPr>
      </xdr:nvPicPr>
      <xdr:blipFill>
        <a:blip xmlns:r="http://schemas.openxmlformats.org/officeDocument/2006/relationships" r:embed="rId10"/>
        <a:stretch>
          <a:fillRect/>
        </a:stretch>
      </xdr:blipFill>
      <xdr:spPr>
        <a:xfrm>
          <a:off x="18685933" y="567266"/>
          <a:ext cx="1120237" cy="198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7620</xdr:colOff>
      <xdr:row>20</xdr:row>
      <xdr:rowOff>0</xdr:rowOff>
    </xdr:from>
    <xdr:to>
      <xdr:col>16</xdr:col>
      <xdr:colOff>289560</xdr:colOff>
      <xdr:row>20</xdr:row>
      <xdr:rowOff>7620</xdr:rowOff>
    </xdr:to>
    <xdr:cxnSp macro="">
      <xdr:nvCxnSpPr>
        <xdr:cNvPr id="14" name="Conector reto 13">
          <a:extLst>
            <a:ext uri="{FF2B5EF4-FFF2-40B4-BE49-F238E27FC236}">
              <a16:creationId xmlns:a16="http://schemas.microsoft.com/office/drawing/2014/main" id="{F801A140-806F-FEF3-EFC6-8386992F1BFD}"/>
            </a:ext>
          </a:extLst>
        </xdr:cNvPr>
        <xdr:cNvCxnSpPr/>
      </xdr:nvCxnSpPr>
      <xdr:spPr>
        <a:xfrm>
          <a:off x="9761220" y="3657600"/>
          <a:ext cx="28194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304800</xdr:colOff>
      <xdr:row>20</xdr:row>
      <xdr:rowOff>30480</xdr:rowOff>
    </xdr:from>
    <xdr:to>
      <xdr:col>16</xdr:col>
      <xdr:colOff>320040</xdr:colOff>
      <xdr:row>30</xdr:row>
      <xdr:rowOff>0</xdr:rowOff>
    </xdr:to>
    <xdr:cxnSp macro="">
      <xdr:nvCxnSpPr>
        <xdr:cNvPr id="16" name="Conector de Seta Reta 15" descr="ebcde64d-d5e8-41cb-b697-3af74a35766e">
          <a:extLst>
            <a:ext uri="{FF2B5EF4-FFF2-40B4-BE49-F238E27FC236}">
              <a16:creationId xmlns:a16="http://schemas.microsoft.com/office/drawing/2014/main" id="{8A024426-21B5-3E40-917E-A8D4A0AED9A3}"/>
            </a:ext>
          </a:extLst>
        </xdr:cNvPr>
        <xdr:cNvCxnSpPr/>
      </xdr:nvCxnSpPr>
      <xdr:spPr>
        <a:xfrm>
          <a:off x="10058400" y="3688080"/>
          <a:ext cx="15240" cy="1798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26</xdr:row>
      <xdr:rowOff>12700</xdr:rowOff>
    </xdr:from>
    <xdr:to>
      <xdr:col>14</xdr:col>
      <xdr:colOff>6350</xdr:colOff>
      <xdr:row>26</xdr:row>
      <xdr:rowOff>12700</xdr:rowOff>
    </xdr:to>
    <xdr:cxnSp macro="">
      <xdr:nvCxnSpPr>
        <xdr:cNvPr id="19" name="Conector reto 18">
          <a:extLst>
            <a:ext uri="{FF2B5EF4-FFF2-40B4-BE49-F238E27FC236}">
              <a16:creationId xmlns:a16="http://schemas.microsoft.com/office/drawing/2014/main" id="{4979DF88-EDE4-BAE2-9680-CF62FE3D8CEE}"/>
            </a:ext>
          </a:extLst>
        </xdr:cNvPr>
        <xdr:cNvCxnSpPr/>
      </xdr:nvCxnSpPr>
      <xdr:spPr>
        <a:xfrm>
          <a:off x="7924800" y="4800600"/>
          <a:ext cx="6159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317500</xdr:colOff>
      <xdr:row>26</xdr:row>
      <xdr:rowOff>12700</xdr:rowOff>
    </xdr:from>
    <xdr:to>
      <xdr:col>13</xdr:col>
      <xdr:colOff>323850</xdr:colOff>
      <xdr:row>28</xdr:row>
      <xdr:rowOff>0</xdr:rowOff>
    </xdr:to>
    <xdr:cxnSp macro="">
      <xdr:nvCxnSpPr>
        <xdr:cNvPr id="22" name="Conector de Seta Reta 21" descr="7a7d9a22-4326-44c8-875a-3ccfebf17d42">
          <a:extLst>
            <a:ext uri="{FF2B5EF4-FFF2-40B4-BE49-F238E27FC236}">
              <a16:creationId xmlns:a16="http://schemas.microsoft.com/office/drawing/2014/main" id="{11C5E63A-554D-FFE3-CC09-DE02276C44D9}"/>
            </a:ext>
          </a:extLst>
        </xdr:cNvPr>
        <xdr:cNvCxnSpPr/>
      </xdr:nvCxnSpPr>
      <xdr:spPr>
        <a:xfrm>
          <a:off x="8242300" y="4800600"/>
          <a:ext cx="63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23</xdr:row>
      <xdr:rowOff>0</xdr:rowOff>
    </xdr:from>
    <xdr:to>
      <xdr:col>16</xdr:col>
      <xdr:colOff>152400</xdr:colOff>
      <xdr:row>23</xdr:row>
      <xdr:rowOff>0</xdr:rowOff>
    </xdr:to>
    <xdr:cxnSp macro="">
      <xdr:nvCxnSpPr>
        <xdr:cNvPr id="25" name="Conector reto 24">
          <a:extLst>
            <a:ext uri="{FF2B5EF4-FFF2-40B4-BE49-F238E27FC236}">
              <a16:creationId xmlns:a16="http://schemas.microsoft.com/office/drawing/2014/main" id="{472255CC-0505-6765-29F5-3D9A3D837672}"/>
            </a:ext>
          </a:extLst>
        </xdr:cNvPr>
        <xdr:cNvCxnSpPr/>
      </xdr:nvCxnSpPr>
      <xdr:spPr>
        <a:xfrm>
          <a:off x="9753600" y="4235450"/>
          <a:ext cx="152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165100</xdr:colOff>
      <xdr:row>23</xdr:row>
      <xdr:rowOff>0</xdr:rowOff>
    </xdr:from>
    <xdr:to>
      <xdr:col>16</xdr:col>
      <xdr:colOff>171450</xdr:colOff>
      <xdr:row>28</xdr:row>
      <xdr:rowOff>95250</xdr:rowOff>
    </xdr:to>
    <xdr:cxnSp macro="">
      <xdr:nvCxnSpPr>
        <xdr:cNvPr id="27" name="Conector reto 26">
          <a:extLst>
            <a:ext uri="{FF2B5EF4-FFF2-40B4-BE49-F238E27FC236}">
              <a16:creationId xmlns:a16="http://schemas.microsoft.com/office/drawing/2014/main" id="{3CD125A4-648D-4B8D-D5D8-18FFC909E166}"/>
            </a:ext>
          </a:extLst>
        </xdr:cNvPr>
        <xdr:cNvCxnSpPr/>
      </xdr:nvCxnSpPr>
      <xdr:spPr>
        <a:xfrm>
          <a:off x="9918700" y="4235450"/>
          <a:ext cx="6350" cy="1016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28</xdr:row>
      <xdr:rowOff>107950</xdr:rowOff>
    </xdr:from>
    <xdr:to>
      <xdr:col>16</xdr:col>
      <xdr:colOff>171450</xdr:colOff>
      <xdr:row>28</xdr:row>
      <xdr:rowOff>114300</xdr:rowOff>
    </xdr:to>
    <xdr:cxnSp macro="">
      <xdr:nvCxnSpPr>
        <xdr:cNvPr id="29" name="Conector de Seta Reta 28" descr="551e0f27-9363-4cd5-be3f-9aa2de7b271b">
          <a:extLst>
            <a:ext uri="{FF2B5EF4-FFF2-40B4-BE49-F238E27FC236}">
              <a16:creationId xmlns:a16="http://schemas.microsoft.com/office/drawing/2014/main" id="{E3980360-F4D9-157A-3D05-0FEEAF80DB59}"/>
            </a:ext>
          </a:extLst>
        </xdr:cNvPr>
        <xdr:cNvCxnSpPr/>
      </xdr:nvCxnSpPr>
      <xdr:spPr>
        <a:xfrm flipH="1">
          <a:off x="9753600" y="5264150"/>
          <a:ext cx="171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27</xdr:row>
      <xdr:rowOff>6350</xdr:rowOff>
    </xdr:from>
    <xdr:to>
      <xdr:col>9</xdr:col>
      <xdr:colOff>6350</xdr:colOff>
      <xdr:row>28</xdr:row>
      <xdr:rowOff>107950</xdr:rowOff>
    </xdr:to>
    <xdr:cxnSp macro="">
      <xdr:nvCxnSpPr>
        <xdr:cNvPr id="31" name="Conector reto 30">
          <a:extLst>
            <a:ext uri="{FF2B5EF4-FFF2-40B4-BE49-F238E27FC236}">
              <a16:creationId xmlns:a16="http://schemas.microsoft.com/office/drawing/2014/main" id="{46BC76B3-D979-63BB-A85E-C5110EA4D611}"/>
            </a:ext>
          </a:extLst>
        </xdr:cNvPr>
        <xdr:cNvCxnSpPr/>
      </xdr:nvCxnSpPr>
      <xdr:spPr>
        <a:xfrm>
          <a:off x="5486400" y="4978400"/>
          <a:ext cx="63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28</xdr:row>
      <xdr:rowOff>95250</xdr:rowOff>
    </xdr:from>
    <xdr:to>
      <xdr:col>10</xdr:col>
      <xdr:colOff>12700</xdr:colOff>
      <xdr:row>28</xdr:row>
      <xdr:rowOff>95250</xdr:rowOff>
    </xdr:to>
    <xdr:cxnSp macro="">
      <xdr:nvCxnSpPr>
        <xdr:cNvPr id="33" name="Conector de Seta Reta 32" descr="8040c4eb-c6da-4f36-abd9-52a947c6df96">
          <a:extLst>
            <a:ext uri="{FF2B5EF4-FFF2-40B4-BE49-F238E27FC236}">
              <a16:creationId xmlns:a16="http://schemas.microsoft.com/office/drawing/2014/main" id="{69969A42-BD6D-3079-8F33-F5BA2B1B73D8}"/>
            </a:ext>
          </a:extLst>
        </xdr:cNvPr>
        <xdr:cNvCxnSpPr/>
      </xdr:nvCxnSpPr>
      <xdr:spPr>
        <a:xfrm>
          <a:off x="4876800" y="5251450"/>
          <a:ext cx="12319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18</xdr:row>
      <xdr:rowOff>101600</xdr:rowOff>
    </xdr:from>
    <xdr:to>
      <xdr:col>9</xdr:col>
      <xdr:colOff>19050</xdr:colOff>
      <xdr:row>18</xdr:row>
      <xdr:rowOff>101600</xdr:rowOff>
    </xdr:to>
    <xdr:cxnSp macro="">
      <xdr:nvCxnSpPr>
        <xdr:cNvPr id="35" name="Conector reto 34">
          <a:extLst>
            <a:ext uri="{FF2B5EF4-FFF2-40B4-BE49-F238E27FC236}">
              <a16:creationId xmlns:a16="http://schemas.microsoft.com/office/drawing/2014/main" id="{BE9B740C-4130-350F-ABB1-938DCFF8E264}"/>
            </a:ext>
          </a:extLst>
        </xdr:cNvPr>
        <xdr:cNvCxnSpPr/>
      </xdr:nvCxnSpPr>
      <xdr:spPr>
        <a:xfrm>
          <a:off x="4883150" y="3416300"/>
          <a:ext cx="622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31750</xdr:colOff>
      <xdr:row>18</xdr:row>
      <xdr:rowOff>101600</xdr:rowOff>
    </xdr:from>
    <xdr:to>
      <xdr:col>9</xdr:col>
      <xdr:colOff>31750</xdr:colOff>
      <xdr:row>20</xdr:row>
      <xdr:rowOff>0</xdr:rowOff>
    </xdr:to>
    <xdr:cxnSp macro="">
      <xdr:nvCxnSpPr>
        <xdr:cNvPr id="37" name="Conector de Seta Reta 36" descr="3462230c-6348-4516-b455-4a1179a055c7">
          <a:extLst>
            <a:ext uri="{FF2B5EF4-FFF2-40B4-BE49-F238E27FC236}">
              <a16:creationId xmlns:a16="http://schemas.microsoft.com/office/drawing/2014/main" id="{92976D68-4D98-6A58-FD89-4922DA01EE16}"/>
            </a:ext>
          </a:extLst>
        </xdr:cNvPr>
        <xdr:cNvCxnSpPr/>
      </xdr:nvCxnSpPr>
      <xdr:spPr>
        <a:xfrm>
          <a:off x="5518150" y="3416300"/>
          <a:ext cx="0"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16</xdr:row>
      <xdr:rowOff>0</xdr:rowOff>
    </xdr:from>
    <xdr:to>
      <xdr:col>7</xdr:col>
      <xdr:colOff>603250</xdr:colOff>
      <xdr:row>16</xdr:row>
      <xdr:rowOff>6350</xdr:rowOff>
    </xdr:to>
    <xdr:cxnSp macro="">
      <xdr:nvCxnSpPr>
        <xdr:cNvPr id="39" name="Conector reto 38">
          <a:extLst>
            <a:ext uri="{FF2B5EF4-FFF2-40B4-BE49-F238E27FC236}">
              <a16:creationId xmlns:a16="http://schemas.microsoft.com/office/drawing/2014/main" id="{F07337F6-7B03-C3E9-BEA5-DBB121353A62}"/>
            </a:ext>
          </a:extLst>
        </xdr:cNvPr>
        <xdr:cNvCxnSpPr/>
      </xdr:nvCxnSpPr>
      <xdr:spPr>
        <a:xfrm>
          <a:off x="3657600" y="2946400"/>
          <a:ext cx="1212850" cy="63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16</xdr:row>
      <xdr:rowOff>12700</xdr:rowOff>
    </xdr:from>
    <xdr:to>
      <xdr:col>7</xdr:col>
      <xdr:colOff>0</xdr:colOff>
      <xdr:row>17</xdr:row>
      <xdr:rowOff>177800</xdr:rowOff>
    </xdr:to>
    <xdr:cxnSp macro="">
      <xdr:nvCxnSpPr>
        <xdr:cNvPr id="41" name="Conector de Seta Reta 40" descr="335942f0-98c8-4c4c-ac7e-6b7b2aaa247f">
          <a:extLst>
            <a:ext uri="{FF2B5EF4-FFF2-40B4-BE49-F238E27FC236}">
              <a16:creationId xmlns:a16="http://schemas.microsoft.com/office/drawing/2014/main" id="{A1815819-7D14-0F4E-7346-F730AEDA209E}"/>
            </a:ext>
          </a:extLst>
        </xdr:cNvPr>
        <xdr:cNvCxnSpPr/>
      </xdr:nvCxnSpPr>
      <xdr:spPr>
        <a:xfrm>
          <a:off x="4267200" y="2959100"/>
          <a:ext cx="0" cy="34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12700</xdr:colOff>
      <xdr:row>30</xdr:row>
      <xdr:rowOff>82550</xdr:rowOff>
    </xdr:from>
    <xdr:to>
      <xdr:col>7</xdr:col>
      <xdr:colOff>603250</xdr:colOff>
      <xdr:row>30</xdr:row>
      <xdr:rowOff>82550</xdr:rowOff>
    </xdr:to>
    <xdr:cxnSp macro="">
      <xdr:nvCxnSpPr>
        <xdr:cNvPr id="43" name="Conector de Seta Reta 42" descr="acc2191a-64e8-4928-8c17-2d46c625216c">
          <a:extLst>
            <a:ext uri="{FF2B5EF4-FFF2-40B4-BE49-F238E27FC236}">
              <a16:creationId xmlns:a16="http://schemas.microsoft.com/office/drawing/2014/main" id="{9BFD6F11-58A1-0B9F-7EC9-A76CB0F555DB}"/>
            </a:ext>
          </a:extLst>
        </xdr:cNvPr>
        <xdr:cNvCxnSpPr/>
      </xdr:nvCxnSpPr>
      <xdr:spPr>
        <a:xfrm>
          <a:off x="4279900" y="56070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29</xdr:row>
      <xdr:rowOff>6350</xdr:rowOff>
    </xdr:from>
    <xdr:to>
      <xdr:col>11</xdr:col>
      <xdr:colOff>0</xdr:colOff>
      <xdr:row>30</xdr:row>
      <xdr:rowOff>6350</xdr:rowOff>
    </xdr:to>
    <xdr:cxnSp macro="">
      <xdr:nvCxnSpPr>
        <xdr:cNvPr id="45" name="Conector reto 44">
          <a:extLst>
            <a:ext uri="{FF2B5EF4-FFF2-40B4-BE49-F238E27FC236}">
              <a16:creationId xmlns:a16="http://schemas.microsoft.com/office/drawing/2014/main" id="{6B43DA36-6ED9-917C-2F87-673658B13755}"/>
            </a:ext>
          </a:extLst>
        </xdr:cNvPr>
        <xdr:cNvCxnSpPr/>
      </xdr:nvCxnSpPr>
      <xdr:spPr>
        <a:xfrm>
          <a:off x="6705600" y="5346700"/>
          <a:ext cx="0" cy="184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29</xdr:row>
      <xdr:rowOff>177800</xdr:rowOff>
    </xdr:from>
    <xdr:to>
      <xdr:col>14</xdr:col>
      <xdr:colOff>234950</xdr:colOff>
      <xdr:row>30</xdr:row>
      <xdr:rowOff>6350</xdr:rowOff>
    </xdr:to>
    <xdr:cxnSp macro="">
      <xdr:nvCxnSpPr>
        <xdr:cNvPr id="52" name="Conector reto 51">
          <a:extLst>
            <a:ext uri="{FF2B5EF4-FFF2-40B4-BE49-F238E27FC236}">
              <a16:creationId xmlns:a16="http://schemas.microsoft.com/office/drawing/2014/main" id="{4386CE4A-4A12-2257-FB5E-619CE65C3BAF}"/>
            </a:ext>
          </a:extLst>
        </xdr:cNvPr>
        <xdr:cNvCxnSpPr/>
      </xdr:nvCxnSpPr>
      <xdr:spPr>
        <a:xfrm>
          <a:off x="6705600" y="5518150"/>
          <a:ext cx="2063750" cy="12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596900</xdr:colOff>
      <xdr:row>29</xdr:row>
      <xdr:rowOff>6350</xdr:rowOff>
    </xdr:from>
    <xdr:to>
      <xdr:col>12</xdr:col>
      <xdr:colOff>596900</xdr:colOff>
      <xdr:row>30</xdr:row>
      <xdr:rowOff>6350</xdr:rowOff>
    </xdr:to>
    <xdr:cxnSp macro="">
      <xdr:nvCxnSpPr>
        <xdr:cNvPr id="54" name="Conector reto 53">
          <a:extLst>
            <a:ext uri="{FF2B5EF4-FFF2-40B4-BE49-F238E27FC236}">
              <a16:creationId xmlns:a16="http://schemas.microsoft.com/office/drawing/2014/main" id="{0A61153E-5EBB-36C9-A322-AA4BF4B42F97}"/>
            </a:ext>
          </a:extLst>
        </xdr:cNvPr>
        <xdr:cNvCxnSpPr/>
      </xdr:nvCxnSpPr>
      <xdr:spPr>
        <a:xfrm>
          <a:off x="7912100" y="5346700"/>
          <a:ext cx="0" cy="184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234950</xdr:colOff>
      <xdr:row>29</xdr:row>
      <xdr:rowOff>12700</xdr:rowOff>
    </xdr:from>
    <xdr:to>
      <xdr:col>14</xdr:col>
      <xdr:colOff>234950</xdr:colOff>
      <xdr:row>30</xdr:row>
      <xdr:rowOff>6350</xdr:rowOff>
    </xdr:to>
    <xdr:cxnSp macro="">
      <xdr:nvCxnSpPr>
        <xdr:cNvPr id="56" name="Conector reto 55">
          <a:extLst>
            <a:ext uri="{FF2B5EF4-FFF2-40B4-BE49-F238E27FC236}">
              <a16:creationId xmlns:a16="http://schemas.microsoft.com/office/drawing/2014/main" id="{4900B7F9-2374-66EA-201C-377CDC789565}"/>
            </a:ext>
          </a:extLst>
        </xdr:cNvPr>
        <xdr:cNvCxnSpPr/>
      </xdr:nvCxnSpPr>
      <xdr:spPr>
        <a:xfrm flipV="1">
          <a:off x="8769350" y="5353050"/>
          <a:ext cx="0" cy="177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xdr:colOff>
      <xdr:row>30</xdr:row>
      <xdr:rowOff>107950</xdr:rowOff>
    </xdr:from>
    <xdr:to>
      <xdr:col>12</xdr:col>
      <xdr:colOff>120650</xdr:colOff>
      <xdr:row>30</xdr:row>
      <xdr:rowOff>114300</xdr:rowOff>
    </xdr:to>
    <xdr:cxnSp macro="">
      <xdr:nvCxnSpPr>
        <xdr:cNvPr id="58" name="Conector reto 57">
          <a:extLst>
            <a:ext uri="{FF2B5EF4-FFF2-40B4-BE49-F238E27FC236}">
              <a16:creationId xmlns:a16="http://schemas.microsoft.com/office/drawing/2014/main" id="{ADB9EFAD-8912-9C19-39AE-CEC77D81C9E8}"/>
            </a:ext>
          </a:extLst>
        </xdr:cNvPr>
        <xdr:cNvCxnSpPr/>
      </xdr:nvCxnSpPr>
      <xdr:spPr>
        <a:xfrm>
          <a:off x="6102350" y="5632450"/>
          <a:ext cx="1333500" cy="63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127000</xdr:colOff>
      <xdr:row>30</xdr:row>
      <xdr:rowOff>6350</xdr:rowOff>
    </xdr:from>
    <xdr:to>
      <xdr:col>12</xdr:col>
      <xdr:colOff>127000</xdr:colOff>
      <xdr:row>30</xdr:row>
      <xdr:rowOff>114300</xdr:rowOff>
    </xdr:to>
    <xdr:cxnSp macro="">
      <xdr:nvCxnSpPr>
        <xdr:cNvPr id="60" name="Conector reto 59">
          <a:extLst>
            <a:ext uri="{FF2B5EF4-FFF2-40B4-BE49-F238E27FC236}">
              <a16:creationId xmlns:a16="http://schemas.microsoft.com/office/drawing/2014/main" id="{76ED1258-6C3D-B238-1014-490BC8021D5A}"/>
            </a:ext>
          </a:extLst>
        </xdr:cNvPr>
        <xdr:cNvCxnSpPr/>
      </xdr:nvCxnSpPr>
      <xdr:spPr>
        <a:xfrm flipV="1">
          <a:off x="7442200" y="5530850"/>
          <a:ext cx="0" cy="107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30</xdr:row>
      <xdr:rowOff>114300</xdr:rowOff>
    </xdr:from>
    <xdr:to>
      <xdr:col>11</xdr:col>
      <xdr:colOff>19050</xdr:colOff>
      <xdr:row>32</xdr:row>
      <xdr:rowOff>12700</xdr:rowOff>
    </xdr:to>
    <xdr:cxnSp macro="">
      <xdr:nvCxnSpPr>
        <xdr:cNvPr id="62" name="Conector de Seta Reta 61" descr="a93bae63-25bf-4022-8654-e22a83a8c168">
          <a:extLst>
            <a:ext uri="{FF2B5EF4-FFF2-40B4-BE49-F238E27FC236}">
              <a16:creationId xmlns:a16="http://schemas.microsoft.com/office/drawing/2014/main" id="{AF828C01-45E2-2A1F-D097-7663B79F9377}"/>
            </a:ext>
          </a:extLst>
        </xdr:cNvPr>
        <xdr:cNvCxnSpPr/>
      </xdr:nvCxnSpPr>
      <xdr:spPr>
        <a:xfrm>
          <a:off x="6724650" y="5638800"/>
          <a:ext cx="0"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469900</xdr:colOff>
      <xdr:row>30</xdr:row>
      <xdr:rowOff>133350</xdr:rowOff>
    </xdr:from>
    <xdr:to>
      <xdr:col>15</xdr:col>
      <xdr:colOff>0</xdr:colOff>
      <xdr:row>30</xdr:row>
      <xdr:rowOff>133350</xdr:rowOff>
    </xdr:to>
    <xdr:cxnSp macro="">
      <xdr:nvCxnSpPr>
        <xdr:cNvPr id="64" name="Conector reto 63">
          <a:extLst>
            <a:ext uri="{FF2B5EF4-FFF2-40B4-BE49-F238E27FC236}">
              <a16:creationId xmlns:a16="http://schemas.microsoft.com/office/drawing/2014/main" id="{67070DC7-276C-02AB-DF75-9FE480D5A71C}"/>
            </a:ext>
          </a:extLst>
        </xdr:cNvPr>
        <xdr:cNvCxnSpPr/>
      </xdr:nvCxnSpPr>
      <xdr:spPr>
        <a:xfrm flipH="1">
          <a:off x="8394700" y="565785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463550</xdr:colOff>
      <xdr:row>30</xdr:row>
      <xdr:rowOff>12700</xdr:rowOff>
    </xdr:from>
    <xdr:to>
      <xdr:col>13</xdr:col>
      <xdr:colOff>476250</xdr:colOff>
      <xdr:row>30</xdr:row>
      <xdr:rowOff>133350</xdr:rowOff>
    </xdr:to>
    <xdr:cxnSp macro="">
      <xdr:nvCxnSpPr>
        <xdr:cNvPr id="66" name="Conector reto 65">
          <a:extLst>
            <a:ext uri="{FF2B5EF4-FFF2-40B4-BE49-F238E27FC236}">
              <a16:creationId xmlns:a16="http://schemas.microsoft.com/office/drawing/2014/main" id="{124A0A06-B952-6DFA-3B37-2A979ACE0F75}"/>
            </a:ext>
          </a:extLst>
        </xdr:cNvPr>
        <xdr:cNvCxnSpPr/>
      </xdr:nvCxnSpPr>
      <xdr:spPr>
        <a:xfrm flipV="1">
          <a:off x="8388350" y="5537200"/>
          <a:ext cx="12700" cy="120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260350</xdr:colOff>
      <xdr:row>30</xdr:row>
      <xdr:rowOff>133350</xdr:rowOff>
    </xdr:from>
    <xdr:to>
      <xdr:col>14</xdr:col>
      <xdr:colOff>266700</xdr:colOff>
      <xdr:row>32</xdr:row>
      <xdr:rowOff>12700</xdr:rowOff>
    </xdr:to>
    <xdr:cxnSp macro="">
      <xdr:nvCxnSpPr>
        <xdr:cNvPr id="68" name="Conector de Seta Reta 67" descr="74598daa-d3e2-43d4-b185-83231515a740">
          <a:extLst>
            <a:ext uri="{FF2B5EF4-FFF2-40B4-BE49-F238E27FC236}">
              <a16:creationId xmlns:a16="http://schemas.microsoft.com/office/drawing/2014/main" id="{17492F7C-076D-EF23-F177-EDB9D5D5CF70}"/>
            </a:ext>
          </a:extLst>
        </xdr:cNvPr>
        <xdr:cNvCxnSpPr/>
      </xdr:nvCxnSpPr>
      <xdr:spPr>
        <a:xfrm>
          <a:off x="8794750" y="5657850"/>
          <a:ext cx="635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xdr:colOff>
      <xdr:row>32</xdr:row>
      <xdr:rowOff>177800</xdr:rowOff>
    </xdr:from>
    <xdr:to>
      <xdr:col>14</xdr:col>
      <xdr:colOff>6350</xdr:colOff>
      <xdr:row>33</xdr:row>
      <xdr:rowOff>0</xdr:rowOff>
    </xdr:to>
    <xdr:cxnSp macro="">
      <xdr:nvCxnSpPr>
        <xdr:cNvPr id="70" name="Conector reto 69">
          <a:extLst>
            <a:ext uri="{FF2B5EF4-FFF2-40B4-BE49-F238E27FC236}">
              <a16:creationId xmlns:a16="http://schemas.microsoft.com/office/drawing/2014/main" id="{35693ECD-E0F3-C506-D638-C2E721F10B1D}"/>
            </a:ext>
          </a:extLst>
        </xdr:cNvPr>
        <xdr:cNvCxnSpPr/>
      </xdr:nvCxnSpPr>
      <xdr:spPr>
        <a:xfrm flipV="1">
          <a:off x="7321550" y="6070600"/>
          <a:ext cx="1219200" cy="63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501650</xdr:colOff>
      <xdr:row>34</xdr:row>
      <xdr:rowOff>107950</xdr:rowOff>
    </xdr:from>
    <xdr:to>
      <xdr:col>14</xdr:col>
      <xdr:colOff>120650</xdr:colOff>
      <xdr:row>34</xdr:row>
      <xdr:rowOff>107950</xdr:rowOff>
    </xdr:to>
    <xdr:cxnSp macro="">
      <xdr:nvCxnSpPr>
        <xdr:cNvPr id="74" name="Conector reto 73">
          <a:extLst>
            <a:ext uri="{FF2B5EF4-FFF2-40B4-BE49-F238E27FC236}">
              <a16:creationId xmlns:a16="http://schemas.microsoft.com/office/drawing/2014/main" id="{22888FF2-860B-D8F7-7054-39C901040795}"/>
            </a:ext>
          </a:extLst>
        </xdr:cNvPr>
        <xdr:cNvCxnSpPr/>
      </xdr:nvCxnSpPr>
      <xdr:spPr>
        <a:xfrm>
          <a:off x="7207250" y="6369050"/>
          <a:ext cx="1447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603250</xdr:colOff>
      <xdr:row>32</xdr:row>
      <xdr:rowOff>177800</xdr:rowOff>
    </xdr:from>
    <xdr:to>
      <xdr:col>13</xdr:col>
      <xdr:colOff>0</xdr:colOff>
      <xdr:row>34</xdr:row>
      <xdr:rowOff>114300</xdr:rowOff>
    </xdr:to>
    <xdr:cxnSp macro="">
      <xdr:nvCxnSpPr>
        <xdr:cNvPr id="78" name="Conector reto 77">
          <a:extLst>
            <a:ext uri="{FF2B5EF4-FFF2-40B4-BE49-F238E27FC236}">
              <a16:creationId xmlns:a16="http://schemas.microsoft.com/office/drawing/2014/main" id="{596B007A-6641-6DD3-8640-0F16AECF3AF7}"/>
            </a:ext>
          </a:extLst>
        </xdr:cNvPr>
        <xdr:cNvCxnSpPr/>
      </xdr:nvCxnSpPr>
      <xdr:spPr>
        <a:xfrm>
          <a:off x="7918450" y="6070600"/>
          <a:ext cx="6350" cy="304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34</xdr:row>
      <xdr:rowOff>107950</xdr:rowOff>
    </xdr:from>
    <xdr:to>
      <xdr:col>13</xdr:col>
      <xdr:colOff>0</xdr:colOff>
      <xdr:row>35</xdr:row>
      <xdr:rowOff>0</xdr:rowOff>
    </xdr:to>
    <xdr:cxnSp macro="">
      <xdr:nvCxnSpPr>
        <xdr:cNvPr id="80" name="Conector de Seta Reta 79" descr="93e971f2-d8b0-48b6-ba1b-e68acd22901c">
          <a:extLst>
            <a:ext uri="{FF2B5EF4-FFF2-40B4-BE49-F238E27FC236}">
              <a16:creationId xmlns:a16="http://schemas.microsoft.com/office/drawing/2014/main" id="{34F1A5F8-AA2F-AA98-6E6A-4143708287E8}"/>
            </a:ext>
          </a:extLst>
        </xdr:cNvPr>
        <xdr:cNvCxnSpPr/>
      </xdr:nvCxnSpPr>
      <xdr:spPr>
        <a:xfrm>
          <a:off x="7924800" y="6369050"/>
          <a:ext cx="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34</xdr:row>
      <xdr:rowOff>114300</xdr:rowOff>
    </xdr:from>
    <xdr:to>
      <xdr:col>14</xdr:col>
      <xdr:colOff>133350</xdr:colOff>
      <xdr:row>35</xdr:row>
      <xdr:rowOff>0</xdr:rowOff>
    </xdr:to>
    <xdr:cxnSp macro="">
      <xdr:nvCxnSpPr>
        <xdr:cNvPr id="82" name="Conector de Seta Reta 81" descr="d67c4132-886f-4572-9900-819dd30eccec">
          <a:extLst>
            <a:ext uri="{FF2B5EF4-FFF2-40B4-BE49-F238E27FC236}">
              <a16:creationId xmlns:a16="http://schemas.microsoft.com/office/drawing/2014/main" id="{2B144043-6483-2C67-A0F9-EF844246E6BD}"/>
            </a:ext>
          </a:extLst>
        </xdr:cNvPr>
        <xdr:cNvCxnSpPr/>
      </xdr:nvCxnSpPr>
      <xdr:spPr>
        <a:xfrm>
          <a:off x="8661400" y="6375400"/>
          <a:ext cx="6350" cy="69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488950</xdr:colOff>
      <xdr:row>34</xdr:row>
      <xdr:rowOff>101600</xdr:rowOff>
    </xdr:from>
    <xdr:to>
      <xdr:col>11</xdr:col>
      <xdr:colOff>488950</xdr:colOff>
      <xdr:row>35</xdr:row>
      <xdr:rowOff>6350</xdr:rowOff>
    </xdr:to>
    <xdr:cxnSp macro="">
      <xdr:nvCxnSpPr>
        <xdr:cNvPr id="84" name="Conector de Seta Reta 83" descr="b886fb9c-09a1-4b03-ae40-c6f2c1036e52">
          <a:extLst>
            <a:ext uri="{FF2B5EF4-FFF2-40B4-BE49-F238E27FC236}">
              <a16:creationId xmlns:a16="http://schemas.microsoft.com/office/drawing/2014/main" id="{89AE9152-E9C0-F4E3-365D-434105869C25}"/>
            </a:ext>
          </a:extLst>
        </xdr:cNvPr>
        <xdr:cNvCxnSpPr/>
      </xdr:nvCxnSpPr>
      <xdr:spPr>
        <a:xfrm>
          <a:off x="7194550" y="6362700"/>
          <a:ext cx="0" cy="8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21</xdr:row>
      <xdr:rowOff>0</xdr:rowOff>
    </xdr:from>
    <xdr:to>
      <xdr:col>8</xdr:col>
      <xdr:colOff>6350</xdr:colOff>
      <xdr:row>21</xdr:row>
      <xdr:rowOff>6350</xdr:rowOff>
    </xdr:to>
    <xdr:cxnSp macro="">
      <xdr:nvCxnSpPr>
        <xdr:cNvPr id="86" name="Conector reto 85">
          <a:extLst>
            <a:ext uri="{FF2B5EF4-FFF2-40B4-BE49-F238E27FC236}">
              <a16:creationId xmlns:a16="http://schemas.microsoft.com/office/drawing/2014/main" id="{C87F1E94-3BAA-CAF8-31C3-ACDE8209071A}"/>
            </a:ext>
          </a:extLst>
        </xdr:cNvPr>
        <xdr:cNvCxnSpPr/>
      </xdr:nvCxnSpPr>
      <xdr:spPr>
        <a:xfrm flipH="1">
          <a:off x="4286250" y="3867150"/>
          <a:ext cx="596900" cy="63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21</xdr:row>
      <xdr:rowOff>0</xdr:rowOff>
    </xdr:from>
    <xdr:to>
      <xdr:col>7</xdr:col>
      <xdr:colOff>19050</xdr:colOff>
      <xdr:row>23</xdr:row>
      <xdr:rowOff>0</xdr:rowOff>
    </xdr:to>
    <xdr:cxnSp macro="">
      <xdr:nvCxnSpPr>
        <xdr:cNvPr id="88" name="Conector de Seta Reta 87" descr="f7b1c1d8-63cc-4669-9881-796562336ec3">
          <a:extLst>
            <a:ext uri="{FF2B5EF4-FFF2-40B4-BE49-F238E27FC236}">
              <a16:creationId xmlns:a16="http://schemas.microsoft.com/office/drawing/2014/main" id="{DE7CDB7B-DEAF-017A-6F39-1B21DAC2C8F4}"/>
            </a:ext>
          </a:extLst>
        </xdr:cNvPr>
        <xdr:cNvCxnSpPr/>
      </xdr:nvCxnSpPr>
      <xdr:spPr>
        <a:xfrm>
          <a:off x="4286250" y="3867150"/>
          <a:ext cx="0" cy="36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23</xdr:row>
      <xdr:rowOff>101600</xdr:rowOff>
    </xdr:from>
    <xdr:to>
      <xdr:col>9</xdr:col>
      <xdr:colOff>6350</xdr:colOff>
      <xdr:row>23</xdr:row>
      <xdr:rowOff>101600</xdr:rowOff>
    </xdr:to>
    <xdr:cxnSp macro="">
      <xdr:nvCxnSpPr>
        <xdr:cNvPr id="90" name="Conector reto 89">
          <a:extLst>
            <a:ext uri="{FF2B5EF4-FFF2-40B4-BE49-F238E27FC236}">
              <a16:creationId xmlns:a16="http://schemas.microsoft.com/office/drawing/2014/main" id="{73DC7134-2A05-2F4E-836B-A770CEEA105E}"/>
            </a:ext>
          </a:extLst>
        </xdr:cNvPr>
        <xdr:cNvCxnSpPr/>
      </xdr:nvCxnSpPr>
      <xdr:spPr>
        <a:xfrm>
          <a:off x="4883150" y="4337050"/>
          <a:ext cx="609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6350</xdr:colOff>
      <xdr:row>23</xdr:row>
      <xdr:rowOff>101600</xdr:rowOff>
    </xdr:from>
    <xdr:to>
      <xdr:col>9</xdr:col>
      <xdr:colOff>12700</xdr:colOff>
      <xdr:row>25</xdr:row>
      <xdr:rowOff>12700</xdr:rowOff>
    </xdr:to>
    <xdr:cxnSp macro="">
      <xdr:nvCxnSpPr>
        <xdr:cNvPr id="92" name="Conector de Seta Reta 91" descr="468eaa4e-538e-445a-b3fd-70b13625962b">
          <a:extLst>
            <a:ext uri="{FF2B5EF4-FFF2-40B4-BE49-F238E27FC236}">
              <a16:creationId xmlns:a16="http://schemas.microsoft.com/office/drawing/2014/main" id="{B54650BD-E868-FAC8-7F89-FD7162B26082}"/>
            </a:ext>
          </a:extLst>
        </xdr:cNvPr>
        <xdr:cNvCxnSpPr/>
      </xdr:nvCxnSpPr>
      <xdr:spPr>
        <a:xfrm>
          <a:off x="5492750" y="4337050"/>
          <a:ext cx="6350" cy="27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603250</xdr:colOff>
      <xdr:row>14</xdr:row>
      <xdr:rowOff>0</xdr:rowOff>
    </xdr:from>
    <xdr:to>
      <xdr:col>5</xdr:col>
      <xdr:colOff>0</xdr:colOff>
      <xdr:row>14</xdr:row>
      <xdr:rowOff>177800</xdr:rowOff>
    </xdr:to>
    <xdr:cxnSp macro="">
      <xdr:nvCxnSpPr>
        <xdr:cNvPr id="94" name="Conector de Seta Reta 93" descr="2038b9e4-9516-4dea-929e-01a21033cade">
          <a:extLst>
            <a:ext uri="{FF2B5EF4-FFF2-40B4-BE49-F238E27FC236}">
              <a16:creationId xmlns:a16="http://schemas.microsoft.com/office/drawing/2014/main" id="{F2442BB7-4470-7876-78BE-592462D17477}"/>
            </a:ext>
          </a:extLst>
        </xdr:cNvPr>
        <xdr:cNvCxnSpPr/>
      </xdr:nvCxnSpPr>
      <xdr:spPr>
        <a:xfrm flipH="1">
          <a:off x="3041650" y="2578100"/>
          <a:ext cx="635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12</xdr:row>
      <xdr:rowOff>6350</xdr:rowOff>
    </xdr:from>
    <xdr:to>
      <xdr:col>5</xdr:col>
      <xdr:colOff>0</xdr:colOff>
      <xdr:row>12</xdr:row>
      <xdr:rowOff>177800</xdr:rowOff>
    </xdr:to>
    <xdr:cxnSp macro="">
      <xdr:nvCxnSpPr>
        <xdr:cNvPr id="96" name="Conector de Seta Reta 95" descr="a51514cc-483a-4ef3-9058-d3424b4e559d">
          <a:extLst>
            <a:ext uri="{FF2B5EF4-FFF2-40B4-BE49-F238E27FC236}">
              <a16:creationId xmlns:a16="http://schemas.microsoft.com/office/drawing/2014/main" id="{08D609E0-8823-787F-DE2D-4A2A5DA515D4}"/>
            </a:ext>
          </a:extLst>
        </xdr:cNvPr>
        <xdr:cNvCxnSpPr/>
      </xdr:nvCxnSpPr>
      <xdr:spPr>
        <a:xfrm>
          <a:off x="3048000" y="2216150"/>
          <a:ext cx="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12</xdr:row>
      <xdr:rowOff>6350</xdr:rowOff>
    </xdr:from>
    <xdr:to>
      <xdr:col>9</xdr:col>
      <xdr:colOff>19050</xdr:colOff>
      <xdr:row>13</xdr:row>
      <xdr:rowOff>6350</xdr:rowOff>
    </xdr:to>
    <xdr:cxnSp macro="">
      <xdr:nvCxnSpPr>
        <xdr:cNvPr id="98" name="Conector de Seta Reta 97" descr="ec6eb82f-595f-4226-ae8f-dc43b5595ce3">
          <a:extLst>
            <a:ext uri="{FF2B5EF4-FFF2-40B4-BE49-F238E27FC236}">
              <a16:creationId xmlns:a16="http://schemas.microsoft.com/office/drawing/2014/main" id="{6F9C2BFB-152F-5A84-6357-6F5D47346265}"/>
            </a:ext>
          </a:extLst>
        </xdr:cNvPr>
        <xdr:cNvCxnSpPr/>
      </xdr:nvCxnSpPr>
      <xdr:spPr>
        <a:xfrm>
          <a:off x="5505450" y="2216150"/>
          <a:ext cx="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31750</xdr:colOff>
      <xdr:row>14</xdr:row>
      <xdr:rowOff>6350</xdr:rowOff>
    </xdr:from>
    <xdr:to>
      <xdr:col>9</xdr:col>
      <xdr:colOff>31750</xdr:colOff>
      <xdr:row>15</xdr:row>
      <xdr:rowOff>19050</xdr:rowOff>
    </xdr:to>
    <xdr:cxnSp macro="">
      <xdr:nvCxnSpPr>
        <xdr:cNvPr id="100" name="Conector de Seta Reta 99" descr="8e120d19-755c-4769-8f00-d1e7e3697b50">
          <a:extLst>
            <a:ext uri="{FF2B5EF4-FFF2-40B4-BE49-F238E27FC236}">
              <a16:creationId xmlns:a16="http://schemas.microsoft.com/office/drawing/2014/main" id="{503487FB-5912-C534-2FD8-A7F9D120E586}"/>
            </a:ext>
          </a:extLst>
        </xdr:cNvPr>
        <xdr:cNvCxnSpPr/>
      </xdr:nvCxnSpPr>
      <xdr:spPr>
        <a:xfrm>
          <a:off x="5518150" y="2584450"/>
          <a:ext cx="0" cy="19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xdr:row>
      <xdr:rowOff>177800</xdr:rowOff>
    </xdr:from>
    <xdr:to>
      <xdr:col>8</xdr:col>
      <xdr:colOff>25400</xdr:colOff>
      <xdr:row>11</xdr:row>
      <xdr:rowOff>6350</xdr:rowOff>
    </xdr:to>
    <xdr:cxnSp macro="">
      <xdr:nvCxnSpPr>
        <xdr:cNvPr id="102" name="Conector de Seta Reta 101" descr="2205cb0b-9fd8-4ca2-a877-2ff76342407c">
          <a:extLst>
            <a:ext uri="{FF2B5EF4-FFF2-40B4-BE49-F238E27FC236}">
              <a16:creationId xmlns:a16="http://schemas.microsoft.com/office/drawing/2014/main" id="{29728A39-1FC7-F2AB-BAC7-0CC12B61FA53}"/>
            </a:ext>
          </a:extLst>
        </xdr:cNvPr>
        <xdr:cNvCxnSpPr/>
      </xdr:nvCxnSpPr>
      <xdr:spPr>
        <a:xfrm>
          <a:off x="3657600" y="2019300"/>
          <a:ext cx="1244600" cy="127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xdr:row>
      <xdr:rowOff>0</xdr:rowOff>
    </xdr:from>
    <xdr:to>
      <xdr:col>7</xdr:col>
      <xdr:colOff>0</xdr:colOff>
      <xdr:row>11</xdr:row>
      <xdr:rowOff>12700</xdr:rowOff>
    </xdr:to>
    <xdr:cxnSp macro="">
      <xdr:nvCxnSpPr>
        <xdr:cNvPr id="104" name="Conector reto 103">
          <a:extLst>
            <a:ext uri="{FF2B5EF4-FFF2-40B4-BE49-F238E27FC236}">
              <a16:creationId xmlns:a16="http://schemas.microsoft.com/office/drawing/2014/main" id="{558A9BAB-9B30-A055-1728-3EE38F9EB223}"/>
            </a:ext>
          </a:extLst>
        </xdr:cNvPr>
        <xdr:cNvCxnSpPr/>
      </xdr:nvCxnSpPr>
      <xdr:spPr>
        <a:xfrm>
          <a:off x="4267200" y="1657350"/>
          <a:ext cx="0"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6350</xdr:rowOff>
    </xdr:from>
    <xdr:to>
      <xdr:col>7</xdr:col>
      <xdr:colOff>0</xdr:colOff>
      <xdr:row>8</xdr:row>
      <xdr:rowOff>0</xdr:rowOff>
    </xdr:to>
    <xdr:cxnSp macro="">
      <xdr:nvCxnSpPr>
        <xdr:cNvPr id="107" name="Conector de Seta Reta 106" descr="64398917-d612-42d5-9a2d-7acd39f3449a">
          <a:extLst>
            <a:ext uri="{FF2B5EF4-FFF2-40B4-BE49-F238E27FC236}">
              <a16:creationId xmlns:a16="http://schemas.microsoft.com/office/drawing/2014/main" id="{5F5842E4-0A76-AE6F-2327-E19F9A8E1DB9}"/>
            </a:ext>
          </a:extLst>
        </xdr:cNvPr>
        <xdr:cNvCxnSpPr/>
      </xdr:nvCxnSpPr>
      <xdr:spPr>
        <a:xfrm>
          <a:off x="4267200" y="1295400"/>
          <a:ext cx="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6350</xdr:colOff>
      <xdr:row>29</xdr:row>
      <xdr:rowOff>0</xdr:rowOff>
    </xdr:from>
    <xdr:to>
      <xdr:col>19</xdr:col>
      <xdr:colOff>6350</xdr:colOff>
      <xdr:row>29</xdr:row>
      <xdr:rowOff>177800</xdr:rowOff>
    </xdr:to>
    <xdr:cxnSp macro="">
      <xdr:nvCxnSpPr>
        <xdr:cNvPr id="109" name="Conector de Seta Reta 108" descr="1864f385-5002-4881-bce5-3d6f4143c335">
          <a:extLst>
            <a:ext uri="{FF2B5EF4-FFF2-40B4-BE49-F238E27FC236}">
              <a16:creationId xmlns:a16="http://schemas.microsoft.com/office/drawing/2014/main" id="{4CAD544F-FF2A-8D54-24B9-F88CBE5E33DD}"/>
            </a:ext>
          </a:extLst>
        </xdr:cNvPr>
        <xdr:cNvCxnSpPr/>
      </xdr:nvCxnSpPr>
      <xdr:spPr>
        <a:xfrm>
          <a:off x="11588750" y="5340350"/>
          <a:ext cx="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xdr:colOff>
      <xdr:row>31</xdr:row>
      <xdr:rowOff>6350</xdr:rowOff>
    </xdr:from>
    <xdr:to>
      <xdr:col>19</xdr:col>
      <xdr:colOff>19050</xdr:colOff>
      <xdr:row>32</xdr:row>
      <xdr:rowOff>12700</xdr:rowOff>
    </xdr:to>
    <xdr:cxnSp macro="">
      <xdr:nvCxnSpPr>
        <xdr:cNvPr id="111" name="Conector de Seta Reta 110" descr="40015f1f-c13c-4a97-b14d-a2e8c576b6ec">
          <a:extLst>
            <a:ext uri="{FF2B5EF4-FFF2-40B4-BE49-F238E27FC236}">
              <a16:creationId xmlns:a16="http://schemas.microsoft.com/office/drawing/2014/main" id="{5A7F9CDC-DE72-BC30-75A9-6F2BED43E8EA}"/>
            </a:ext>
          </a:extLst>
        </xdr:cNvPr>
        <xdr:cNvCxnSpPr/>
      </xdr:nvCxnSpPr>
      <xdr:spPr>
        <a:xfrm>
          <a:off x="11601450" y="571500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6350</xdr:colOff>
      <xdr:row>34</xdr:row>
      <xdr:rowOff>6350</xdr:rowOff>
    </xdr:from>
    <xdr:to>
      <xdr:col>19</xdr:col>
      <xdr:colOff>12700</xdr:colOff>
      <xdr:row>35</xdr:row>
      <xdr:rowOff>6350</xdr:rowOff>
    </xdr:to>
    <xdr:cxnSp macro="">
      <xdr:nvCxnSpPr>
        <xdr:cNvPr id="113" name="Conector de Seta Reta 112" descr="6a2d9eec-ba6a-4c43-b395-429254c84af5">
          <a:extLst>
            <a:ext uri="{FF2B5EF4-FFF2-40B4-BE49-F238E27FC236}">
              <a16:creationId xmlns:a16="http://schemas.microsoft.com/office/drawing/2014/main" id="{9D66BADC-26BB-C3EE-75DD-B84393E66749}"/>
            </a:ext>
          </a:extLst>
        </xdr:cNvPr>
        <xdr:cNvCxnSpPr/>
      </xdr:nvCxnSpPr>
      <xdr:spPr>
        <a:xfrm>
          <a:off x="11588750" y="6267450"/>
          <a:ext cx="635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12700</xdr:colOff>
      <xdr:row>35</xdr:row>
      <xdr:rowOff>82550</xdr:rowOff>
    </xdr:from>
    <xdr:to>
      <xdr:col>18</xdr:col>
      <xdr:colOff>0</xdr:colOff>
      <xdr:row>35</xdr:row>
      <xdr:rowOff>88900</xdr:rowOff>
    </xdr:to>
    <xdr:cxnSp macro="">
      <xdr:nvCxnSpPr>
        <xdr:cNvPr id="115" name="Conector reto 114">
          <a:extLst>
            <a:ext uri="{FF2B5EF4-FFF2-40B4-BE49-F238E27FC236}">
              <a16:creationId xmlns:a16="http://schemas.microsoft.com/office/drawing/2014/main" id="{38FD8398-DAB5-9A5D-4408-7EFB12934079}"/>
            </a:ext>
          </a:extLst>
        </xdr:cNvPr>
        <xdr:cNvCxnSpPr/>
      </xdr:nvCxnSpPr>
      <xdr:spPr>
        <a:xfrm>
          <a:off x="9766300" y="6527800"/>
          <a:ext cx="1206500" cy="63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6350</xdr:colOff>
      <xdr:row>35</xdr:row>
      <xdr:rowOff>82550</xdr:rowOff>
    </xdr:from>
    <xdr:to>
      <xdr:col>17</xdr:col>
      <xdr:colOff>6350</xdr:colOff>
      <xdr:row>37</xdr:row>
      <xdr:rowOff>6350</xdr:rowOff>
    </xdr:to>
    <xdr:cxnSp macro="">
      <xdr:nvCxnSpPr>
        <xdr:cNvPr id="117" name="Conector de Seta Reta 116" descr="31be3865-ae29-43f5-bcc3-ec2cf497860b">
          <a:extLst>
            <a:ext uri="{FF2B5EF4-FFF2-40B4-BE49-F238E27FC236}">
              <a16:creationId xmlns:a16="http://schemas.microsoft.com/office/drawing/2014/main" id="{2316E559-09AD-C1FE-5809-CDD8CF197CEC}"/>
            </a:ext>
          </a:extLst>
        </xdr:cNvPr>
        <xdr:cNvCxnSpPr/>
      </xdr:nvCxnSpPr>
      <xdr:spPr>
        <a:xfrm>
          <a:off x="10369550" y="6527800"/>
          <a:ext cx="0" cy="29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22746</xdr:colOff>
      <xdr:row>38</xdr:row>
      <xdr:rowOff>11374</xdr:rowOff>
    </xdr:from>
    <xdr:to>
      <xdr:col>19</xdr:col>
      <xdr:colOff>11373</xdr:colOff>
      <xdr:row>38</xdr:row>
      <xdr:rowOff>11374</xdr:rowOff>
    </xdr:to>
    <xdr:cxnSp macro="">
      <xdr:nvCxnSpPr>
        <xdr:cNvPr id="119" name="Conector de Seta Reta 118" descr="32bbfc1d-c138-40f3-a450-7c4ab72ac770">
          <a:extLst>
            <a:ext uri="{FF2B5EF4-FFF2-40B4-BE49-F238E27FC236}">
              <a16:creationId xmlns:a16="http://schemas.microsoft.com/office/drawing/2014/main" id="{BEBBE2BE-ECF7-982E-2F4E-585E408FFA94}"/>
            </a:ext>
          </a:extLst>
        </xdr:cNvPr>
        <xdr:cNvCxnSpPr/>
      </xdr:nvCxnSpPr>
      <xdr:spPr>
        <a:xfrm flipH="1">
          <a:off x="11077433" y="7074090"/>
          <a:ext cx="6027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381964</xdr:colOff>
      <xdr:row>41</xdr:row>
      <xdr:rowOff>182302</xdr:rowOff>
    </xdr:from>
    <xdr:to>
      <xdr:col>18</xdr:col>
      <xdr:colOff>389584</xdr:colOff>
      <xdr:row>43</xdr:row>
      <xdr:rowOff>113721</xdr:rowOff>
    </xdr:to>
    <xdr:cxnSp macro="">
      <xdr:nvCxnSpPr>
        <xdr:cNvPr id="130" name="Conector reto 129">
          <a:extLst>
            <a:ext uri="{FF2B5EF4-FFF2-40B4-BE49-F238E27FC236}">
              <a16:creationId xmlns:a16="http://schemas.microsoft.com/office/drawing/2014/main" id="{30AFC9F2-E6AC-D4F5-0FFC-36BC15ACF87C}"/>
            </a:ext>
          </a:extLst>
        </xdr:cNvPr>
        <xdr:cNvCxnSpPr/>
      </xdr:nvCxnSpPr>
      <xdr:spPr>
        <a:xfrm>
          <a:off x="11320040" y="7840884"/>
          <a:ext cx="7620" cy="2979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38</xdr:row>
      <xdr:rowOff>171166</xdr:rowOff>
    </xdr:from>
    <xdr:to>
      <xdr:col>17</xdr:col>
      <xdr:colOff>0</xdr:colOff>
      <xdr:row>41</xdr:row>
      <xdr:rowOff>22746</xdr:rowOff>
    </xdr:to>
    <xdr:cxnSp macro="">
      <xdr:nvCxnSpPr>
        <xdr:cNvPr id="138" name="Conector reto 137">
          <a:extLst>
            <a:ext uri="{FF2B5EF4-FFF2-40B4-BE49-F238E27FC236}">
              <a16:creationId xmlns:a16="http://schemas.microsoft.com/office/drawing/2014/main" id="{79D1A7FC-9FCA-06E1-12E3-CFD10BCCEAF9}"/>
            </a:ext>
          </a:extLst>
        </xdr:cNvPr>
        <xdr:cNvCxnSpPr/>
      </xdr:nvCxnSpPr>
      <xdr:spPr>
        <a:xfrm>
          <a:off x="10440537" y="7233882"/>
          <a:ext cx="0" cy="3974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385823</xdr:colOff>
      <xdr:row>43</xdr:row>
      <xdr:rowOff>123366</xdr:rowOff>
    </xdr:from>
    <xdr:to>
      <xdr:col>18</xdr:col>
      <xdr:colOff>601594</xdr:colOff>
      <xdr:row>43</xdr:row>
      <xdr:rowOff>125392</xdr:rowOff>
    </xdr:to>
    <xdr:cxnSp macro="">
      <xdr:nvCxnSpPr>
        <xdr:cNvPr id="144" name="Conector de Seta Reta 143" descr="e3d254a3-bb3d-4ead-8848-0376a4b077e0">
          <a:extLst>
            <a:ext uri="{FF2B5EF4-FFF2-40B4-BE49-F238E27FC236}">
              <a16:creationId xmlns:a16="http://schemas.microsoft.com/office/drawing/2014/main" id="{107E3C3A-E300-96A6-660A-9BF6FB45CD4C}"/>
            </a:ext>
          </a:extLst>
        </xdr:cNvPr>
        <xdr:cNvCxnSpPr/>
      </xdr:nvCxnSpPr>
      <xdr:spPr>
        <a:xfrm flipV="1">
          <a:off x="11323899" y="8148480"/>
          <a:ext cx="215771" cy="2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11373</xdr:colOff>
      <xdr:row>44</xdr:row>
      <xdr:rowOff>11373</xdr:rowOff>
    </xdr:from>
    <xdr:to>
      <xdr:col>16</xdr:col>
      <xdr:colOff>11373</xdr:colOff>
      <xdr:row>44</xdr:row>
      <xdr:rowOff>22747</xdr:rowOff>
    </xdr:to>
    <xdr:cxnSp macro="">
      <xdr:nvCxnSpPr>
        <xdr:cNvPr id="146" name="Conector de Seta Reta 145" descr="188c679c-a427-40f0-bf57-97101ba7b392">
          <a:extLst>
            <a:ext uri="{FF2B5EF4-FFF2-40B4-BE49-F238E27FC236}">
              <a16:creationId xmlns:a16="http://schemas.microsoft.com/office/drawing/2014/main" id="{A418814A-2122-ABA3-1C7B-F12472175FED}"/>
            </a:ext>
          </a:extLst>
        </xdr:cNvPr>
        <xdr:cNvCxnSpPr/>
      </xdr:nvCxnSpPr>
      <xdr:spPr>
        <a:xfrm>
          <a:off x="8609463" y="8165910"/>
          <a:ext cx="1228298" cy="1137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45492</xdr:colOff>
      <xdr:row>41</xdr:row>
      <xdr:rowOff>178217</xdr:rowOff>
    </xdr:from>
    <xdr:to>
      <xdr:col>15</xdr:col>
      <xdr:colOff>46971</xdr:colOff>
      <xdr:row>44</xdr:row>
      <xdr:rowOff>22747</xdr:rowOff>
    </xdr:to>
    <xdr:cxnSp macro="">
      <xdr:nvCxnSpPr>
        <xdr:cNvPr id="148" name="Conector reto 147">
          <a:extLst>
            <a:ext uri="{FF2B5EF4-FFF2-40B4-BE49-F238E27FC236}">
              <a16:creationId xmlns:a16="http://schemas.microsoft.com/office/drawing/2014/main" id="{616743B0-4724-14B4-CBDF-48EE6DDAFF53}"/>
            </a:ext>
          </a:extLst>
        </xdr:cNvPr>
        <xdr:cNvCxnSpPr/>
      </xdr:nvCxnSpPr>
      <xdr:spPr>
        <a:xfrm flipH="1">
          <a:off x="9257731" y="7786844"/>
          <a:ext cx="1479" cy="3904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529734</xdr:colOff>
      <xdr:row>46</xdr:row>
      <xdr:rowOff>46781</xdr:rowOff>
    </xdr:from>
    <xdr:to>
      <xdr:col>20</xdr:col>
      <xdr:colOff>28743</xdr:colOff>
      <xdr:row>46</xdr:row>
      <xdr:rowOff>54401</xdr:rowOff>
    </xdr:to>
    <xdr:cxnSp macro="">
      <xdr:nvCxnSpPr>
        <xdr:cNvPr id="150" name="Conector reto 149">
          <a:extLst>
            <a:ext uri="{FF2B5EF4-FFF2-40B4-BE49-F238E27FC236}">
              <a16:creationId xmlns:a16="http://schemas.microsoft.com/office/drawing/2014/main" id="{1FF2FF9D-4C1A-E4F5-776A-DF99357942E5}"/>
            </a:ext>
          </a:extLst>
        </xdr:cNvPr>
        <xdr:cNvCxnSpPr/>
      </xdr:nvCxnSpPr>
      <xdr:spPr>
        <a:xfrm>
          <a:off x="7821785" y="8621692"/>
          <a:ext cx="4360376"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530506</xdr:colOff>
      <xdr:row>44</xdr:row>
      <xdr:rowOff>173620</xdr:rowOff>
    </xdr:from>
    <xdr:to>
      <xdr:col>12</xdr:col>
      <xdr:colOff>530506</xdr:colOff>
      <xdr:row>46</xdr:row>
      <xdr:rowOff>48228</xdr:rowOff>
    </xdr:to>
    <xdr:cxnSp macro="">
      <xdr:nvCxnSpPr>
        <xdr:cNvPr id="152" name="Conector reto 151">
          <a:extLst>
            <a:ext uri="{FF2B5EF4-FFF2-40B4-BE49-F238E27FC236}">
              <a16:creationId xmlns:a16="http://schemas.microsoft.com/office/drawing/2014/main" id="{7DD1EDBB-D9B5-A24A-A177-431F6D359B33}"/>
            </a:ext>
          </a:extLst>
        </xdr:cNvPr>
        <xdr:cNvCxnSpPr/>
      </xdr:nvCxnSpPr>
      <xdr:spPr>
        <a:xfrm flipV="1">
          <a:off x="7822557" y="8382000"/>
          <a:ext cx="0" cy="24113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19291</xdr:colOff>
      <xdr:row>44</xdr:row>
      <xdr:rowOff>173620</xdr:rowOff>
    </xdr:from>
    <xdr:to>
      <xdr:col>20</xdr:col>
      <xdr:colOff>28936</xdr:colOff>
      <xdr:row>46</xdr:row>
      <xdr:rowOff>57874</xdr:rowOff>
    </xdr:to>
    <xdr:cxnSp macro="">
      <xdr:nvCxnSpPr>
        <xdr:cNvPr id="154" name="Conector reto 153">
          <a:extLst>
            <a:ext uri="{FF2B5EF4-FFF2-40B4-BE49-F238E27FC236}">
              <a16:creationId xmlns:a16="http://schemas.microsoft.com/office/drawing/2014/main" id="{E5E3C474-B5E9-218A-B295-F7EFFDEAAE89}"/>
            </a:ext>
          </a:extLst>
        </xdr:cNvPr>
        <xdr:cNvCxnSpPr/>
      </xdr:nvCxnSpPr>
      <xdr:spPr>
        <a:xfrm flipH="1" flipV="1">
          <a:off x="12172709" y="8382000"/>
          <a:ext cx="9645" cy="250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607382</xdr:colOff>
      <xdr:row>45</xdr:row>
      <xdr:rowOff>7620</xdr:rowOff>
    </xdr:from>
    <xdr:to>
      <xdr:col>17</xdr:col>
      <xdr:colOff>0</xdr:colOff>
      <xdr:row>46</xdr:row>
      <xdr:rowOff>57874</xdr:rowOff>
    </xdr:to>
    <xdr:cxnSp macro="">
      <xdr:nvCxnSpPr>
        <xdr:cNvPr id="158" name="Conector reto 157">
          <a:extLst>
            <a:ext uri="{FF2B5EF4-FFF2-40B4-BE49-F238E27FC236}">
              <a16:creationId xmlns:a16="http://schemas.microsoft.com/office/drawing/2014/main" id="{46F32149-BC9A-39EB-E18F-F8AFA6089A89}"/>
            </a:ext>
          </a:extLst>
        </xdr:cNvPr>
        <xdr:cNvCxnSpPr/>
      </xdr:nvCxnSpPr>
      <xdr:spPr>
        <a:xfrm>
          <a:off x="10330116" y="8399266"/>
          <a:ext cx="289" cy="2335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605646</xdr:colOff>
      <xdr:row>45</xdr:row>
      <xdr:rowOff>160503</xdr:rowOff>
    </xdr:from>
    <xdr:to>
      <xdr:col>17</xdr:col>
      <xdr:colOff>0</xdr:colOff>
      <xdr:row>47</xdr:row>
      <xdr:rowOff>9646</xdr:rowOff>
    </xdr:to>
    <xdr:cxnSp macro="">
      <xdr:nvCxnSpPr>
        <xdr:cNvPr id="160" name="Conector de Seta Reta 159" descr="c17dd2ee-a0a9-4cd2-9b87-b6d979e7b46a">
          <a:extLst>
            <a:ext uri="{FF2B5EF4-FFF2-40B4-BE49-F238E27FC236}">
              <a16:creationId xmlns:a16="http://schemas.microsoft.com/office/drawing/2014/main" id="{F4C1BDB1-12C7-B6EB-F4A7-8E82445AB66F}"/>
            </a:ext>
          </a:extLst>
        </xdr:cNvPr>
        <xdr:cNvCxnSpPr/>
      </xdr:nvCxnSpPr>
      <xdr:spPr>
        <a:xfrm>
          <a:off x="10328380" y="8552149"/>
          <a:ext cx="2025" cy="2156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578733</xdr:colOff>
      <xdr:row>48</xdr:row>
      <xdr:rowOff>78225</xdr:rowOff>
    </xdr:from>
    <xdr:to>
      <xdr:col>19</xdr:col>
      <xdr:colOff>601594</xdr:colOff>
      <xdr:row>48</xdr:row>
      <xdr:rowOff>93465</xdr:rowOff>
    </xdr:to>
    <xdr:cxnSp macro="">
      <xdr:nvCxnSpPr>
        <xdr:cNvPr id="162" name="Conector reto 161">
          <a:extLst>
            <a:ext uri="{FF2B5EF4-FFF2-40B4-BE49-F238E27FC236}">
              <a16:creationId xmlns:a16="http://schemas.microsoft.com/office/drawing/2014/main" id="{0AF71EAE-CB68-0DBC-53B0-6203A892E80E}"/>
            </a:ext>
          </a:extLst>
        </xdr:cNvPr>
        <xdr:cNvCxnSpPr/>
      </xdr:nvCxnSpPr>
      <xdr:spPr>
        <a:xfrm>
          <a:off x="8478455" y="9019668"/>
          <a:ext cx="3668886" cy="152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588379</xdr:colOff>
      <xdr:row>47</xdr:row>
      <xdr:rowOff>183265</xdr:rowOff>
    </xdr:from>
    <xdr:to>
      <xdr:col>16</xdr:col>
      <xdr:colOff>588379</xdr:colOff>
      <xdr:row>48</xdr:row>
      <xdr:rowOff>83819</xdr:rowOff>
    </xdr:to>
    <xdr:cxnSp macro="">
      <xdr:nvCxnSpPr>
        <xdr:cNvPr id="164" name="Conector reto 163">
          <a:extLst>
            <a:ext uri="{FF2B5EF4-FFF2-40B4-BE49-F238E27FC236}">
              <a16:creationId xmlns:a16="http://schemas.microsoft.com/office/drawing/2014/main" id="{F06C822A-2553-133E-7DB2-37BD09947E6A}"/>
            </a:ext>
          </a:extLst>
        </xdr:cNvPr>
        <xdr:cNvCxnSpPr/>
      </xdr:nvCxnSpPr>
      <xdr:spPr>
        <a:xfrm>
          <a:off x="10311113" y="8941442"/>
          <a:ext cx="0" cy="838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592335</xdr:colOff>
      <xdr:row>48</xdr:row>
      <xdr:rowOff>78225</xdr:rowOff>
    </xdr:from>
    <xdr:to>
      <xdr:col>13</xdr:col>
      <xdr:colOff>592335</xdr:colOff>
      <xdr:row>49</xdr:row>
      <xdr:rowOff>9645</xdr:rowOff>
    </xdr:to>
    <xdr:cxnSp macro="">
      <xdr:nvCxnSpPr>
        <xdr:cNvPr id="166" name="Conector de Seta Reta 165" descr="4f3fa3a1-bc32-47a2-98e8-e47b032b1078">
          <a:extLst>
            <a:ext uri="{FF2B5EF4-FFF2-40B4-BE49-F238E27FC236}">
              <a16:creationId xmlns:a16="http://schemas.microsoft.com/office/drawing/2014/main" id="{EEB2819E-DBBC-6883-2D78-BD1A6559172F}"/>
            </a:ext>
          </a:extLst>
        </xdr:cNvPr>
        <xdr:cNvCxnSpPr/>
      </xdr:nvCxnSpPr>
      <xdr:spPr>
        <a:xfrm>
          <a:off x="8492057" y="9019668"/>
          <a:ext cx="0" cy="1146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588380</xdr:colOff>
      <xdr:row>48</xdr:row>
      <xdr:rowOff>86810</xdr:rowOff>
    </xdr:from>
    <xdr:to>
      <xdr:col>19</xdr:col>
      <xdr:colOff>589923</xdr:colOff>
      <xdr:row>49</xdr:row>
      <xdr:rowOff>26911</xdr:rowOff>
    </xdr:to>
    <xdr:cxnSp macro="">
      <xdr:nvCxnSpPr>
        <xdr:cNvPr id="168" name="Conector de Seta Reta 167" descr="5cc7b352-26ac-412c-9a2b-c26aea71df59">
          <a:extLst>
            <a:ext uri="{FF2B5EF4-FFF2-40B4-BE49-F238E27FC236}">
              <a16:creationId xmlns:a16="http://schemas.microsoft.com/office/drawing/2014/main" id="{DCE8E0E5-C0BE-F4F7-D9E6-375968107563}"/>
            </a:ext>
          </a:extLst>
        </xdr:cNvPr>
        <xdr:cNvCxnSpPr/>
      </xdr:nvCxnSpPr>
      <xdr:spPr>
        <a:xfrm>
          <a:off x="12134127" y="9028253"/>
          <a:ext cx="1543" cy="1233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588380</xdr:colOff>
      <xdr:row>48</xdr:row>
      <xdr:rowOff>86810</xdr:rowOff>
    </xdr:from>
    <xdr:to>
      <xdr:col>16</xdr:col>
      <xdr:colOff>595999</xdr:colOff>
      <xdr:row>49</xdr:row>
      <xdr:rowOff>9645</xdr:rowOff>
    </xdr:to>
    <xdr:cxnSp macro="">
      <xdr:nvCxnSpPr>
        <xdr:cNvPr id="170" name="Conector de Seta Reta 169" descr="956d9ef3-5b4d-41f0-b4e2-486b532e5060">
          <a:extLst>
            <a:ext uri="{FF2B5EF4-FFF2-40B4-BE49-F238E27FC236}">
              <a16:creationId xmlns:a16="http://schemas.microsoft.com/office/drawing/2014/main" id="{732F46BB-B1E0-C9FD-8830-8FEDB8621F44}"/>
            </a:ext>
          </a:extLst>
        </xdr:cNvPr>
        <xdr:cNvCxnSpPr/>
      </xdr:nvCxnSpPr>
      <xdr:spPr>
        <a:xfrm>
          <a:off x="10311114" y="9028253"/>
          <a:ext cx="7619" cy="106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411480</xdr:colOff>
      <xdr:row>51</xdr:row>
      <xdr:rowOff>60960</xdr:rowOff>
    </xdr:from>
    <xdr:to>
      <xdr:col>21</xdr:col>
      <xdr:colOff>121920</xdr:colOff>
      <xdr:row>51</xdr:row>
      <xdr:rowOff>68580</xdr:rowOff>
    </xdr:to>
    <xdr:cxnSp macro="">
      <xdr:nvCxnSpPr>
        <xdr:cNvPr id="172" name="Conector reto 171">
          <a:extLst>
            <a:ext uri="{FF2B5EF4-FFF2-40B4-BE49-F238E27FC236}">
              <a16:creationId xmlns:a16="http://schemas.microsoft.com/office/drawing/2014/main" id="{6212F8F2-36E6-9CB2-452F-A5E15A17A855}"/>
            </a:ext>
          </a:extLst>
        </xdr:cNvPr>
        <xdr:cNvCxnSpPr/>
      </xdr:nvCxnSpPr>
      <xdr:spPr>
        <a:xfrm flipV="1">
          <a:off x="7726680" y="10119360"/>
          <a:ext cx="519684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51</xdr:row>
      <xdr:rowOff>0</xdr:rowOff>
    </xdr:from>
    <xdr:to>
      <xdr:col>14</xdr:col>
      <xdr:colOff>0</xdr:colOff>
      <xdr:row>51</xdr:row>
      <xdr:rowOff>68580</xdr:rowOff>
    </xdr:to>
    <xdr:cxnSp macro="">
      <xdr:nvCxnSpPr>
        <xdr:cNvPr id="174" name="Conector reto 173">
          <a:extLst>
            <a:ext uri="{FF2B5EF4-FFF2-40B4-BE49-F238E27FC236}">
              <a16:creationId xmlns:a16="http://schemas.microsoft.com/office/drawing/2014/main" id="{A34E6B8B-7DC5-1226-B889-F6CEBB8EE0B5}"/>
            </a:ext>
          </a:extLst>
        </xdr:cNvPr>
        <xdr:cNvCxnSpPr/>
      </xdr:nvCxnSpPr>
      <xdr:spPr>
        <a:xfrm>
          <a:off x="8534400" y="10058400"/>
          <a:ext cx="0" cy="68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51</xdr:row>
      <xdr:rowOff>7620</xdr:rowOff>
    </xdr:from>
    <xdr:to>
      <xdr:col>17</xdr:col>
      <xdr:colOff>0</xdr:colOff>
      <xdr:row>51</xdr:row>
      <xdr:rowOff>68580</xdr:rowOff>
    </xdr:to>
    <xdr:cxnSp macro="">
      <xdr:nvCxnSpPr>
        <xdr:cNvPr id="176" name="Conector reto 175">
          <a:extLst>
            <a:ext uri="{FF2B5EF4-FFF2-40B4-BE49-F238E27FC236}">
              <a16:creationId xmlns:a16="http://schemas.microsoft.com/office/drawing/2014/main" id="{05352E73-D013-C662-9FC7-09DA52F14D1F}"/>
            </a:ext>
          </a:extLst>
        </xdr:cNvPr>
        <xdr:cNvCxnSpPr/>
      </xdr:nvCxnSpPr>
      <xdr:spPr>
        <a:xfrm>
          <a:off x="10363200" y="10066020"/>
          <a:ext cx="0" cy="609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xdr:colOff>
      <xdr:row>51</xdr:row>
      <xdr:rowOff>0</xdr:rowOff>
    </xdr:from>
    <xdr:to>
      <xdr:col>20</xdr:col>
      <xdr:colOff>22860</xdr:colOff>
      <xdr:row>51</xdr:row>
      <xdr:rowOff>68580</xdr:rowOff>
    </xdr:to>
    <xdr:cxnSp macro="">
      <xdr:nvCxnSpPr>
        <xdr:cNvPr id="178" name="Conector reto 177">
          <a:extLst>
            <a:ext uri="{FF2B5EF4-FFF2-40B4-BE49-F238E27FC236}">
              <a16:creationId xmlns:a16="http://schemas.microsoft.com/office/drawing/2014/main" id="{331E5DA4-ECE2-E8A7-C084-1DCE03D3850C}"/>
            </a:ext>
          </a:extLst>
        </xdr:cNvPr>
        <xdr:cNvCxnSpPr/>
      </xdr:nvCxnSpPr>
      <xdr:spPr>
        <a:xfrm>
          <a:off x="12207240" y="10058400"/>
          <a:ext cx="7620" cy="68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129540</xdr:colOff>
      <xdr:row>51</xdr:row>
      <xdr:rowOff>68580</xdr:rowOff>
    </xdr:from>
    <xdr:to>
      <xdr:col>21</xdr:col>
      <xdr:colOff>129540</xdr:colOff>
      <xdr:row>52</xdr:row>
      <xdr:rowOff>7620</xdr:rowOff>
    </xdr:to>
    <xdr:cxnSp macro="">
      <xdr:nvCxnSpPr>
        <xdr:cNvPr id="180" name="Conector de Seta Reta 179" descr="6111b626-47c9-4807-912b-d9fc99afc30f">
          <a:extLst>
            <a:ext uri="{FF2B5EF4-FFF2-40B4-BE49-F238E27FC236}">
              <a16:creationId xmlns:a16="http://schemas.microsoft.com/office/drawing/2014/main" id="{1AD88C7F-C61A-44FB-E9B2-329548D7B9EE}"/>
            </a:ext>
          </a:extLst>
        </xdr:cNvPr>
        <xdr:cNvCxnSpPr/>
      </xdr:nvCxnSpPr>
      <xdr:spPr>
        <a:xfrm>
          <a:off x="12931140" y="10126980"/>
          <a:ext cx="0" cy="121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51</xdr:row>
      <xdr:rowOff>60960</xdr:rowOff>
    </xdr:from>
    <xdr:to>
      <xdr:col>18</xdr:col>
      <xdr:colOff>114300</xdr:colOff>
      <xdr:row>52</xdr:row>
      <xdr:rowOff>0</xdr:rowOff>
    </xdr:to>
    <xdr:cxnSp macro="">
      <xdr:nvCxnSpPr>
        <xdr:cNvPr id="182" name="Conector de Seta Reta 181" descr="32cbf85f-c4d5-4626-9d3c-46cb0acbabd3">
          <a:extLst>
            <a:ext uri="{FF2B5EF4-FFF2-40B4-BE49-F238E27FC236}">
              <a16:creationId xmlns:a16="http://schemas.microsoft.com/office/drawing/2014/main" id="{E921F3FD-8F0D-E688-F706-2C57D8F1493E}"/>
            </a:ext>
          </a:extLst>
        </xdr:cNvPr>
        <xdr:cNvCxnSpPr/>
      </xdr:nvCxnSpPr>
      <xdr:spPr>
        <a:xfrm>
          <a:off x="11071860" y="10119360"/>
          <a:ext cx="15240" cy="121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129540</xdr:colOff>
      <xdr:row>51</xdr:row>
      <xdr:rowOff>68580</xdr:rowOff>
    </xdr:from>
    <xdr:to>
      <xdr:col>15</xdr:col>
      <xdr:colOff>129540</xdr:colOff>
      <xdr:row>52</xdr:row>
      <xdr:rowOff>15240</xdr:rowOff>
    </xdr:to>
    <xdr:cxnSp macro="">
      <xdr:nvCxnSpPr>
        <xdr:cNvPr id="184" name="Conector de Seta Reta 183" descr="ed1020b1-0800-4ddb-a07a-71435e41b42b">
          <a:extLst>
            <a:ext uri="{FF2B5EF4-FFF2-40B4-BE49-F238E27FC236}">
              <a16:creationId xmlns:a16="http://schemas.microsoft.com/office/drawing/2014/main" id="{F7DB1CD1-4FF5-0388-37FC-F198C804427B}"/>
            </a:ext>
          </a:extLst>
        </xdr:cNvPr>
        <xdr:cNvCxnSpPr/>
      </xdr:nvCxnSpPr>
      <xdr:spPr>
        <a:xfrm>
          <a:off x="9273540" y="10126980"/>
          <a:ext cx="0" cy="129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411480</xdr:colOff>
      <xdr:row>51</xdr:row>
      <xdr:rowOff>68580</xdr:rowOff>
    </xdr:from>
    <xdr:to>
      <xdr:col>12</xdr:col>
      <xdr:colOff>419100</xdr:colOff>
      <xdr:row>52</xdr:row>
      <xdr:rowOff>0</xdr:rowOff>
    </xdr:to>
    <xdr:cxnSp macro="">
      <xdr:nvCxnSpPr>
        <xdr:cNvPr id="186" name="Conector de Seta Reta 185" descr="a650865e-4672-4ca0-82fa-72a3104c56d9">
          <a:extLst>
            <a:ext uri="{FF2B5EF4-FFF2-40B4-BE49-F238E27FC236}">
              <a16:creationId xmlns:a16="http://schemas.microsoft.com/office/drawing/2014/main" id="{FF22DD65-30EC-7243-12A5-EB7B1C313A42}"/>
            </a:ext>
          </a:extLst>
        </xdr:cNvPr>
        <xdr:cNvCxnSpPr/>
      </xdr:nvCxnSpPr>
      <xdr:spPr>
        <a:xfrm>
          <a:off x="7726680" y="10126980"/>
          <a:ext cx="762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22746</xdr:colOff>
      <xdr:row>41</xdr:row>
      <xdr:rowOff>11373</xdr:rowOff>
    </xdr:from>
    <xdr:to>
      <xdr:col>18</xdr:col>
      <xdr:colOff>11373</xdr:colOff>
      <xdr:row>41</xdr:row>
      <xdr:rowOff>11373</xdr:rowOff>
    </xdr:to>
    <xdr:cxnSp macro="">
      <xdr:nvCxnSpPr>
        <xdr:cNvPr id="7" name="Conector de Seta Reta 6" descr="10e4aa02-58d4-4f5d-a730-0da38a1b658e">
          <a:extLst>
            <a:ext uri="{FF2B5EF4-FFF2-40B4-BE49-F238E27FC236}">
              <a16:creationId xmlns:a16="http://schemas.microsoft.com/office/drawing/2014/main" id="{3E556CCC-74FA-D04C-77B4-BA44EA1CCB37}"/>
            </a:ext>
          </a:extLst>
        </xdr:cNvPr>
        <xdr:cNvCxnSpPr/>
      </xdr:nvCxnSpPr>
      <xdr:spPr>
        <a:xfrm>
          <a:off x="9849134" y="7620000"/>
          <a:ext cx="1216926"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1924594</xdr:colOff>
      <xdr:row>4</xdr:row>
      <xdr:rowOff>161110</xdr:rowOff>
    </xdr:from>
    <xdr:to>
      <xdr:col>4</xdr:col>
      <xdr:colOff>1807029</xdr:colOff>
      <xdr:row>13</xdr:row>
      <xdr:rowOff>144910</xdr:rowOff>
    </xdr:to>
    <xdr:pic>
      <xdr:nvPicPr>
        <xdr:cNvPr id="2" name="Imagem 1" descr="Bayer Process - an overview | ScienceDirect Topics">
          <a:extLst>
            <a:ext uri="{FF2B5EF4-FFF2-40B4-BE49-F238E27FC236}">
              <a16:creationId xmlns:a16="http://schemas.microsoft.com/office/drawing/2014/main" id="{442309E7-F723-5C5E-28A1-4599EE3A7B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39194" y="1162596"/>
          <a:ext cx="1972492" cy="1910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624840</xdr:colOff>
      <xdr:row>10</xdr:row>
      <xdr:rowOff>159840</xdr:rowOff>
    </xdr:from>
    <xdr:to>
      <xdr:col>4</xdr:col>
      <xdr:colOff>625200</xdr:colOff>
      <xdr:row>10</xdr:row>
      <xdr:rowOff>160200</xdr:rowOff>
    </xdr:to>
    <mc:AlternateContent xmlns:mc="http://schemas.openxmlformats.org/markup-compatibility/2006">
      <mc:Choice xmlns:xdr14="http://schemas.microsoft.com/office/excel/2010/spreadsheetDrawing" Requires="xdr14">
        <xdr:contentPart xmlns:r="http://schemas.openxmlformats.org/officeDocument/2006/relationships" r:id="rId2">
          <xdr14:nvContentPartPr>
            <xdr14:cNvPr id="4" name="Tinta 3">
              <a:extLst>
                <a:ext uri="{FF2B5EF4-FFF2-40B4-BE49-F238E27FC236}">
                  <a16:creationId xmlns:a16="http://schemas.microsoft.com/office/drawing/2014/main" id="{2332D34D-3F23-2264-D830-61BEEB6B7AA6}"/>
                </a:ext>
              </a:extLst>
            </xdr14:cNvPr>
            <xdr14:cNvContentPartPr/>
          </xdr14:nvContentPartPr>
          <xdr14:nvPr macro=""/>
          <xdr14:xfrm>
            <a:off x="1234440" y="1988640"/>
            <a:ext cx="360" cy="360"/>
          </xdr14:xfrm>
        </xdr:contentPart>
      </mc:Choice>
      <mc:Fallback>
        <xdr:pic>
          <xdr:nvPicPr>
            <xdr:cNvPr id="4" name="Tinta 3">
              <a:extLst>
                <a:ext uri="{FF2B5EF4-FFF2-40B4-BE49-F238E27FC236}">
                  <a16:creationId xmlns:a16="http://schemas.microsoft.com/office/drawing/2014/main" id="{2332D34D-3F23-2264-D830-61BEEB6B7AA6}"/>
                </a:ext>
              </a:extLst>
            </xdr:cNvPr>
            <xdr:cNvPicPr/>
          </xdr:nvPicPr>
          <xdr:blipFill>
            <a:blip xmlns:r="http://schemas.openxmlformats.org/officeDocument/2006/relationships" r:embed="rId3"/>
            <a:stretch>
              <a:fillRect/>
            </a:stretch>
          </xdr:blipFill>
          <xdr:spPr>
            <a:xfrm>
              <a:off x="1228320" y="1982520"/>
              <a:ext cx="12600" cy="12600"/>
            </a:xfrm>
            <a:prstGeom prst="rect">
              <a:avLst/>
            </a:prstGeom>
          </xdr:spPr>
        </xdr:pic>
      </mc:Fallback>
    </mc:AlternateContent>
    <xdr:clientData/>
  </xdr:twoCellAnchor>
  <xdr:twoCellAnchor editAs="oneCell">
    <xdr:from>
      <xdr:col>0</xdr:col>
      <xdr:colOff>121543</xdr:colOff>
      <xdr:row>21</xdr:row>
      <xdr:rowOff>15239</xdr:rowOff>
    </xdr:from>
    <xdr:to>
      <xdr:col>2</xdr:col>
      <xdr:colOff>541622</xdr:colOff>
      <xdr:row>26</xdr:row>
      <xdr:rowOff>261256</xdr:rowOff>
    </xdr:to>
    <xdr:pic>
      <xdr:nvPicPr>
        <xdr:cNvPr id="7" name="Imagem 6" descr="Prebaked anode aluminum electrolysis cell | Download Scientific Diagram">
          <a:extLst>
            <a:ext uri="{FF2B5EF4-FFF2-40B4-BE49-F238E27FC236}">
              <a16:creationId xmlns:a16="http://schemas.microsoft.com/office/drawing/2014/main" id="{28308E78-63FB-94C0-D29D-34BB08287B2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1543" y="4685210"/>
          <a:ext cx="2325079" cy="1563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1616529</xdr:colOff>
      <xdr:row>20</xdr:row>
      <xdr:rowOff>177798</xdr:rowOff>
    </xdr:from>
    <xdr:to>
      <xdr:col>5</xdr:col>
      <xdr:colOff>1659229</xdr:colOff>
      <xdr:row>27</xdr:row>
      <xdr:rowOff>130629</xdr:rowOff>
    </xdr:to>
    <xdr:pic>
      <xdr:nvPicPr>
        <xdr:cNvPr id="8" name="Imagem 7" descr="Developing a Comprehensive Mathematical Model for Aluminium Production in a  Soderberg Electrolyser">
          <a:extLst>
            <a:ext uri="{FF2B5EF4-FFF2-40B4-BE49-F238E27FC236}">
              <a16:creationId xmlns:a16="http://schemas.microsoft.com/office/drawing/2014/main" id="{FE65400F-F07A-75F9-AB1F-E698219B8D5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221186" y="4662712"/>
          <a:ext cx="2502872" cy="17707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119744</xdr:colOff>
      <xdr:row>35</xdr:row>
      <xdr:rowOff>32659</xdr:rowOff>
    </xdr:from>
    <xdr:to>
      <xdr:col>8</xdr:col>
      <xdr:colOff>478971</xdr:colOff>
      <xdr:row>44</xdr:row>
      <xdr:rowOff>85427</xdr:rowOff>
    </xdr:to>
    <xdr:pic>
      <xdr:nvPicPr>
        <xdr:cNvPr id="9" name="Imagem 8" descr="Aluminum Melting Furnaces: Revolutionizing the Metal Industry">
          <a:extLst>
            <a:ext uri="{FF2B5EF4-FFF2-40B4-BE49-F238E27FC236}">
              <a16:creationId xmlns:a16="http://schemas.microsoft.com/office/drawing/2014/main" id="{692E5694-17C0-5728-BD3F-931113B4216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271658" y="6509659"/>
          <a:ext cx="2547255" cy="1979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260497</xdr:colOff>
      <xdr:row>48</xdr:row>
      <xdr:rowOff>7846</xdr:rowOff>
    </xdr:from>
    <xdr:to>
      <xdr:col>8</xdr:col>
      <xdr:colOff>536440</xdr:colOff>
      <xdr:row>59</xdr:row>
      <xdr:rowOff>25313</xdr:rowOff>
    </xdr:to>
    <xdr:pic>
      <xdr:nvPicPr>
        <xdr:cNvPr id="10" name="Imagem 9" descr="Optimizing the Continuous Casting Process with Simulation | COMSOL Blog">
          <a:extLst>
            <a:ext uri="{FF2B5EF4-FFF2-40B4-BE49-F238E27FC236}">
              <a16:creationId xmlns:a16="http://schemas.microsoft.com/office/drawing/2014/main" id="{FFEF1E65-1513-1CBE-7B9C-D98F1007907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176590" y="10498637"/>
          <a:ext cx="2455617" cy="2675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1290306</xdr:colOff>
      <xdr:row>44</xdr:row>
      <xdr:rowOff>105660</xdr:rowOff>
    </xdr:from>
    <xdr:to>
      <xdr:col>12</xdr:col>
      <xdr:colOff>982374</xdr:colOff>
      <xdr:row>50</xdr:row>
      <xdr:rowOff>177245</xdr:rowOff>
    </xdr:to>
    <xdr:pic>
      <xdr:nvPicPr>
        <xdr:cNvPr id="11" name="Imagem 10" descr="Schematic illustration of hot rolling process. | Download Scientific Diagram">
          <a:extLst>
            <a:ext uri="{FF2B5EF4-FFF2-40B4-BE49-F238E27FC236}">
              <a16:creationId xmlns:a16="http://schemas.microsoft.com/office/drawing/2014/main" id="{ECA0F377-4FC7-2F82-05C9-742863FAF0DA}"/>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973329" y="9887613"/>
          <a:ext cx="2421092" cy="1418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1389735</xdr:colOff>
      <xdr:row>55</xdr:row>
      <xdr:rowOff>66334</xdr:rowOff>
    </xdr:from>
    <xdr:to>
      <xdr:col>12</xdr:col>
      <xdr:colOff>1089026</xdr:colOff>
      <xdr:row>64</xdr:row>
      <xdr:rowOff>162988</xdr:rowOff>
    </xdr:to>
    <xdr:pic>
      <xdr:nvPicPr>
        <xdr:cNvPr id="12" name="Imagem 11" descr="Aluminium Extrusion Process - INAL">
          <a:extLst>
            <a:ext uri="{FF2B5EF4-FFF2-40B4-BE49-F238E27FC236}">
              <a16:creationId xmlns:a16="http://schemas.microsoft.com/office/drawing/2014/main" id="{FA053239-4F78-9228-0ECC-2B06BCFF851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7072758" y="12364660"/>
          <a:ext cx="2428315" cy="1975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674914</xdr:colOff>
      <xdr:row>3</xdr:row>
      <xdr:rowOff>32658</xdr:rowOff>
    </xdr:from>
    <xdr:to>
      <xdr:col>4</xdr:col>
      <xdr:colOff>674914</xdr:colOff>
      <xdr:row>4</xdr:row>
      <xdr:rowOff>152400</xdr:rowOff>
    </xdr:to>
    <xdr:cxnSp macro="">
      <xdr:nvCxnSpPr>
        <xdr:cNvPr id="14" name="Conector de Seta Reta 13">
          <a:extLst>
            <a:ext uri="{FF2B5EF4-FFF2-40B4-BE49-F238E27FC236}">
              <a16:creationId xmlns:a16="http://schemas.microsoft.com/office/drawing/2014/main" id="{F957EE74-EAE0-9027-E63C-AAD33FFDC18C}"/>
            </a:ext>
          </a:extLst>
        </xdr:cNvPr>
        <xdr:cNvCxnSpPr/>
      </xdr:nvCxnSpPr>
      <xdr:spPr>
        <a:xfrm>
          <a:off x="4419600" y="587829"/>
          <a:ext cx="0" cy="3048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694267</xdr:colOff>
      <xdr:row>13</xdr:row>
      <xdr:rowOff>152400</xdr:rowOff>
    </xdr:from>
    <xdr:to>
      <xdr:col>4</xdr:col>
      <xdr:colOff>702733</xdr:colOff>
      <xdr:row>15</xdr:row>
      <xdr:rowOff>177800</xdr:rowOff>
    </xdr:to>
    <xdr:cxnSp macro="">
      <xdr:nvCxnSpPr>
        <xdr:cNvPr id="15" name="Conector de Seta Reta 14">
          <a:extLst>
            <a:ext uri="{FF2B5EF4-FFF2-40B4-BE49-F238E27FC236}">
              <a16:creationId xmlns:a16="http://schemas.microsoft.com/office/drawing/2014/main" id="{7CEDC9AE-0ED8-453E-94F2-8BF084B68BB1}"/>
            </a:ext>
          </a:extLst>
        </xdr:cNvPr>
        <xdr:cNvCxnSpPr/>
      </xdr:nvCxnSpPr>
      <xdr:spPr>
        <a:xfrm flipH="1">
          <a:off x="4445000" y="2573867"/>
          <a:ext cx="8466" cy="39793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990600</xdr:colOff>
      <xdr:row>19</xdr:row>
      <xdr:rowOff>87086</xdr:rowOff>
    </xdr:from>
    <xdr:to>
      <xdr:col>5</xdr:col>
      <xdr:colOff>402771</xdr:colOff>
      <xdr:row>19</xdr:row>
      <xdr:rowOff>118533</xdr:rowOff>
    </xdr:to>
    <xdr:cxnSp macro="">
      <xdr:nvCxnSpPr>
        <xdr:cNvPr id="20" name="Conector reto 19">
          <a:extLst>
            <a:ext uri="{FF2B5EF4-FFF2-40B4-BE49-F238E27FC236}">
              <a16:creationId xmlns:a16="http://schemas.microsoft.com/office/drawing/2014/main" id="{7129A811-7637-E921-7548-C5A7DFD540CC}"/>
            </a:ext>
          </a:extLst>
        </xdr:cNvPr>
        <xdr:cNvCxnSpPr/>
      </xdr:nvCxnSpPr>
      <xdr:spPr>
        <a:xfrm flipV="1">
          <a:off x="1600200" y="4386943"/>
          <a:ext cx="5867400" cy="314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694267</xdr:colOff>
      <xdr:row>18</xdr:row>
      <xdr:rowOff>25400</xdr:rowOff>
    </xdr:from>
    <xdr:to>
      <xdr:col>4</xdr:col>
      <xdr:colOff>694267</xdr:colOff>
      <xdr:row>19</xdr:row>
      <xdr:rowOff>110066</xdr:rowOff>
    </xdr:to>
    <xdr:cxnSp macro="">
      <xdr:nvCxnSpPr>
        <xdr:cNvPr id="24" name="Conector reto 23">
          <a:extLst>
            <a:ext uri="{FF2B5EF4-FFF2-40B4-BE49-F238E27FC236}">
              <a16:creationId xmlns:a16="http://schemas.microsoft.com/office/drawing/2014/main" id="{1A328E83-D3C1-6C8F-044F-358F7CAD857B}"/>
            </a:ext>
          </a:extLst>
        </xdr:cNvPr>
        <xdr:cNvCxnSpPr/>
      </xdr:nvCxnSpPr>
      <xdr:spPr>
        <a:xfrm>
          <a:off x="4445000" y="3378200"/>
          <a:ext cx="0" cy="2709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402771</xdr:colOff>
      <xdr:row>19</xdr:row>
      <xdr:rowOff>108857</xdr:rowOff>
    </xdr:from>
    <xdr:to>
      <xdr:col>5</xdr:col>
      <xdr:colOff>407793</xdr:colOff>
      <xdr:row>20</xdr:row>
      <xdr:rowOff>177798</xdr:rowOff>
    </xdr:to>
    <xdr:cxnSp macro="">
      <xdr:nvCxnSpPr>
        <xdr:cNvPr id="26" name="Conector de Seta Reta 25">
          <a:extLst>
            <a:ext uri="{FF2B5EF4-FFF2-40B4-BE49-F238E27FC236}">
              <a16:creationId xmlns:a16="http://schemas.microsoft.com/office/drawing/2014/main" id="{7A2D9F8E-B3B4-678D-E8D7-66E2D794ADCA}"/>
            </a:ext>
          </a:extLst>
        </xdr:cNvPr>
        <xdr:cNvCxnSpPr>
          <a:endCxn id="8" idx="0"/>
        </xdr:cNvCxnSpPr>
      </xdr:nvCxnSpPr>
      <xdr:spPr>
        <a:xfrm>
          <a:off x="7467600" y="4408714"/>
          <a:ext cx="5022" cy="253998"/>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1016000</xdr:colOff>
      <xdr:row>19</xdr:row>
      <xdr:rowOff>101600</xdr:rowOff>
    </xdr:from>
    <xdr:to>
      <xdr:col>1</xdr:col>
      <xdr:colOff>1016000</xdr:colOff>
      <xdr:row>20</xdr:row>
      <xdr:rowOff>160867</xdr:rowOff>
    </xdr:to>
    <xdr:cxnSp macro="">
      <xdr:nvCxnSpPr>
        <xdr:cNvPr id="27" name="Conector de Seta Reta 26">
          <a:extLst>
            <a:ext uri="{FF2B5EF4-FFF2-40B4-BE49-F238E27FC236}">
              <a16:creationId xmlns:a16="http://schemas.microsoft.com/office/drawing/2014/main" id="{09D4BBAA-2BA2-47A0-8B4C-5567D2FBC2A3}"/>
            </a:ext>
          </a:extLst>
        </xdr:cNvPr>
        <xdr:cNvCxnSpPr/>
      </xdr:nvCxnSpPr>
      <xdr:spPr>
        <a:xfrm>
          <a:off x="1625600" y="3640667"/>
          <a:ext cx="0" cy="24553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685800</xdr:colOff>
      <xdr:row>30</xdr:row>
      <xdr:rowOff>0</xdr:rowOff>
    </xdr:from>
    <xdr:to>
      <xdr:col>5</xdr:col>
      <xdr:colOff>424542</xdr:colOff>
      <xdr:row>30</xdr:row>
      <xdr:rowOff>32657</xdr:rowOff>
    </xdr:to>
    <xdr:cxnSp macro="">
      <xdr:nvCxnSpPr>
        <xdr:cNvPr id="31" name="Conector reto 30">
          <a:extLst>
            <a:ext uri="{FF2B5EF4-FFF2-40B4-BE49-F238E27FC236}">
              <a16:creationId xmlns:a16="http://schemas.microsoft.com/office/drawing/2014/main" id="{22BB30B8-D396-F200-A220-E9AA80150CD9}"/>
            </a:ext>
          </a:extLst>
        </xdr:cNvPr>
        <xdr:cNvCxnSpPr/>
      </xdr:nvCxnSpPr>
      <xdr:spPr>
        <a:xfrm flipV="1">
          <a:off x="1295400" y="6858000"/>
          <a:ext cx="6193971" cy="3265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674483</xdr:colOff>
      <xdr:row>26</xdr:row>
      <xdr:rowOff>261256</xdr:rowOff>
    </xdr:from>
    <xdr:to>
      <xdr:col>1</xdr:col>
      <xdr:colOff>674914</xdr:colOff>
      <xdr:row>30</xdr:row>
      <xdr:rowOff>65314</xdr:rowOff>
    </xdr:to>
    <xdr:cxnSp macro="">
      <xdr:nvCxnSpPr>
        <xdr:cNvPr id="33" name="Conector reto 32">
          <a:extLst>
            <a:ext uri="{FF2B5EF4-FFF2-40B4-BE49-F238E27FC236}">
              <a16:creationId xmlns:a16="http://schemas.microsoft.com/office/drawing/2014/main" id="{B3D92EEF-7C19-5BDD-D0B2-CCEE77AFC4DB}"/>
            </a:ext>
          </a:extLst>
        </xdr:cNvPr>
        <xdr:cNvCxnSpPr>
          <a:stCxn id="7" idx="2"/>
        </xdr:cNvCxnSpPr>
      </xdr:nvCxnSpPr>
      <xdr:spPr>
        <a:xfrm>
          <a:off x="1284083" y="6248399"/>
          <a:ext cx="431" cy="67491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402771</xdr:colOff>
      <xdr:row>27</xdr:row>
      <xdr:rowOff>130629</xdr:rowOff>
    </xdr:from>
    <xdr:to>
      <xdr:col>5</xdr:col>
      <xdr:colOff>407793</xdr:colOff>
      <xdr:row>30</xdr:row>
      <xdr:rowOff>32657</xdr:rowOff>
    </xdr:to>
    <xdr:cxnSp macro="">
      <xdr:nvCxnSpPr>
        <xdr:cNvPr id="35" name="Conector reto 34">
          <a:extLst>
            <a:ext uri="{FF2B5EF4-FFF2-40B4-BE49-F238E27FC236}">
              <a16:creationId xmlns:a16="http://schemas.microsoft.com/office/drawing/2014/main" id="{C2348FBF-9476-41AC-CB05-2625C9B977C2}"/>
            </a:ext>
          </a:extLst>
        </xdr:cNvPr>
        <xdr:cNvCxnSpPr>
          <a:stCxn id="8" idx="2"/>
        </xdr:cNvCxnSpPr>
      </xdr:nvCxnSpPr>
      <xdr:spPr>
        <a:xfrm flipH="1">
          <a:off x="7467600" y="6433458"/>
          <a:ext cx="5022" cy="45719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696685</xdr:colOff>
      <xdr:row>30</xdr:row>
      <xdr:rowOff>50800</xdr:rowOff>
    </xdr:from>
    <xdr:to>
      <xdr:col>4</xdr:col>
      <xdr:colOff>702734</xdr:colOff>
      <xdr:row>32</xdr:row>
      <xdr:rowOff>21771</xdr:rowOff>
    </xdr:to>
    <xdr:cxnSp macro="">
      <xdr:nvCxnSpPr>
        <xdr:cNvPr id="39" name="Conector de Seta Reta 38">
          <a:extLst>
            <a:ext uri="{FF2B5EF4-FFF2-40B4-BE49-F238E27FC236}">
              <a16:creationId xmlns:a16="http://schemas.microsoft.com/office/drawing/2014/main" id="{7B81066D-C697-BB97-D2C4-6F920967363B}"/>
            </a:ext>
          </a:extLst>
        </xdr:cNvPr>
        <xdr:cNvCxnSpPr/>
      </xdr:nvCxnSpPr>
      <xdr:spPr>
        <a:xfrm flipH="1">
          <a:off x="4441371" y="5602514"/>
          <a:ext cx="6049" cy="34108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10886</xdr:colOff>
      <xdr:row>33</xdr:row>
      <xdr:rowOff>76200</xdr:rowOff>
    </xdr:from>
    <xdr:to>
      <xdr:col>9</xdr:col>
      <xdr:colOff>555171</xdr:colOff>
      <xdr:row>33</xdr:row>
      <xdr:rowOff>87085</xdr:rowOff>
    </xdr:to>
    <xdr:cxnSp macro="">
      <xdr:nvCxnSpPr>
        <xdr:cNvPr id="41" name="Conector reto 40">
          <a:extLst>
            <a:ext uri="{FF2B5EF4-FFF2-40B4-BE49-F238E27FC236}">
              <a16:creationId xmlns:a16="http://schemas.microsoft.com/office/drawing/2014/main" id="{1A7FB047-E39F-F6F5-8DC1-F83A8EFB20D0}"/>
            </a:ext>
          </a:extLst>
        </xdr:cNvPr>
        <xdr:cNvCxnSpPr/>
      </xdr:nvCxnSpPr>
      <xdr:spPr>
        <a:xfrm flipV="1">
          <a:off x="5181600" y="6183086"/>
          <a:ext cx="4572000" cy="1088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555171</xdr:colOff>
      <xdr:row>3</xdr:row>
      <xdr:rowOff>108858</xdr:rowOff>
    </xdr:from>
    <xdr:to>
      <xdr:col>9</xdr:col>
      <xdr:colOff>587828</xdr:colOff>
      <xdr:row>33</xdr:row>
      <xdr:rowOff>97971</xdr:rowOff>
    </xdr:to>
    <xdr:cxnSp macro="">
      <xdr:nvCxnSpPr>
        <xdr:cNvPr id="43" name="Conector reto 42">
          <a:extLst>
            <a:ext uri="{FF2B5EF4-FFF2-40B4-BE49-F238E27FC236}">
              <a16:creationId xmlns:a16="http://schemas.microsoft.com/office/drawing/2014/main" id="{F92A09DA-F9BC-3797-45BC-4E8F0A1B1832}"/>
            </a:ext>
          </a:extLst>
        </xdr:cNvPr>
        <xdr:cNvCxnSpPr/>
      </xdr:nvCxnSpPr>
      <xdr:spPr>
        <a:xfrm flipV="1">
          <a:off x="9753600" y="664029"/>
          <a:ext cx="32657" cy="554082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1393372</xdr:colOff>
      <xdr:row>33</xdr:row>
      <xdr:rowOff>87085</xdr:rowOff>
    </xdr:from>
    <xdr:to>
      <xdr:col>7</xdr:col>
      <xdr:colOff>1393372</xdr:colOff>
      <xdr:row>35</xdr:row>
      <xdr:rowOff>32659</xdr:rowOff>
    </xdr:to>
    <xdr:cxnSp macro="">
      <xdr:nvCxnSpPr>
        <xdr:cNvPr id="44" name="Conector de Seta Reta 43">
          <a:extLst>
            <a:ext uri="{FF2B5EF4-FFF2-40B4-BE49-F238E27FC236}">
              <a16:creationId xmlns:a16="http://schemas.microsoft.com/office/drawing/2014/main" id="{9F0BE1A4-E896-469A-AFFD-D91C10EC3F74}"/>
            </a:ext>
          </a:extLst>
        </xdr:cNvPr>
        <xdr:cNvCxnSpPr>
          <a:endCxn id="9" idx="0"/>
        </xdr:cNvCxnSpPr>
      </xdr:nvCxnSpPr>
      <xdr:spPr>
        <a:xfrm>
          <a:off x="8545286" y="6193971"/>
          <a:ext cx="0" cy="315688"/>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1488306</xdr:colOff>
      <xdr:row>44</xdr:row>
      <xdr:rowOff>141768</xdr:rowOff>
    </xdr:from>
    <xdr:to>
      <xdr:col>7</xdr:col>
      <xdr:colOff>1506279</xdr:colOff>
      <xdr:row>48</xdr:row>
      <xdr:rowOff>7846</xdr:rowOff>
    </xdr:to>
    <xdr:cxnSp macro="">
      <xdr:nvCxnSpPr>
        <xdr:cNvPr id="52" name="Conector de Seta Reta 51">
          <a:extLst>
            <a:ext uri="{FF2B5EF4-FFF2-40B4-BE49-F238E27FC236}">
              <a16:creationId xmlns:a16="http://schemas.microsoft.com/office/drawing/2014/main" id="{DE5E31D6-716D-F6B9-803D-BC676199691D}"/>
            </a:ext>
          </a:extLst>
        </xdr:cNvPr>
        <xdr:cNvCxnSpPr>
          <a:endCxn id="10" idx="0"/>
        </xdr:cNvCxnSpPr>
      </xdr:nvCxnSpPr>
      <xdr:spPr>
        <a:xfrm flipH="1">
          <a:off x="12404399" y="9923721"/>
          <a:ext cx="17973" cy="5749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768646</xdr:colOff>
      <xdr:row>48</xdr:row>
      <xdr:rowOff>52941</xdr:rowOff>
    </xdr:from>
    <xdr:to>
      <xdr:col>10</xdr:col>
      <xdr:colOff>787696</xdr:colOff>
      <xdr:row>59</xdr:row>
      <xdr:rowOff>153951</xdr:rowOff>
    </xdr:to>
    <xdr:cxnSp macro="">
      <xdr:nvCxnSpPr>
        <xdr:cNvPr id="55" name="Conector reto 54">
          <a:extLst>
            <a:ext uri="{FF2B5EF4-FFF2-40B4-BE49-F238E27FC236}">
              <a16:creationId xmlns:a16="http://schemas.microsoft.com/office/drawing/2014/main" id="{2F97DD0A-E9B0-8459-FE18-77734175C985}"/>
            </a:ext>
          </a:extLst>
        </xdr:cNvPr>
        <xdr:cNvCxnSpPr/>
      </xdr:nvCxnSpPr>
      <xdr:spPr>
        <a:xfrm>
          <a:off x="16451669" y="10543732"/>
          <a:ext cx="19050" cy="247561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119838</xdr:colOff>
      <xdr:row>53</xdr:row>
      <xdr:rowOff>12183</xdr:rowOff>
    </xdr:from>
    <xdr:to>
      <xdr:col>10</xdr:col>
      <xdr:colOff>750925</xdr:colOff>
      <xdr:row>53</xdr:row>
      <xdr:rowOff>21708</xdr:rowOff>
    </xdr:to>
    <xdr:cxnSp macro="">
      <xdr:nvCxnSpPr>
        <xdr:cNvPr id="57" name="Conector reto 56">
          <a:extLst>
            <a:ext uri="{FF2B5EF4-FFF2-40B4-BE49-F238E27FC236}">
              <a16:creationId xmlns:a16="http://schemas.microsoft.com/office/drawing/2014/main" id="{9CE777D3-8991-6670-C4AE-7A0AF6F60BF6}"/>
            </a:ext>
          </a:extLst>
        </xdr:cNvPr>
        <xdr:cNvCxnSpPr/>
      </xdr:nvCxnSpPr>
      <xdr:spPr>
        <a:xfrm flipV="1">
          <a:off x="15802861" y="11956090"/>
          <a:ext cx="631087" cy="952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768645</xdr:colOff>
      <xdr:row>48</xdr:row>
      <xdr:rowOff>52941</xdr:rowOff>
    </xdr:from>
    <xdr:to>
      <xdr:col>10</xdr:col>
      <xdr:colOff>1292520</xdr:colOff>
      <xdr:row>48</xdr:row>
      <xdr:rowOff>52941</xdr:rowOff>
    </xdr:to>
    <xdr:cxnSp macro="">
      <xdr:nvCxnSpPr>
        <xdr:cNvPr id="60" name="Conector de Seta Reta 59">
          <a:extLst>
            <a:ext uri="{FF2B5EF4-FFF2-40B4-BE49-F238E27FC236}">
              <a16:creationId xmlns:a16="http://schemas.microsoft.com/office/drawing/2014/main" id="{41A53F97-1D00-3355-1814-1D2265663190}"/>
            </a:ext>
          </a:extLst>
        </xdr:cNvPr>
        <xdr:cNvCxnSpPr/>
      </xdr:nvCxnSpPr>
      <xdr:spPr>
        <a:xfrm>
          <a:off x="16451668" y="10543732"/>
          <a:ext cx="523875"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805417</xdr:colOff>
      <xdr:row>59</xdr:row>
      <xdr:rowOff>118509</xdr:rowOff>
    </xdr:from>
    <xdr:to>
      <xdr:col>10</xdr:col>
      <xdr:colOff>1319767</xdr:colOff>
      <xdr:row>59</xdr:row>
      <xdr:rowOff>128034</xdr:rowOff>
    </xdr:to>
    <xdr:cxnSp macro="">
      <xdr:nvCxnSpPr>
        <xdr:cNvPr id="62" name="Conector de Seta Reta 61">
          <a:extLst>
            <a:ext uri="{FF2B5EF4-FFF2-40B4-BE49-F238E27FC236}">
              <a16:creationId xmlns:a16="http://schemas.microsoft.com/office/drawing/2014/main" id="{67E3E081-4FE4-5A5D-4E23-AFD6A6B7067A}"/>
            </a:ext>
          </a:extLst>
        </xdr:cNvPr>
        <xdr:cNvCxnSpPr/>
      </xdr:nvCxnSpPr>
      <xdr:spPr>
        <a:xfrm flipV="1">
          <a:off x="16488440" y="12983904"/>
          <a:ext cx="514350" cy="952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26125</xdr:colOff>
      <xdr:row>1</xdr:row>
      <xdr:rowOff>7076</xdr:rowOff>
    </xdr:from>
    <xdr:to>
      <xdr:col>15</xdr:col>
      <xdr:colOff>566058</xdr:colOff>
      <xdr:row>18</xdr:row>
      <xdr:rowOff>26126</xdr:rowOff>
    </xdr:to>
    <xdr:graphicFrame macro="">
      <xdr:nvGraphicFramePr>
        <xdr:cNvPr id="2" name="Chart 8">
          <a:extLst>
            <a:ext uri="{FF2B5EF4-FFF2-40B4-BE49-F238E27FC236}">
              <a16:creationId xmlns:a16="http://schemas.microsoft.com/office/drawing/2014/main" id="{09DC7834-2C56-48F5-8A3C-ACD77BC14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31</xdr:col>
      <xdr:colOff>204666</xdr:colOff>
      <xdr:row>1</xdr:row>
      <xdr:rowOff>37012</xdr:rowOff>
    </xdr:from>
    <xdr:to>
      <xdr:col>35</xdr:col>
      <xdr:colOff>38769</xdr:colOff>
      <xdr:row>7</xdr:row>
      <xdr:rowOff>269633</xdr:rowOff>
    </xdr:to>
    <xdr:pic>
      <xdr:nvPicPr>
        <xdr:cNvPr id="3" name="Picture 1">
          <a:extLst>
            <a:ext uri="{FF2B5EF4-FFF2-40B4-BE49-F238E27FC236}">
              <a16:creationId xmlns:a16="http://schemas.microsoft.com/office/drawing/2014/main" id="{10EBB4C9-ED5A-471C-B30A-E66853C13FED}"/>
            </a:ext>
          </a:extLst>
        </xdr:cNvPr>
        <xdr:cNvPicPr>
          <a:picLocks noChangeAspect="1"/>
        </xdr:cNvPicPr>
      </xdr:nvPicPr>
      <xdr:blipFill>
        <a:blip xmlns:r="http://schemas.openxmlformats.org/officeDocument/2006/relationships" r:embed="rId2"/>
        <a:stretch>
          <a:fillRect/>
        </a:stretch>
      </xdr:blipFill>
      <xdr:spPr>
        <a:xfrm>
          <a:off x="22966695" y="222069"/>
          <a:ext cx="2272503" cy="2583935"/>
        </a:xfrm>
        <a:prstGeom prst="rect">
          <a:avLst/>
        </a:prstGeom>
      </xdr:spPr>
    </xdr:pic>
    <xdr:clientData/>
  </xdr:twoCellAnchor>
  <xdr:twoCellAnchor>
    <xdr:from>
      <xdr:col>11</xdr:col>
      <xdr:colOff>526198</xdr:colOff>
      <xdr:row>11</xdr:row>
      <xdr:rowOff>186267</xdr:rowOff>
    </xdr:from>
    <xdr:to>
      <xdr:col>12</xdr:col>
      <xdr:colOff>279399</xdr:colOff>
      <xdr:row>15</xdr:row>
      <xdr:rowOff>173850</xdr:rowOff>
    </xdr:to>
    <xdr:sp macro="" textlink="">
      <xdr:nvSpPr>
        <xdr:cNvPr id="4" name="Retângulo 3" descr="8c9b1a47-0d39-4e26-97c5-9f4cc05faf2c">
          <a:extLst>
            <a:ext uri="{FF2B5EF4-FFF2-40B4-BE49-F238E27FC236}">
              <a16:creationId xmlns:a16="http://schemas.microsoft.com/office/drawing/2014/main" id="{49468B42-CF82-476B-A66C-AE9C07B24B85}"/>
            </a:ext>
          </a:extLst>
        </xdr:cNvPr>
        <xdr:cNvSpPr/>
      </xdr:nvSpPr>
      <xdr:spPr>
        <a:xfrm>
          <a:off x="10669265" y="4267200"/>
          <a:ext cx="362801" cy="1545450"/>
        </a:xfrm>
        <a:prstGeom prst="rect">
          <a:avLst/>
        </a:prstGeom>
        <a:solidFill>
          <a:schemeClr val="bg1">
            <a:lumMod val="85000"/>
            <a:alpha val="40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145198</xdr:colOff>
      <xdr:row>8</xdr:row>
      <xdr:rowOff>287867</xdr:rowOff>
    </xdr:from>
    <xdr:to>
      <xdr:col>13</xdr:col>
      <xdr:colOff>508000</xdr:colOff>
      <xdr:row>15</xdr:row>
      <xdr:rowOff>170541</xdr:rowOff>
    </xdr:to>
    <xdr:sp macro="" textlink="">
      <xdr:nvSpPr>
        <xdr:cNvPr id="5" name="Retângulo 4" descr="8e55bb85-f6e4-4504-9087-e6ee7864936c">
          <a:extLst>
            <a:ext uri="{FF2B5EF4-FFF2-40B4-BE49-F238E27FC236}">
              <a16:creationId xmlns:a16="http://schemas.microsoft.com/office/drawing/2014/main" id="{0B456847-DFF7-464B-B2B2-796C0E580BCB}"/>
            </a:ext>
          </a:extLst>
        </xdr:cNvPr>
        <xdr:cNvSpPr/>
      </xdr:nvSpPr>
      <xdr:spPr>
        <a:xfrm>
          <a:off x="11507465" y="3200400"/>
          <a:ext cx="362802" cy="2608941"/>
        </a:xfrm>
        <a:prstGeom prst="rect">
          <a:avLst/>
        </a:prstGeom>
        <a:solidFill>
          <a:schemeClr val="bg1">
            <a:lumMod val="85000"/>
            <a:alpha val="40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362076</xdr:colOff>
      <xdr:row>7</xdr:row>
      <xdr:rowOff>364066</xdr:rowOff>
    </xdr:from>
    <xdr:to>
      <xdr:col>15</xdr:col>
      <xdr:colOff>110066</xdr:colOff>
      <xdr:row>15</xdr:row>
      <xdr:rowOff>174037</xdr:rowOff>
    </xdr:to>
    <xdr:sp macro="" textlink="">
      <xdr:nvSpPr>
        <xdr:cNvPr id="6" name="Retângulo 5" descr="4760f7d1-bff1-4087-b77a-87d65ec3610e">
          <a:extLst>
            <a:ext uri="{FF2B5EF4-FFF2-40B4-BE49-F238E27FC236}">
              <a16:creationId xmlns:a16="http://schemas.microsoft.com/office/drawing/2014/main" id="{56F5B9FF-D513-4CA9-B46E-48954B9844D3}"/>
            </a:ext>
          </a:extLst>
        </xdr:cNvPr>
        <xdr:cNvSpPr/>
      </xdr:nvSpPr>
      <xdr:spPr>
        <a:xfrm>
          <a:off x="12333943" y="2887133"/>
          <a:ext cx="357590" cy="2925704"/>
        </a:xfrm>
        <a:prstGeom prst="rect">
          <a:avLst/>
        </a:prstGeom>
        <a:solidFill>
          <a:schemeClr val="bg1">
            <a:lumMod val="85000"/>
            <a:alpha val="40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4347028</xdr:colOff>
      <xdr:row>11</xdr:row>
      <xdr:rowOff>165521</xdr:rowOff>
    </xdr:from>
    <xdr:to>
      <xdr:col>12</xdr:col>
      <xdr:colOff>39007</xdr:colOff>
      <xdr:row>11</xdr:row>
      <xdr:rowOff>173142</xdr:rowOff>
    </xdr:to>
    <xdr:cxnSp macro="">
      <xdr:nvCxnSpPr>
        <xdr:cNvPr id="15" name="Conector reto 14">
          <a:extLst>
            <a:ext uri="{FF2B5EF4-FFF2-40B4-BE49-F238E27FC236}">
              <a16:creationId xmlns:a16="http://schemas.microsoft.com/office/drawing/2014/main" id="{31DEFEDF-A0AF-4C2C-8701-E3FA6D600E07}"/>
            </a:ext>
          </a:extLst>
        </xdr:cNvPr>
        <xdr:cNvCxnSpPr/>
      </xdr:nvCxnSpPr>
      <xdr:spPr>
        <a:xfrm>
          <a:off x="5100561" y="4246454"/>
          <a:ext cx="5691113" cy="7621"/>
        </a:xfrm>
        <a:prstGeom prst="line">
          <a:avLst/>
        </a:prstGeom>
        <a:ln>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536786</xdr:colOff>
      <xdr:row>8</xdr:row>
      <xdr:rowOff>279401</xdr:rowOff>
    </xdr:from>
    <xdr:to>
      <xdr:col>13</xdr:col>
      <xdr:colOff>346286</xdr:colOff>
      <xdr:row>8</xdr:row>
      <xdr:rowOff>302261</xdr:rowOff>
    </xdr:to>
    <xdr:cxnSp macro="">
      <xdr:nvCxnSpPr>
        <xdr:cNvPr id="16" name="Conector reto 15">
          <a:extLst>
            <a:ext uri="{FF2B5EF4-FFF2-40B4-BE49-F238E27FC236}">
              <a16:creationId xmlns:a16="http://schemas.microsoft.com/office/drawing/2014/main" id="{247CFA82-6C0C-443D-BCDA-8025DE727A7C}"/>
            </a:ext>
          </a:extLst>
        </xdr:cNvPr>
        <xdr:cNvCxnSpPr/>
      </xdr:nvCxnSpPr>
      <xdr:spPr>
        <a:xfrm flipV="1">
          <a:off x="7022253" y="3191934"/>
          <a:ext cx="4686300" cy="22860"/>
        </a:xfrm>
        <a:prstGeom prst="line">
          <a:avLst/>
        </a:prstGeom>
        <a:ln>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431800</xdr:colOff>
      <xdr:row>7</xdr:row>
      <xdr:rowOff>345440</xdr:rowOff>
    </xdr:from>
    <xdr:to>
      <xdr:col>14</xdr:col>
      <xdr:colOff>550333</xdr:colOff>
      <xdr:row>7</xdr:row>
      <xdr:rowOff>355600</xdr:rowOff>
    </xdr:to>
    <xdr:cxnSp macro="">
      <xdr:nvCxnSpPr>
        <xdr:cNvPr id="17" name="Conector reto 16">
          <a:extLst>
            <a:ext uri="{FF2B5EF4-FFF2-40B4-BE49-F238E27FC236}">
              <a16:creationId xmlns:a16="http://schemas.microsoft.com/office/drawing/2014/main" id="{8287FCC3-27E2-4E2B-B48C-BFE726AF88C4}"/>
            </a:ext>
          </a:extLst>
        </xdr:cNvPr>
        <xdr:cNvCxnSpPr/>
      </xdr:nvCxnSpPr>
      <xdr:spPr>
        <a:xfrm flipV="1">
          <a:off x="9965267" y="2868507"/>
          <a:ext cx="2556933" cy="10160"/>
        </a:xfrm>
        <a:prstGeom prst="line">
          <a:avLst/>
        </a:prstGeom>
        <a:ln>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7620</xdr:colOff>
      <xdr:row>9</xdr:row>
      <xdr:rowOff>99060</xdr:rowOff>
    </xdr:from>
    <xdr:to>
      <xdr:col>18</xdr:col>
      <xdr:colOff>601980</xdr:colOff>
      <xdr:row>9</xdr:row>
      <xdr:rowOff>99060</xdr:rowOff>
    </xdr:to>
    <xdr:cxnSp macro="">
      <xdr:nvCxnSpPr>
        <xdr:cNvPr id="28" name="Conector de Seta Reta 27" descr="3e8da9de-e057-4ac9-bb30-2873c01a1899">
          <a:extLst>
            <a:ext uri="{FF2B5EF4-FFF2-40B4-BE49-F238E27FC236}">
              <a16:creationId xmlns:a16="http://schemas.microsoft.com/office/drawing/2014/main" id="{A20EFB7A-81FA-9D7D-3CFF-129BB35F82A9}"/>
            </a:ext>
          </a:extLst>
        </xdr:cNvPr>
        <xdr:cNvCxnSpPr/>
      </xdr:nvCxnSpPr>
      <xdr:spPr>
        <a:xfrm>
          <a:off x="16550640" y="1744980"/>
          <a:ext cx="594360" cy="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7620</xdr:colOff>
      <xdr:row>7</xdr:row>
      <xdr:rowOff>91440</xdr:rowOff>
    </xdr:from>
    <xdr:to>
      <xdr:col>24</xdr:col>
      <xdr:colOff>7620</xdr:colOff>
      <xdr:row>7</xdr:row>
      <xdr:rowOff>91440</xdr:rowOff>
    </xdr:to>
    <xdr:cxnSp macro="">
      <xdr:nvCxnSpPr>
        <xdr:cNvPr id="30" name="Conector de Seta Reta 29" descr="500de474-5cf9-4693-95f8-2767993cec36">
          <a:extLst>
            <a:ext uri="{FF2B5EF4-FFF2-40B4-BE49-F238E27FC236}">
              <a16:creationId xmlns:a16="http://schemas.microsoft.com/office/drawing/2014/main" id="{E22B37B5-8907-DD74-7E80-E1B92A6D83CA}"/>
            </a:ext>
          </a:extLst>
        </xdr:cNvPr>
        <xdr:cNvCxnSpPr/>
      </xdr:nvCxnSpPr>
      <xdr:spPr>
        <a:xfrm>
          <a:off x="19903440" y="1371600"/>
          <a:ext cx="609600" cy="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518160</xdr:colOff>
      <xdr:row>9</xdr:row>
      <xdr:rowOff>0</xdr:rowOff>
    </xdr:from>
    <xdr:to>
      <xdr:col>24</xdr:col>
      <xdr:colOff>30480</xdr:colOff>
      <xdr:row>10</xdr:row>
      <xdr:rowOff>175260</xdr:rowOff>
    </xdr:to>
    <xdr:sp macro="" textlink="">
      <xdr:nvSpPr>
        <xdr:cNvPr id="31" name="Colchete Esquerdo 30" descr="56471567-1ec7-48ce-944e-4bb8bfcf535d">
          <a:extLst>
            <a:ext uri="{FF2B5EF4-FFF2-40B4-BE49-F238E27FC236}">
              <a16:creationId xmlns:a16="http://schemas.microsoft.com/office/drawing/2014/main" id="{D2413B5D-142F-C647-5A53-3AEFA7A09E7B}"/>
            </a:ext>
          </a:extLst>
        </xdr:cNvPr>
        <xdr:cNvSpPr/>
      </xdr:nvSpPr>
      <xdr:spPr>
        <a:xfrm>
          <a:off x="20413980" y="2194560"/>
          <a:ext cx="121920" cy="358140"/>
        </a:xfrm>
        <a:prstGeom prst="leftBracket">
          <a:avLst/>
        </a:prstGeom>
        <a:noFill/>
        <a:ln w="12700">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23</xdr:col>
      <xdr:colOff>7620</xdr:colOff>
      <xdr:row>9</xdr:row>
      <xdr:rowOff>91440</xdr:rowOff>
    </xdr:from>
    <xdr:to>
      <xdr:col>23</xdr:col>
      <xdr:colOff>518160</xdr:colOff>
      <xdr:row>9</xdr:row>
      <xdr:rowOff>179070</xdr:rowOff>
    </xdr:to>
    <xdr:cxnSp macro="">
      <xdr:nvCxnSpPr>
        <xdr:cNvPr id="33" name="Conector: Angulado 32" descr="fdd64b04-46c9-43ab-8896-4ee543a15d2d">
          <a:extLst>
            <a:ext uri="{FF2B5EF4-FFF2-40B4-BE49-F238E27FC236}">
              <a16:creationId xmlns:a16="http://schemas.microsoft.com/office/drawing/2014/main" id="{8B962809-2B3C-21FD-DD3D-7F180B3AC457}"/>
            </a:ext>
          </a:extLst>
        </xdr:cNvPr>
        <xdr:cNvCxnSpPr>
          <a:endCxn id="31" idx="1"/>
        </xdr:cNvCxnSpPr>
      </xdr:nvCxnSpPr>
      <xdr:spPr>
        <a:xfrm>
          <a:off x="20368260" y="2468880"/>
          <a:ext cx="510540" cy="87630"/>
        </a:xfrm>
        <a:prstGeom prst="bentConnector3">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22860</xdr:colOff>
      <xdr:row>7</xdr:row>
      <xdr:rowOff>15240</xdr:rowOff>
    </xdr:from>
    <xdr:to>
      <xdr:col>33</xdr:col>
      <xdr:colOff>129540</xdr:colOff>
      <xdr:row>10</xdr:row>
      <xdr:rowOff>175260</xdr:rowOff>
    </xdr:to>
    <xdr:sp macro="" textlink="">
      <xdr:nvSpPr>
        <xdr:cNvPr id="34" name="Colchete Direito 33" descr="8baf35ec-d523-478c-8ab4-d83438c27eb1">
          <a:extLst>
            <a:ext uri="{FF2B5EF4-FFF2-40B4-BE49-F238E27FC236}">
              <a16:creationId xmlns:a16="http://schemas.microsoft.com/office/drawing/2014/main" id="{39B080BA-DF57-5904-46EE-C433845DF7CB}"/>
            </a:ext>
          </a:extLst>
        </xdr:cNvPr>
        <xdr:cNvSpPr/>
      </xdr:nvSpPr>
      <xdr:spPr>
        <a:xfrm>
          <a:off x="28148280" y="2026920"/>
          <a:ext cx="106680" cy="708660"/>
        </a:xfrm>
        <a:prstGeom prst="rightBracket">
          <a:avLst/>
        </a:prstGeom>
        <a:noFill/>
        <a:ln w="12700">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9</xdr:col>
      <xdr:colOff>0</xdr:colOff>
      <xdr:row>9</xdr:row>
      <xdr:rowOff>99060</xdr:rowOff>
    </xdr:from>
    <xdr:to>
      <xdr:col>10</xdr:col>
      <xdr:colOff>0</xdr:colOff>
      <xdr:row>9</xdr:row>
      <xdr:rowOff>102870</xdr:rowOff>
    </xdr:to>
    <xdr:cxnSp macro="">
      <xdr:nvCxnSpPr>
        <xdr:cNvPr id="46" name="Conector de Seta Reta 45" descr="edb91f25-0656-42f3-933d-2d049e2134fb">
          <a:extLst>
            <a:ext uri="{FF2B5EF4-FFF2-40B4-BE49-F238E27FC236}">
              <a16:creationId xmlns:a16="http://schemas.microsoft.com/office/drawing/2014/main" id="{58D06FBB-BFFA-4B1F-BA31-4E675A396848}"/>
            </a:ext>
          </a:extLst>
        </xdr:cNvPr>
        <xdr:cNvCxnSpPr>
          <a:cxnSpLocks/>
        </xdr:cNvCxnSpPr>
      </xdr:nvCxnSpPr>
      <xdr:spPr>
        <a:xfrm>
          <a:off x="8854440" y="1744980"/>
          <a:ext cx="624840" cy="381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464820</xdr:colOff>
      <xdr:row>6</xdr:row>
      <xdr:rowOff>0</xdr:rowOff>
    </xdr:from>
    <xdr:to>
      <xdr:col>46</xdr:col>
      <xdr:colOff>0</xdr:colOff>
      <xdr:row>10</xdr:row>
      <xdr:rowOff>175260</xdr:rowOff>
    </xdr:to>
    <xdr:sp macro="" textlink="">
      <xdr:nvSpPr>
        <xdr:cNvPr id="47" name="Colchete Esquerdo 46" descr="b1971a37-8a94-495f-a42b-27f29f1a4c7d">
          <a:extLst>
            <a:ext uri="{FF2B5EF4-FFF2-40B4-BE49-F238E27FC236}">
              <a16:creationId xmlns:a16="http://schemas.microsoft.com/office/drawing/2014/main" id="{F0ED6B5B-053D-9E69-A519-ED4B9DE2BECB}"/>
            </a:ext>
          </a:extLst>
        </xdr:cNvPr>
        <xdr:cNvSpPr/>
      </xdr:nvSpPr>
      <xdr:spPr>
        <a:xfrm>
          <a:off x="42824400" y="1828800"/>
          <a:ext cx="144780" cy="906780"/>
        </a:xfrm>
        <a:prstGeom prst="leftBracket">
          <a:avLst/>
        </a:prstGeom>
        <a:noFill/>
        <a:ln w="12700">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52</xdr:col>
      <xdr:colOff>457200</xdr:colOff>
      <xdr:row>6</xdr:row>
      <xdr:rowOff>0</xdr:rowOff>
    </xdr:from>
    <xdr:to>
      <xdr:col>53</xdr:col>
      <xdr:colOff>0</xdr:colOff>
      <xdr:row>9</xdr:row>
      <xdr:rowOff>160020</xdr:rowOff>
    </xdr:to>
    <xdr:sp macro="" textlink="">
      <xdr:nvSpPr>
        <xdr:cNvPr id="50" name="Colchete Esquerdo 49" descr="2d8f8455-fa54-4dcd-995c-4c00b132512c">
          <a:extLst>
            <a:ext uri="{FF2B5EF4-FFF2-40B4-BE49-F238E27FC236}">
              <a16:creationId xmlns:a16="http://schemas.microsoft.com/office/drawing/2014/main" id="{B3DEC0A0-F430-E963-909E-CE4889F29FE9}"/>
            </a:ext>
          </a:extLst>
        </xdr:cNvPr>
        <xdr:cNvSpPr/>
      </xdr:nvSpPr>
      <xdr:spPr>
        <a:xfrm>
          <a:off x="47503080" y="1097280"/>
          <a:ext cx="152400" cy="708660"/>
        </a:xfrm>
        <a:prstGeom prst="leftBracket">
          <a:avLst/>
        </a:prstGeom>
        <a:noFill/>
        <a:ln w="12700">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52</xdr:col>
      <xdr:colOff>7620</xdr:colOff>
      <xdr:row>7</xdr:row>
      <xdr:rowOff>171450</xdr:rowOff>
    </xdr:from>
    <xdr:to>
      <xdr:col>52</xdr:col>
      <xdr:colOff>457200</xdr:colOff>
      <xdr:row>9</xdr:row>
      <xdr:rowOff>106680</xdr:rowOff>
    </xdr:to>
    <xdr:cxnSp macro="">
      <xdr:nvCxnSpPr>
        <xdr:cNvPr id="52" name="Conector: Angulado 51" descr="f373aa4d-4988-4d3f-a38a-f553b6c97cd3">
          <a:extLst>
            <a:ext uri="{FF2B5EF4-FFF2-40B4-BE49-F238E27FC236}">
              <a16:creationId xmlns:a16="http://schemas.microsoft.com/office/drawing/2014/main" id="{250DB251-BEF3-D03F-11D6-AC83D7D0E358}"/>
            </a:ext>
          </a:extLst>
        </xdr:cNvPr>
        <xdr:cNvCxnSpPr>
          <a:endCxn id="50" idx="1"/>
        </xdr:cNvCxnSpPr>
      </xdr:nvCxnSpPr>
      <xdr:spPr>
        <a:xfrm flipV="1">
          <a:off x="49857660" y="2183130"/>
          <a:ext cx="449580" cy="300990"/>
        </a:xfrm>
        <a:prstGeom prst="bentConnector3">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xdr:colOff>
      <xdr:row>8</xdr:row>
      <xdr:rowOff>7620</xdr:rowOff>
    </xdr:from>
    <xdr:to>
      <xdr:col>45</xdr:col>
      <xdr:colOff>464820</xdr:colOff>
      <xdr:row>8</xdr:row>
      <xdr:rowOff>87630</xdr:rowOff>
    </xdr:to>
    <xdr:cxnSp macro="">
      <xdr:nvCxnSpPr>
        <xdr:cNvPr id="23" name="Conector: Angulado 22" descr="bb13909f-7f08-4343-8d67-b0f86dc6b228">
          <a:extLst>
            <a:ext uri="{FF2B5EF4-FFF2-40B4-BE49-F238E27FC236}">
              <a16:creationId xmlns:a16="http://schemas.microsoft.com/office/drawing/2014/main" id="{72B401C7-AE63-05A1-2836-5D5CE7F9B050}"/>
            </a:ext>
          </a:extLst>
        </xdr:cNvPr>
        <xdr:cNvCxnSpPr>
          <a:endCxn id="47" idx="1"/>
        </xdr:cNvCxnSpPr>
      </xdr:nvCxnSpPr>
      <xdr:spPr>
        <a:xfrm>
          <a:off x="42367200" y="2202180"/>
          <a:ext cx="457200" cy="80010"/>
        </a:xfrm>
        <a:prstGeom prst="bentConnector3">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15240</xdr:colOff>
      <xdr:row>6</xdr:row>
      <xdr:rowOff>91440</xdr:rowOff>
    </xdr:from>
    <xdr:to>
      <xdr:col>48</xdr:col>
      <xdr:colOff>0</xdr:colOff>
      <xdr:row>6</xdr:row>
      <xdr:rowOff>99060</xdr:rowOff>
    </xdr:to>
    <xdr:cxnSp macro="">
      <xdr:nvCxnSpPr>
        <xdr:cNvPr id="5" name="Conector de Seta Reta 4" descr="cfb4db03-71b3-40c8-8a26-95cd24978453">
          <a:extLst>
            <a:ext uri="{FF2B5EF4-FFF2-40B4-BE49-F238E27FC236}">
              <a16:creationId xmlns:a16="http://schemas.microsoft.com/office/drawing/2014/main" id="{328083A0-E44A-9437-0C30-C1D927BC387E}"/>
            </a:ext>
          </a:extLst>
        </xdr:cNvPr>
        <xdr:cNvCxnSpPr/>
      </xdr:nvCxnSpPr>
      <xdr:spPr>
        <a:xfrm>
          <a:off x="45323760" y="1920240"/>
          <a:ext cx="2324100" cy="762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15240</xdr:colOff>
      <xdr:row>7</xdr:row>
      <xdr:rowOff>99060</xdr:rowOff>
    </xdr:from>
    <xdr:to>
      <xdr:col>48</xdr:col>
      <xdr:colOff>22860</xdr:colOff>
      <xdr:row>7</xdr:row>
      <xdr:rowOff>106680</xdr:rowOff>
    </xdr:to>
    <xdr:cxnSp macro="">
      <xdr:nvCxnSpPr>
        <xdr:cNvPr id="9" name="Conector de Seta Reta 8" descr="5eeffc03-bd7b-451c-b70b-d14dab9c2421">
          <a:extLst>
            <a:ext uri="{FF2B5EF4-FFF2-40B4-BE49-F238E27FC236}">
              <a16:creationId xmlns:a16="http://schemas.microsoft.com/office/drawing/2014/main" id="{F65D8B03-C8DA-C3D1-8611-95A94E527476}"/>
            </a:ext>
          </a:extLst>
        </xdr:cNvPr>
        <xdr:cNvCxnSpPr/>
      </xdr:nvCxnSpPr>
      <xdr:spPr>
        <a:xfrm>
          <a:off x="45323760" y="2110740"/>
          <a:ext cx="2346960" cy="762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441960</xdr:colOff>
      <xdr:row>8</xdr:row>
      <xdr:rowOff>175260</xdr:rowOff>
    </xdr:from>
    <xdr:to>
      <xdr:col>48</xdr:col>
      <xdr:colOff>0</xdr:colOff>
      <xdr:row>12</xdr:row>
      <xdr:rowOff>175260</xdr:rowOff>
    </xdr:to>
    <xdr:sp macro="" textlink="">
      <xdr:nvSpPr>
        <xdr:cNvPr id="11" name="Colchete Esquerdo 10" descr="ca613241-5de5-406c-b746-d17bb259bf52">
          <a:extLst>
            <a:ext uri="{FF2B5EF4-FFF2-40B4-BE49-F238E27FC236}">
              <a16:creationId xmlns:a16="http://schemas.microsoft.com/office/drawing/2014/main" id="{406B8CD9-07D8-3B5C-F1BF-CA6B237C2D8A}"/>
            </a:ext>
          </a:extLst>
        </xdr:cNvPr>
        <xdr:cNvSpPr/>
      </xdr:nvSpPr>
      <xdr:spPr>
        <a:xfrm>
          <a:off x="45750480" y="2369820"/>
          <a:ext cx="167640" cy="73152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47</xdr:col>
      <xdr:colOff>0</xdr:colOff>
      <xdr:row>10</xdr:row>
      <xdr:rowOff>106680</xdr:rowOff>
    </xdr:from>
    <xdr:to>
      <xdr:col>47</xdr:col>
      <xdr:colOff>441960</xdr:colOff>
      <xdr:row>10</xdr:row>
      <xdr:rowOff>175260</xdr:rowOff>
    </xdr:to>
    <xdr:cxnSp macro="">
      <xdr:nvCxnSpPr>
        <xdr:cNvPr id="15" name="Conector: Angulado 14" descr="c1515b9d-be12-414a-9b08-74b555690325">
          <a:extLst>
            <a:ext uri="{FF2B5EF4-FFF2-40B4-BE49-F238E27FC236}">
              <a16:creationId xmlns:a16="http://schemas.microsoft.com/office/drawing/2014/main" id="{F0DE826F-0F94-1C73-AA19-6E71389C11E3}"/>
            </a:ext>
          </a:extLst>
        </xdr:cNvPr>
        <xdr:cNvCxnSpPr>
          <a:endCxn id="11" idx="1"/>
        </xdr:cNvCxnSpPr>
      </xdr:nvCxnSpPr>
      <xdr:spPr>
        <a:xfrm>
          <a:off x="45308520" y="2667000"/>
          <a:ext cx="441960" cy="68580"/>
        </a:xfrm>
        <a:prstGeom prst="bentConnector3">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9</xdr:row>
      <xdr:rowOff>99060</xdr:rowOff>
    </xdr:from>
    <xdr:to>
      <xdr:col>6</xdr:col>
      <xdr:colOff>7620</xdr:colOff>
      <xdr:row>9</xdr:row>
      <xdr:rowOff>99060</xdr:rowOff>
    </xdr:to>
    <xdr:cxnSp macro="">
      <xdr:nvCxnSpPr>
        <xdr:cNvPr id="8" name="Conector de Seta Reta 7">
          <a:extLst>
            <a:ext uri="{FF2B5EF4-FFF2-40B4-BE49-F238E27FC236}">
              <a16:creationId xmlns:a16="http://schemas.microsoft.com/office/drawing/2014/main" id="{1CE08842-06F1-8213-8298-5FA3CD6E8C94}"/>
            </a:ext>
          </a:extLst>
        </xdr:cNvPr>
        <xdr:cNvCxnSpPr/>
      </xdr:nvCxnSpPr>
      <xdr:spPr>
        <a:xfrm>
          <a:off x="3345180" y="2476500"/>
          <a:ext cx="609600"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xdr:colOff>
      <xdr:row>9</xdr:row>
      <xdr:rowOff>99060</xdr:rowOff>
    </xdr:from>
    <xdr:to>
      <xdr:col>14</xdr:col>
      <xdr:colOff>7620</xdr:colOff>
      <xdr:row>9</xdr:row>
      <xdr:rowOff>102870</xdr:rowOff>
    </xdr:to>
    <xdr:cxnSp macro="">
      <xdr:nvCxnSpPr>
        <xdr:cNvPr id="12" name="Conector de Seta Reta 11" descr="edb91f25-0656-42f3-933d-2d049e2134fb">
          <a:extLst>
            <a:ext uri="{FF2B5EF4-FFF2-40B4-BE49-F238E27FC236}">
              <a16:creationId xmlns:a16="http://schemas.microsoft.com/office/drawing/2014/main" id="{EC325B52-28BF-4DFF-9D5B-B8860374B138}"/>
            </a:ext>
          </a:extLst>
        </xdr:cNvPr>
        <xdr:cNvCxnSpPr>
          <a:cxnSpLocks/>
        </xdr:cNvCxnSpPr>
      </xdr:nvCxnSpPr>
      <xdr:spPr>
        <a:xfrm>
          <a:off x="13235940" y="2476500"/>
          <a:ext cx="609600" cy="381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7</xdr:row>
      <xdr:rowOff>91440</xdr:rowOff>
    </xdr:from>
    <xdr:to>
      <xdr:col>31</xdr:col>
      <xdr:colOff>601980</xdr:colOff>
      <xdr:row>7</xdr:row>
      <xdr:rowOff>91440</xdr:rowOff>
    </xdr:to>
    <xdr:cxnSp macro="">
      <xdr:nvCxnSpPr>
        <xdr:cNvPr id="35" name="Conector de Seta Reta 34">
          <a:extLst>
            <a:ext uri="{FF2B5EF4-FFF2-40B4-BE49-F238E27FC236}">
              <a16:creationId xmlns:a16="http://schemas.microsoft.com/office/drawing/2014/main" id="{6190162C-9BDA-B1E6-83E1-857AB085D2C3}"/>
            </a:ext>
          </a:extLst>
        </xdr:cNvPr>
        <xdr:cNvCxnSpPr/>
      </xdr:nvCxnSpPr>
      <xdr:spPr>
        <a:xfrm>
          <a:off x="26212800" y="2103120"/>
          <a:ext cx="1211580"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10</xdr:row>
      <xdr:rowOff>0</xdr:rowOff>
    </xdr:from>
    <xdr:to>
      <xdr:col>32</xdr:col>
      <xdr:colOff>0</xdr:colOff>
      <xdr:row>10</xdr:row>
      <xdr:rowOff>0</xdr:rowOff>
    </xdr:to>
    <xdr:cxnSp macro="">
      <xdr:nvCxnSpPr>
        <xdr:cNvPr id="36" name="Conector de Seta Reta 35">
          <a:extLst>
            <a:ext uri="{FF2B5EF4-FFF2-40B4-BE49-F238E27FC236}">
              <a16:creationId xmlns:a16="http://schemas.microsoft.com/office/drawing/2014/main" id="{B4F00D0B-8998-4924-96D2-D2FC7152C03D}"/>
            </a:ext>
          </a:extLst>
        </xdr:cNvPr>
        <xdr:cNvCxnSpPr/>
      </xdr:nvCxnSpPr>
      <xdr:spPr>
        <a:xfrm>
          <a:off x="26822400" y="2560320"/>
          <a:ext cx="609600"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464820</xdr:colOff>
      <xdr:row>6</xdr:row>
      <xdr:rowOff>7620</xdr:rowOff>
    </xdr:from>
    <xdr:to>
      <xdr:col>34</xdr:col>
      <xdr:colOff>15240</xdr:colOff>
      <xdr:row>11</xdr:row>
      <xdr:rowOff>175260</xdr:rowOff>
    </xdr:to>
    <xdr:sp macro="" textlink="">
      <xdr:nvSpPr>
        <xdr:cNvPr id="45" name="Colchete Direito 44" descr="8baf35ec-d523-478c-8ab4-d83438c27eb1">
          <a:extLst>
            <a:ext uri="{FF2B5EF4-FFF2-40B4-BE49-F238E27FC236}">
              <a16:creationId xmlns:a16="http://schemas.microsoft.com/office/drawing/2014/main" id="{53245A91-50FD-4CB7-95DA-DEF720EFE2C4}"/>
            </a:ext>
          </a:extLst>
        </xdr:cNvPr>
        <xdr:cNvSpPr/>
      </xdr:nvSpPr>
      <xdr:spPr>
        <a:xfrm flipH="1">
          <a:off x="28590240" y="1836420"/>
          <a:ext cx="160020" cy="1082040"/>
        </a:xfrm>
        <a:prstGeom prst="rightBracket">
          <a:avLst/>
        </a:prstGeom>
        <a:noFill/>
        <a:ln w="12700">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39</xdr:col>
      <xdr:colOff>441960</xdr:colOff>
      <xdr:row>8</xdr:row>
      <xdr:rowOff>7620</xdr:rowOff>
    </xdr:from>
    <xdr:to>
      <xdr:col>40</xdr:col>
      <xdr:colOff>7620</xdr:colOff>
      <xdr:row>10</xdr:row>
      <xdr:rowOff>0</xdr:rowOff>
    </xdr:to>
    <xdr:sp macro="" textlink="">
      <xdr:nvSpPr>
        <xdr:cNvPr id="59" name="Colchete Direito 58" descr="8baf35ec-d523-478c-8ab4-d83438c27eb1">
          <a:extLst>
            <a:ext uri="{FF2B5EF4-FFF2-40B4-BE49-F238E27FC236}">
              <a16:creationId xmlns:a16="http://schemas.microsoft.com/office/drawing/2014/main" id="{448406B6-1E25-4AB1-9703-B86BB50495F8}"/>
            </a:ext>
          </a:extLst>
        </xdr:cNvPr>
        <xdr:cNvSpPr/>
      </xdr:nvSpPr>
      <xdr:spPr>
        <a:xfrm flipH="1">
          <a:off x="31950660" y="2202180"/>
          <a:ext cx="175260" cy="358140"/>
        </a:xfrm>
        <a:prstGeom prst="rightBracket">
          <a:avLst/>
        </a:prstGeom>
        <a:noFill/>
        <a:ln w="12700">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38</xdr:col>
      <xdr:colOff>15240</xdr:colOff>
      <xdr:row>6</xdr:row>
      <xdr:rowOff>15240</xdr:rowOff>
    </xdr:from>
    <xdr:to>
      <xdr:col>38</xdr:col>
      <xdr:colOff>213360</xdr:colOff>
      <xdr:row>11</xdr:row>
      <xdr:rowOff>167640</xdr:rowOff>
    </xdr:to>
    <xdr:sp macro="" textlink="">
      <xdr:nvSpPr>
        <xdr:cNvPr id="60" name="Colchete Direito 59" descr="8baf35ec-d523-478c-8ab4-d83438c27eb1">
          <a:extLst>
            <a:ext uri="{FF2B5EF4-FFF2-40B4-BE49-F238E27FC236}">
              <a16:creationId xmlns:a16="http://schemas.microsoft.com/office/drawing/2014/main" id="{9DEE72DD-392E-4A52-AD32-08973E580068}"/>
            </a:ext>
          </a:extLst>
        </xdr:cNvPr>
        <xdr:cNvSpPr/>
      </xdr:nvSpPr>
      <xdr:spPr>
        <a:xfrm>
          <a:off x="30914340" y="1844040"/>
          <a:ext cx="198120" cy="1066800"/>
        </a:xfrm>
        <a:prstGeom prst="rightBracket">
          <a:avLst/>
        </a:prstGeom>
        <a:noFill/>
        <a:ln w="12700">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pt-BR" sz="1100"/>
        </a:p>
      </xdr:txBody>
    </xdr:sp>
    <xdr:clientData/>
  </xdr:twoCellAnchor>
  <xdr:twoCellAnchor>
    <xdr:from>
      <xdr:col>38</xdr:col>
      <xdr:colOff>213360</xdr:colOff>
      <xdr:row>9</xdr:row>
      <xdr:rowOff>0</xdr:rowOff>
    </xdr:from>
    <xdr:to>
      <xdr:col>39</xdr:col>
      <xdr:colOff>441960</xdr:colOff>
      <xdr:row>9</xdr:row>
      <xdr:rowOff>3810</xdr:rowOff>
    </xdr:to>
    <xdr:cxnSp macro="">
      <xdr:nvCxnSpPr>
        <xdr:cNvPr id="67" name="Conector de Seta Reta 66">
          <a:extLst>
            <a:ext uri="{FF2B5EF4-FFF2-40B4-BE49-F238E27FC236}">
              <a16:creationId xmlns:a16="http://schemas.microsoft.com/office/drawing/2014/main" id="{4AEFF796-E198-4B35-B59C-23FAFA9CC6D8}"/>
            </a:ext>
          </a:extLst>
        </xdr:cNvPr>
        <xdr:cNvCxnSpPr>
          <a:stCxn id="60" idx="2"/>
          <a:endCxn id="59" idx="2"/>
        </xdr:cNvCxnSpPr>
      </xdr:nvCxnSpPr>
      <xdr:spPr>
        <a:xfrm>
          <a:off x="31112460" y="2377440"/>
          <a:ext cx="838200" cy="381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129540</xdr:colOff>
      <xdr:row>9</xdr:row>
      <xdr:rowOff>0</xdr:rowOff>
    </xdr:from>
    <xdr:to>
      <xdr:col>33</xdr:col>
      <xdr:colOff>464820</xdr:colOff>
      <xdr:row>9</xdr:row>
      <xdr:rowOff>3810</xdr:rowOff>
    </xdr:to>
    <xdr:cxnSp macro="">
      <xdr:nvCxnSpPr>
        <xdr:cNvPr id="71" name="Conector de Seta Reta 70">
          <a:extLst>
            <a:ext uri="{FF2B5EF4-FFF2-40B4-BE49-F238E27FC236}">
              <a16:creationId xmlns:a16="http://schemas.microsoft.com/office/drawing/2014/main" id="{47F46B70-5DF5-49B9-9451-F24CDBBCFA2C}"/>
            </a:ext>
          </a:extLst>
        </xdr:cNvPr>
        <xdr:cNvCxnSpPr>
          <a:stCxn id="34" idx="2"/>
          <a:endCxn id="45" idx="2"/>
        </xdr:cNvCxnSpPr>
      </xdr:nvCxnSpPr>
      <xdr:spPr>
        <a:xfrm flipV="1">
          <a:off x="28254960" y="2377440"/>
          <a:ext cx="335280" cy="381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213360</xdr:colOff>
      <xdr:row>6</xdr:row>
      <xdr:rowOff>91440</xdr:rowOff>
    </xdr:from>
    <xdr:to>
      <xdr:col>40</xdr:col>
      <xdr:colOff>15240</xdr:colOff>
      <xdr:row>9</xdr:row>
      <xdr:rowOff>0</xdr:rowOff>
    </xdr:to>
    <xdr:cxnSp macro="">
      <xdr:nvCxnSpPr>
        <xdr:cNvPr id="76" name="Conector: Angulado 75">
          <a:extLst>
            <a:ext uri="{FF2B5EF4-FFF2-40B4-BE49-F238E27FC236}">
              <a16:creationId xmlns:a16="http://schemas.microsoft.com/office/drawing/2014/main" id="{A9537214-B155-B966-8DEA-2BC7B15FDFF3}"/>
            </a:ext>
          </a:extLst>
        </xdr:cNvPr>
        <xdr:cNvCxnSpPr>
          <a:stCxn id="60" idx="2"/>
        </xdr:cNvCxnSpPr>
      </xdr:nvCxnSpPr>
      <xdr:spPr>
        <a:xfrm rot="10800000" flipH="1">
          <a:off x="31874460" y="1920240"/>
          <a:ext cx="800100" cy="457200"/>
        </a:xfrm>
        <a:prstGeom prst="bentConnector5">
          <a:avLst>
            <a:gd name="adj1" fmla="val 33334"/>
            <a:gd name="adj2" fmla="val 101667"/>
            <a:gd name="adj3" fmla="val 74762"/>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24</xdr:col>
      <xdr:colOff>420009</xdr:colOff>
      <xdr:row>45</xdr:row>
      <xdr:rowOff>58307</xdr:rowOff>
    </xdr:to>
    <xdr:pic>
      <xdr:nvPicPr>
        <xdr:cNvPr id="2" name="Imagem 1">
          <a:extLst>
            <a:ext uri="{FF2B5EF4-FFF2-40B4-BE49-F238E27FC236}">
              <a16:creationId xmlns:a16="http://schemas.microsoft.com/office/drawing/2014/main" id="{8D1B079D-EBEC-8476-60A4-9EA928AFE74D}"/>
            </a:ext>
          </a:extLst>
        </xdr:cNvPr>
        <xdr:cNvPicPr>
          <a:picLocks noChangeAspect="1"/>
        </xdr:cNvPicPr>
      </xdr:nvPicPr>
      <xdr:blipFill>
        <a:blip xmlns:r="http://schemas.openxmlformats.org/officeDocument/2006/relationships" r:embed="rId1"/>
        <a:stretch>
          <a:fillRect/>
        </a:stretch>
      </xdr:blipFill>
      <xdr:spPr>
        <a:xfrm>
          <a:off x="10706100" y="0"/>
          <a:ext cx="6516009" cy="8287907"/>
        </a:xfrm>
        <a:prstGeom prst="rect">
          <a:avLst/>
        </a:prstGeom>
      </xdr:spPr>
    </xdr:pic>
    <xdr:clientData/>
  </xdr:twoCellAnchor>
  <xdr:twoCellAnchor editAs="oneCell">
    <xdr:from>
      <xdr:col>25</xdr:col>
      <xdr:colOff>0</xdr:colOff>
      <xdr:row>0</xdr:row>
      <xdr:rowOff>0</xdr:rowOff>
    </xdr:from>
    <xdr:to>
      <xdr:col>37</xdr:col>
      <xdr:colOff>283247</xdr:colOff>
      <xdr:row>35</xdr:row>
      <xdr:rowOff>22819</xdr:rowOff>
    </xdr:to>
    <xdr:pic>
      <xdr:nvPicPr>
        <xdr:cNvPr id="3" name="Imagem 2">
          <a:extLst>
            <a:ext uri="{FF2B5EF4-FFF2-40B4-BE49-F238E27FC236}">
              <a16:creationId xmlns:a16="http://schemas.microsoft.com/office/drawing/2014/main" id="{4C8F7C7B-4C27-6C94-B923-A28B65EACA5A}"/>
            </a:ext>
          </a:extLst>
        </xdr:cNvPr>
        <xdr:cNvPicPr>
          <a:picLocks noChangeAspect="1"/>
        </xdr:cNvPicPr>
      </xdr:nvPicPr>
      <xdr:blipFill>
        <a:blip xmlns:r="http://schemas.openxmlformats.org/officeDocument/2006/relationships" r:embed="rId2"/>
        <a:stretch>
          <a:fillRect/>
        </a:stretch>
      </xdr:blipFill>
      <xdr:spPr>
        <a:xfrm>
          <a:off x="17333205" y="0"/>
          <a:ext cx="7554379" cy="6449325"/>
        </a:xfrm>
        <a:prstGeom prst="rect">
          <a:avLst/>
        </a:prstGeom>
      </xdr:spPr>
    </xdr:pic>
    <xdr:clientData/>
  </xdr:twoCellAnchor>
  <xdr:twoCellAnchor editAs="oneCell">
    <xdr:from>
      <xdr:col>38</xdr:col>
      <xdr:colOff>0</xdr:colOff>
      <xdr:row>0</xdr:row>
      <xdr:rowOff>0</xdr:rowOff>
    </xdr:from>
    <xdr:to>
      <xdr:col>48</xdr:col>
      <xdr:colOff>504364</xdr:colOff>
      <xdr:row>35</xdr:row>
      <xdr:rowOff>89503</xdr:rowOff>
    </xdr:to>
    <xdr:pic>
      <xdr:nvPicPr>
        <xdr:cNvPr id="4" name="Imagem 3">
          <a:extLst>
            <a:ext uri="{FF2B5EF4-FFF2-40B4-BE49-F238E27FC236}">
              <a16:creationId xmlns:a16="http://schemas.microsoft.com/office/drawing/2014/main" id="{25CC403E-0FA9-D47F-C674-CCAFC2A3F929}"/>
            </a:ext>
          </a:extLst>
        </xdr:cNvPr>
        <xdr:cNvPicPr>
          <a:picLocks noChangeAspect="1"/>
        </xdr:cNvPicPr>
      </xdr:nvPicPr>
      <xdr:blipFill>
        <a:blip xmlns:r="http://schemas.openxmlformats.org/officeDocument/2006/relationships" r:embed="rId3"/>
        <a:stretch>
          <a:fillRect/>
        </a:stretch>
      </xdr:blipFill>
      <xdr:spPr>
        <a:xfrm>
          <a:off x="25210265" y="0"/>
          <a:ext cx="6563641" cy="6516009"/>
        </a:xfrm>
        <a:prstGeom prst="rect">
          <a:avLst/>
        </a:prstGeom>
      </xdr:spPr>
    </xdr:pic>
    <xdr:clientData/>
  </xdr:twoCellAnchor>
  <xdr:twoCellAnchor editAs="oneCell">
    <xdr:from>
      <xdr:col>61</xdr:col>
      <xdr:colOff>0</xdr:colOff>
      <xdr:row>0</xdr:row>
      <xdr:rowOff>0</xdr:rowOff>
    </xdr:from>
    <xdr:to>
      <xdr:col>71</xdr:col>
      <xdr:colOff>475784</xdr:colOff>
      <xdr:row>41</xdr:row>
      <xdr:rowOff>45239</xdr:rowOff>
    </xdr:to>
    <xdr:pic>
      <xdr:nvPicPr>
        <xdr:cNvPr id="7" name="Imagem 6">
          <a:extLst>
            <a:ext uri="{FF2B5EF4-FFF2-40B4-BE49-F238E27FC236}">
              <a16:creationId xmlns:a16="http://schemas.microsoft.com/office/drawing/2014/main" id="{DAFDA671-7353-779A-0BA8-7F38E7BD84D8}"/>
            </a:ext>
          </a:extLst>
        </xdr:cNvPr>
        <xdr:cNvPicPr>
          <a:picLocks noChangeAspect="1"/>
        </xdr:cNvPicPr>
      </xdr:nvPicPr>
      <xdr:blipFill>
        <a:blip xmlns:r="http://schemas.openxmlformats.org/officeDocument/2006/relationships" r:embed="rId4"/>
        <a:stretch>
          <a:fillRect/>
        </a:stretch>
      </xdr:blipFill>
      <xdr:spPr>
        <a:xfrm>
          <a:off x="39146602" y="0"/>
          <a:ext cx="6535062" cy="7573432"/>
        </a:xfrm>
        <a:prstGeom prst="rect">
          <a:avLst/>
        </a:prstGeom>
      </xdr:spPr>
    </xdr:pic>
    <xdr:clientData/>
  </xdr:twoCellAnchor>
  <xdr:twoCellAnchor editAs="oneCell">
    <xdr:from>
      <xdr:col>72</xdr:col>
      <xdr:colOff>0</xdr:colOff>
      <xdr:row>0</xdr:row>
      <xdr:rowOff>0</xdr:rowOff>
    </xdr:from>
    <xdr:to>
      <xdr:col>82</xdr:col>
      <xdr:colOff>456732</xdr:colOff>
      <xdr:row>21</xdr:row>
      <xdr:rowOff>21312</xdr:rowOff>
    </xdr:to>
    <xdr:pic>
      <xdr:nvPicPr>
        <xdr:cNvPr id="8" name="Imagem 7">
          <a:extLst>
            <a:ext uri="{FF2B5EF4-FFF2-40B4-BE49-F238E27FC236}">
              <a16:creationId xmlns:a16="http://schemas.microsoft.com/office/drawing/2014/main" id="{F4E7FB56-2677-96DF-AE6D-51D33C5CD987}"/>
            </a:ext>
          </a:extLst>
        </xdr:cNvPr>
        <xdr:cNvPicPr>
          <a:picLocks noChangeAspect="1"/>
        </xdr:cNvPicPr>
      </xdr:nvPicPr>
      <xdr:blipFill>
        <a:blip xmlns:r="http://schemas.openxmlformats.org/officeDocument/2006/relationships" r:embed="rId5"/>
        <a:stretch>
          <a:fillRect/>
        </a:stretch>
      </xdr:blipFill>
      <xdr:spPr>
        <a:xfrm>
          <a:off x="45811807" y="0"/>
          <a:ext cx="6516009" cy="3877216"/>
        </a:xfrm>
        <a:prstGeom prst="rect">
          <a:avLst/>
        </a:prstGeom>
      </xdr:spPr>
    </xdr:pic>
    <xdr:clientData/>
  </xdr:twoCellAnchor>
  <xdr:twoCellAnchor editAs="oneCell">
    <xdr:from>
      <xdr:col>49</xdr:col>
      <xdr:colOff>0</xdr:colOff>
      <xdr:row>0</xdr:row>
      <xdr:rowOff>0</xdr:rowOff>
    </xdr:from>
    <xdr:to>
      <xdr:col>59</xdr:col>
      <xdr:colOff>494838</xdr:colOff>
      <xdr:row>18</xdr:row>
      <xdr:rowOff>152998</xdr:rowOff>
    </xdr:to>
    <xdr:pic>
      <xdr:nvPicPr>
        <xdr:cNvPr id="9" name="Imagem 8">
          <a:extLst>
            <a:ext uri="{FF2B5EF4-FFF2-40B4-BE49-F238E27FC236}">
              <a16:creationId xmlns:a16="http://schemas.microsoft.com/office/drawing/2014/main" id="{A6B8E275-4137-02B0-BEA6-BDE71AC73302}"/>
            </a:ext>
          </a:extLst>
        </xdr:cNvPr>
        <xdr:cNvPicPr>
          <a:picLocks noChangeAspect="1"/>
        </xdr:cNvPicPr>
      </xdr:nvPicPr>
      <xdr:blipFill>
        <a:blip xmlns:r="http://schemas.openxmlformats.org/officeDocument/2006/relationships" r:embed="rId6"/>
        <a:stretch>
          <a:fillRect/>
        </a:stretch>
      </xdr:blipFill>
      <xdr:spPr>
        <a:xfrm>
          <a:off x="31875470" y="0"/>
          <a:ext cx="6554115" cy="345805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475</xdr:colOff>
      <xdr:row>11</xdr:row>
      <xdr:rowOff>91622</xdr:rowOff>
    </xdr:to>
    <xdr:pic>
      <xdr:nvPicPr>
        <xdr:cNvPr id="2" name="Imagem 1">
          <a:extLst>
            <a:ext uri="{FF2B5EF4-FFF2-40B4-BE49-F238E27FC236}">
              <a16:creationId xmlns:a16="http://schemas.microsoft.com/office/drawing/2014/main" id="{3DEE3E32-2CD3-E0F3-EDEF-6D2287337DAA}"/>
            </a:ext>
          </a:extLst>
        </xdr:cNvPr>
        <xdr:cNvPicPr>
          <a:picLocks noChangeAspect="1"/>
        </xdr:cNvPicPr>
      </xdr:nvPicPr>
      <xdr:blipFill>
        <a:blip xmlns:r="http://schemas.openxmlformats.org/officeDocument/2006/relationships" r:embed="rId1"/>
        <a:stretch>
          <a:fillRect/>
        </a:stretch>
      </xdr:blipFill>
      <xdr:spPr>
        <a:xfrm>
          <a:off x="0" y="0"/>
          <a:ext cx="5486875" cy="2103302"/>
        </a:xfrm>
        <a:prstGeom prst="rect">
          <a:avLst/>
        </a:prstGeom>
      </xdr:spPr>
    </xdr:pic>
    <xdr:clientData/>
  </xdr:twoCellAnchor>
  <xdr:twoCellAnchor editAs="oneCell">
    <xdr:from>
      <xdr:col>0</xdr:col>
      <xdr:colOff>0</xdr:colOff>
      <xdr:row>12</xdr:row>
      <xdr:rowOff>0</xdr:rowOff>
    </xdr:from>
    <xdr:to>
      <xdr:col>11</xdr:col>
      <xdr:colOff>412097</xdr:colOff>
      <xdr:row>14</xdr:row>
      <xdr:rowOff>91480</xdr:rowOff>
    </xdr:to>
    <xdr:pic>
      <xdr:nvPicPr>
        <xdr:cNvPr id="3" name="Imagem 2">
          <a:extLst>
            <a:ext uri="{FF2B5EF4-FFF2-40B4-BE49-F238E27FC236}">
              <a16:creationId xmlns:a16="http://schemas.microsoft.com/office/drawing/2014/main" id="{0EB271F1-1CA8-F17E-E374-565ABCBA8A84}"/>
            </a:ext>
          </a:extLst>
        </xdr:cNvPr>
        <xdr:cNvPicPr>
          <a:picLocks noChangeAspect="1"/>
        </xdr:cNvPicPr>
      </xdr:nvPicPr>
      <xdr:blipFill>
        <a:blip xmlns:r="http://schemas.openxmlformats.org/officeDocument/2006/relationships" r:embed="rId2"/>
        <a:stretch>
          <a:fillRect/>
        </a:stretch>
      </xdr:blipFill>
      <xdr:spPr>
        <a:xfrm>
          <a:off x="0" y="2194560"/>
          <a:ext cx="7117697" cy="4572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tavan\AppData\Local\Temp\7bc3b6e1-ccd0-4117-94e5-44dab3648208_GREET_2023.zip.208\GREET2_2023.xlsm" TargetMode="External"/><Relationship Id="rId1" Type="http://schemas.openxmlformats.org/officeDocument/2006/relationships/externalLinkPath" Target="file:///C:\Users\tavan\AppData\Local\Temp\7bc3b6e1-ccd0-4117-94e5-44dab3648208_GREET_2023.zip.208\GREET2_2023.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ulee\Box\00_Working\GREET%202023_Working\231221_Final\GREET1_2023.xlsm" TargetMode="External"/><Relationship Id="rId1" Type="http://schemas.openxmlformats.org/officeDocument/2006/relationships/externalLinkPath" Target="file:///C:\Users\ulee\Box\00_Working\GREET%202023_Working\231221_Final\GREET1_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Vehi_Inputs"/>
      <sheetName val="Mat_Inputs"/>
      <sheetName val="Car"/>
      <sheetName val="SUV"/>
      <sheetName val="PUT"/>
      <sheetName val="Steel"/>
      <sheetName val="C.Iron"/>
      <sheetName val="W.Al"/>
      <sheetName val="C.Al"/>
      <sheetName val="Lead"/>
      <sheetName val="Nickel"/>
      <sheetName val="Cobalt"/>
      <sheetName val="Copper"/>
      <sheetName val="Zinc"/>
      <sheetName val="Magnesium"/>
      <sheetName val="Glass"/>
      <sheetName val="Vehi_Plastics"/>
      <sheetName val="Rubber"/>
      <sheetName val="Platinum"/>
      <sheetName val="Vanadium"/>
      <sheetName val="Zirconium"/>
      <sheetName val="Titanium"/>
      <sheetName val="Chromium"/>
      <sheetName val="Molybdenum"/>
      <sheetName val="Rare_Earth"/>
      <sheetName val="Manganese"/>
      <sheetName val="FC Materials"/>
      <sheetName val="Cement_Concrete"/>
      <sheetName val="Silicon"/>
      <sheetName val="Mat_Sum"/>
      <sheetName val="Vehi_Fluids"/>
      <sheetName val="Battery_Assembly"/>
      <sheetName val="Vehi_ADR"/>
      <sheetName val="Battery_Sum"/>
      <sheetName val="Battery_Materials"/>
      <sheetName val="Anode"/>
      <sheetName val="LiMn2O4"/>
      <sheetName val="Li_Chemicals"/>
      <sheetName val="Other_Cathodes"/>
      <sheetName val="Battery Recycling"/>
      <sheetName val="Vehi_Comp_Sum"/>
      <sheetName val="Vehi_Sum"/>
      <sheetName val="TEC_Results"/>
      <sheetName val="Electrolyzers"/>
      <sheetName val="Wind_Turbine"/>
      <sheetName val="Solar_PV"/>
      <sheetName val="Hydropower"/>
      <sheetName val="Nuclear_Power"/>
      <sheetName val="Tractor"/>
      <sheetName val="GREET1_Import_Export"/>
      <sheetName val="GREET2_Factors_T&amp;D"/>
      <sheetName val="GREET_Building_Import_Export"/>
      <sheetName val="MHDV_Inputs"/>
      <sheetName val="MHDV_Mat_Parameters"/>
      <sheetName val="Class 6 PnD Trucks"/>
      <sheetName val="Class 8 Day-cab Trucks"/>
      <sheetName val="Class 8 Sleeper-cab Trucks"/>
      <sheetName val="MHDV_Fluids"/>
      <sheetName val="MHDV_Trailer_Fluids"/>
      <sheetName val="MHDV_ADR"/>
      <sheetName val="MHDV_Trailer_ADR"/>
      <sheetName val="MHDV_Battery_Sum"/>
      <sheetName val="MHDV_Comp_Sum"/>
      <sheetName val="MHDV_Trailer_Comp_Sum"/>
      <sheetName val="MHDV_Sum"/>
      <sheetName val="MHDV_TEC_Resul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row r="71">
          <cell r="AF71">
            <v>38.617765809099502</v>
          </cell>
          <cell r="AI71">
            <v>24.7652701421801</v>
          </cell>
        </row>
      </sheetData>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Inputs"/>
      <sheetName val="Results"/>
      <sheetName val="Petroleum"/>
      <sheetName val="Co_processing"/>
      <sheetName val="NG"/>
      <sheetName val="MeOH_FTD"/>
      <sheetName val="EtOH"/>
      <sheetName val="Electric"/>
      <sheetName val="Bio_electricity"/>
      <sheetName val="Hydrogen"/>
      <sheetName val="BioOil"/>
      <sheetName val="Algae"/>
      <sheetName val="Macroalgae"/>
      <sheetName val="Waste"/>
      <sheetName val="RNG"/>
      <sheetName val="Pyrolysis_IDL"/>
      <sheetName val="IBR"/>
      <sheetName val="E_fuel"/>
      <sheetName val="Fuel_Prod_TS"/>
      <sheetName val="EF_TS"/>
      <sheetName val="AgMining_EF_TS"/>
      <sheetName val="EF"/>
      <sheetName val="WCF"/>
      <sheetName val="Fuel_Specs"/>
      <sheetName val="Car_TS"/>
      <sheetName val="LDT1_TS"/>
      <sheetName val="LDT2_TS"/>
      <sheetName val="Vehicles"/>
      <sheetName val="Urban_Shares"/>
      <sheetName val="Compression"/>
      <sheetName val="Coal"/>
      <sheetName val="T&amp;D_Flowcharts"/>
      <sheetName val="T&amp;D"/>
      <sheetName val="Uranium"/>
      <sheetName val="ASU"/>
      <sheetName val="Ag_Inputs"/>
      <sheetName val="Enzymes_Yeast"/>
      <sheetName val="Pretreatment"/>
      <sheetName val="Catalyst"/>
      <sheetName val="PUP_conversion"/>
      <sheetName val="Steam_Cracking"/>
      <sheetName val="Chemicals"/>
      <sheetName val="Plastics"/>
      <sheetName val="CESA"/>
      <sheetName val="Animal_Feed"/>
      <sheetName val="EtOH-Diesel Additives"/>
      <sheetName val="OilGasCoalInfra"/>
      <sheetName val="ElecInfra"/>
      <sheetName val="Woody"/>
      <sheetName val="HDV_TS"/>
      <sheetName val="HDV_WTW"/>
      <sheetName val="JetFuel_WTP"/>
      <sheetName val="JetFuel_PTWa"/>
      <sheetName val="JetFuel_WTWa"/>
      <sheetName val="Rail_PTW"/>
      <sheetName val="Rail_WTW"/>
      <sheetName val="Tractor_WTW"/>
      <sheetName val="Marine_WTH"/>
      <sheetName val="Dist_Spec"/>
      <sheetName val="Forecast_Specs"/>
      <sheetName val="Forecast_Deleted"/>
      <sheetName val="GREET1_202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5">
          <cell r="B5">
            <v>1</v>
          </cell>
        </row>
        <row r="190">
          <cell r="F190">
            <v>907.18474000000003</v>
          </cell>
        </row>
        <row r="207">
          <cell r="H207">
            <v>293.07106944444445</v>
          </cell>
        </row>
        <row r="209">
          <cell r="F209">
            <v>3.4121416416012479E-3</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21:20:07.833"/>
    </inkml:context>
    <inkml:brush xml:id="br0">
      <inkml:brushProperty name="width" value="0.035" units="cm"/>
      <inkml:brushProperty name="height" value="0.035" units="cm"/>
      <inkml:brushProperty name="color" value="#FFFFFF"/>
    </inkml:brush>
  </inkml:definitions>
  <inkml:trace contextRef="#ctx0" brushRef="#br0">1 0 24575</inkml:trace>
</inkml:ink>
</file>

<file path=xl/persons/person.xml><?xml version="1.0" encoding="utf-8"?>
<personList xmlns="http://schemas.microsoft.com/office/spreadsheetml/2018/threadedcomments" xmlns:x="http://schemas.openxmlformats.org/spreadsheetml/2006/main">
  <person displayName="Letícia Missiatto Gavioli" id="{52A17640-3E92-4734-A209-39D59C9998E2}" userId="S::leticia.gavioli@fgv.br::1af20640-5098-40c3-963d-2dc17e5902d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17C8F6-B1B8-4D00-A817-4A528C18FD7A}" name="Tabela1" displayName="Tabela1" ref="B2:F30" totalsRowShown="0" headerRowDxfId="36" dataDxfId="34" headerRowBorderDxfId="35" tableBorderDxfId="33">
  <sortState xmlns:xlrd2="http://schemas.microsoft.com/office/spreadsheetml/2017/richdata2" ref="B3:F30">
    <sortCondition ref="B2:B30"/>
  </sortState>
  <tableColumns count="5">
    <tableColumn id="1" xr3:uid="{582707DD-5CAB-4388-BE05-B21B96E1F3D5}" name="Prioridade" dataDxfId="32" dataCellStyle="20% - Ênfase3"/>
    <tableColumn id="2" xr3:uid="{662B4BF5-AD95-4130-9926-F550806983B0}" name="PARÂMETROS DE PROCESSO (% da participação)" dataDxfId="31"/>
    <tableColumn id="3" xr3:uid="{DA60DA20-B120-406C-8D81-88106AB3AE06}" name="Mínimo" dataDxfId="30"/>
    <tableColumn id="4" xr3:uid="{859036E4-F4AF-4DC7-A9A6-5EB3111E415E}" name="Médio" dataDxfId="29"/>
    <tableColumn id="5" xr3:uid="{357DAFA5-F9B4-4EB1-BD65-3B3602A0C2D1}" name="Máximo" dataDxfId="2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BD354B-6EAA-4DCC-843D-A44ADE2D26C9}" name="Tabela2" displayName="Tabela2" ref="B31:F44" totalsRowShown="0" headerRowDxfId="27" headerRowBorderDxfId="26" tableBorderDxfId="25">
  <sortState xmlns:xlrd2="http://schemas.microsoft.com/office/spreadsheetml/2017/richdata2" ref="B32:F44">
    <sortCondition ref="B31:B44"/>
  </sortState>
  <tableColumns count="5">
    <tableColumn id="1" xr3:uid="{73EBA97D-BC85-409E-970D-1308F309E065}" name="Prioridade" dataDxfId="24" dataCellStyle="40% - Ênfase3"/>
    <tableColumn id="2" xr3:uid="{F9B08F38-7978-4F59-B7A0-268B9A019D80}" name="PARÂMETROS DE EFICIÊNCIA _x000a_(MJ/kg  de produto processado)" dataDxfId="23"/>
    <tableColumn id="3" xr3:uid="{31F231FD-CE84-4DA0-B002-549FC4786F93}" name="Mínimo" dataDxfId="22" dataCellStyle="20% - Ênfase3"/>
    <tableColumn id="4" xr3:uid="{5791E810-8D79-4425-863E-62DFE2E3BD0D}" name="Médio" dataDxfId="21" dataCellStyle="20% - Ênfase3"/>
    <tableColumn id="5" xr3:uid="{C540D8CE-0CA6-4B8D-963A-544F01F4EA2D}" name="Máximo" dataDxfId="20" dataCellStyle="20% - Ênfase3"/>
  </tableColumns>
  <tableStyleInfo name="TableStyleMedium2" showFirstColumn="0" showLastColumn="0" showRowStripes="1" showColumnStripes="0"/>
</table>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2" dT="2025-05-05T13:42:36.65" personId="{52A17640-3E92-4734-A209-39D59C9998E2}" id="{A65E2AE5-3155-478A-AFB8-6AB4C523EBF3}">
    <text xml:space="preserve">Inserir aqui a quantidade utilizada no simulador. Caso não haja o input ou output no simulador, deixar como "Não se aplica"
</text>
  </threadedComment>
  <threadedComment ref="E250" dT="2025-05-07T19:11:00.81" personId="{52A17640-3E92-4734-A209-39D59C9998E2}" id="{CE4AE316-82E3-40C2-8D2F-E763B5211CD4}">
    <text>Esse ICV foi modificado, anteriormente era o market e possuia tanto inputs de logística quanto de teor de reciclagem. Duplicamos em dois ICVs e separamos um para reciclagem e um de market para analisar os resultados em separado.</text>
  </threadedComment>
  <threadedComment ref="E262" dT="2025-05-07T19:38:22.04" personId="{52A17640-3E92-4734-A209-39D59C9998E2}" id="{AF05180E-FD1B-47FB-B29A-C4D634C47171}">
    <text>Esse ICV foi modificado, anteriormente era o market e possuia tanto inputs de logística quanto de teor de reciclagem. Duplicamos em dois ICVs e separamos um para reciclagem e um de market para analisar os resultados em separado.</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v391.ecoquery.ecoinvent.org/Details/PDF/946ecb91-72e1-412b-933a-ca21c5ca69e4/290c1f85-4cc4-4fa1-b0c8-2cb7f4276dce" TargetMode="External"/><Relationship Id="rId4" Type="http://schemas.microsoft.com/office/2017/10/relationships/threadedComment" Target="../threadedComments/threadedComment1.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58C0-A48F-49DD-9F73-BF94CE222360}">
  <dimension ref="A1:AH47"/>
  <sheetViews>
    <sheetView topLeftCell="A198" zoomScale="57" zoomScaleNormal="100" workbookViewId="0">
      <selection activeCell="AW27" sqref="AW27"/>
    </sheetView>
  </sheetViews>
  <sheetFormatPr defaultRowHeight="14.4"/>
  <sheetData>
    <row r="1" spans="1:1" ht="18">
      <c r="A1" s="1" t="s">
        <v>0</v>
      </c>
    </row>
    <row r="26" spans="1:1" ht="18">
      <c r="A26" s="1" t="s">
        <v>1</v>
      </c>
    </row>
    <row r="47" spans="34:34">
      <c r="AH47" t="s">
        <v>2</v>
      </c>
    </row>
  </sheetData>
  <pageMargins left="0.511811024" right="0.511811024" top="0.78740157499999996" bottom="0.78740157499999996" header="0.31496062000000002" footer="0.3149606200000000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7BAAD-5F36-47B0-B4E1-ED38D8A7D35B}">
  <dimension ref="A1:N29"/>
  <sheetViews>
    <sheetView workbookViewId="0">
      <selection activeCell="AW27" sqref="AW27"/>
    </sheetView>
  </sheetViews>
  <sheetFormatPr defaultRowHeight="14.4"/>
  <cols>
    <col min="2" max="2" width="12.33203125" customWidth="1"/>
    <col min="7" max="7" width="14.44140625" customWidth="1"/>
    <col min="8" max="8" width="14.77734375" customWidth="1"/>
    <col min="11" max="11" width="15.44140625" customWidth="1"/>
    <col min="12" max="12" width="14.44140625" customWidth="1"/>
  </cols>
  <sheetData>
    <row r="1" spans="1:14">
      <c r="A1" s="3" t="s">
        <v>6</v>
      </c>
      <c r="B1" s="3">
        <v>2022</v>
      </c>
      <c r="F1" s="3" t="s">
        <v>5</v>
      </c>
      <c r="G1" s="3">
        <v>2022</v>
      </c>
      <c r="K1" s="3" t="s">
        <v>32</v>
      </c>
      <c r="L1" s="3">
        <v>2020</v>
      </c>
    </row>
    <row r="2" spans="1:14">
      <c r="A2" s="2"/>
      <c r="B2" s="8" t="s">
        <v>7</v>
      </c>
      <c r="C2" s="3" t="s">
        <v>10</v>
      </c>
      <c r="D2" s="3" t="s">
        <v>19</v>
      </c>
      <c r="F2" s="2"/>
      <c r="G2" s="8" t="s">
        <v>7</v>
      </c>
      <c r="H2" s="3" t="s">
        <v>10</v>
      </c>
      <c r="I2" s="3" t="s">
        <v>19</v>
      </c>
      <c r="K2" s="2"/>
      <c r="L2" s="8" t="s">
        <v>7</v>
      </c>
      <c r="M2" s="3" t="s">
        <v>10</v>
      </c>
      <c r="N2" s="3" t="s">
        <v>19</v>
      </c>
    </row>
    <row r="3" spans="1:14">
      <c r="A3" s="2">
        <v>1</v>
      </c>
      <c r="B3" s="2" t="s">
        <v>9</v>
      </c>
      <c r="C3" s="2">
        <v>100</v>
      </c>
      <c r="D3" s="2"/>
      <c r="F3" s="2">
        <v>1</v>
      </c>
      <c r="G3" s="2" t="s">
        <v>11</v>
      </c>
      <c r="H3" s="2">
        <v>76.599999999999994</v>
      </c>
      <c r="I3" s="2"/>
      <c r="K3" s="2">
        <v>1</v>
      </c>
      <c r="L3" s="2" t="s">
        <v>11</v>
      </c>
      <c r="M3" s="2">
        <v>37</v>
      </c>
      <c r="N3" s="2"/>
    </row>
    <row r="4" spans="1:14">
      <c r="A4" s="2">
        <v>2</v>
      </c>
      <c r="B4" s="2" t="s">
        <v>11</v>
      </c>
      <c r="C4" s="2">
        <v>90</v>
      </c>
      <c r="D4" s="2"/>
      <c r="F4" s="2">
        <v>2</v>
      </c>
      <c r="G4" s="2" t="s">
        <v>20</v>
      </c>
      <c r="H4" s="2">
        <v>20.399999999999999</v>
      </c>
      <c r="I4" s="2"/>
      <c r="K4" s="2">
        <v>2</v>
      </c>
      <c r="L4" s="2" t="s">
        <v>16</v>
      </c>
      <c r="M4" s="2">
        <v>3.9</v>
      </c>
      <c r="N4" s="2"/>
    </row>
    <row r="5" spans="1:14">
      <c r="A5" s="2">
        <v>3</v>
      </c>
      <c r="B5" s="2" t="s">
        <v>12</v>
      </c>
      <c r="C5" s="2">
        <v>86</v>
      </c>
      <c r="D5" s="2"/>
      <c r="F5" s="9">
        <v>3</v>
      </c>
      <c r="G5" s="9" t="s">
        <v>16</v>
      </c>
      <c r="H5" s="2"/>
      <c r="I5" s="2"/>
      <c r="K5" s="2">
        <v>3</v>
      </c>
      <c r="L5" s="2" t="s">
        <v>14</v>
      </c>
      <c r="M5" s="2">
        <v>3.6</v>
      </c>
      <c r="N5" s="2"/>
    </row>
    <row r="6" spans="1:14">
      <c r="A6" s="2">
        <v>4</v>
      </c>
      <c r="B6" s="2" t="s">
        <v>8</v>
      </c>
      <c r="C6" s="2">
        <v>33</v>
      </c>
      <c r="D6" s="2"/>
      <c r="F6" s="2"/>
      <c r="G6" s="2" t="s">
        <v>21</v>
      </c>
      <c r="H6" s="2">
        <v>3.3</v>
      </c>
      <c r="I6" s="2"/>
      <c r="K6" s="2">
        <v>4</v>
      </c>
      <c r="L6" s="2" t="s">
        <v>33</v>
      </c>
      <c r="M6" s="2">
        <v>3.11</v>
      </c>
      <c r="N6" s="2"/>
    </row>
    <row r="7" spans="1:14">
      <c r="A7" s="2">
        <v>5</v>
      </c>
      <c r="B7" s="2" t="s">
        <v>13</v>
      </c>
      <c r="C7" s="2">
        <v>21</v>
      </c>
      <c r="D7" s="2"/>
      <c r="F7" s="9">
        <v>4</v>
      </c>
      <c r="G7" s="9" t="s">
        <v>14</v>
      </c>
      <c r="H7" s="2"/>
      <c r="I7" s="2"/>
      <c r="K7" s="2">
        <v>5</v>
      </c>
      <c r="L7" s="2" t="s">
        <v>37</v>
      </c>
      <c r="M7" s="2">
        <v>2.5</v>
      </c>
      <c r="N7" s="2"/>
    </row>
    <row r="8" spans="1:14">
      <c r="A8" s="2">
        <v>6</v>
      </c>
      <c r="B8" s="2" t="s">
        <v>14</v>
      </c>
      <c r="C8" s="2">
        <v>17</v>
      </c>
      <c r="D8" s="2"/>
      <c r="F8" s="2"/>
      <c r="G8" s="2" t="s">
        <v>22</v>
      </c>
      <c r="H8" s="2">
        <v>0.93899999999999995</v>
      </c>
      <c r="I8" s="2"/>
      <c r="K8" s="2">
        <v>6</v>
      </c>
      <c r="L8" s="2" t="s">
        <v>20</v>
      </c>
      <c r="M8" s="2">
        <v>1.6</v>
      </c>
      <c r="N8" s="2"/>
    </row>
    <row r="9" spans="1:14">
      <c r="A9" s="2">
        <v>7</v>
      </c>
      <c r="B9" s="2" t="s">
        <v>15</v>
      </c>
      <c r="C9" s="2">
        <v>13.4</v>
      </c>
      <c r="D9" s="2"/>
      <c r="F9" s="2"/>
      <c r="G9" s="2" t="s">
        <v>23</v>
      </c>
      <c r="H9" s="2">
        <v>1.8</v>
      </c>
      <c r="I9" s="2"/>
      <c r="K9" s="2">
        <v>7</v>
      </c>
      <c r="L9" s="2" t="s">
        <v>35</v>
      </c>
      <c r="M9" s="2">
        <v>1.5</v>
      </c>
      <c r="N9" s="2"/>
    </row>
    <row r="10" spans="1:14">
      <c r="A10" s="2">
        <v>8</v>
      </c>
      <c r="B10" s="2" t="s">
        <v>16</v>
      </c>
      <c r="C10" s="2">
        <v>5</v>
      </c>
      <c r="D10" s="2"/>
      <c r="F10" s="2"/>
      <c r="G10" s="2" t="s">
        <v>24</v>
      </c>
      <c r="H10" s="2">
        <v>2.1</v>
      </c>
      <c r="I10" s="2"/>
      <c r="K10" s="2">
        <v>8</v>
      </c>
      <c r="L10" s="2" t="s">
        <v>34</v>
      </c>
      <c r="M10" s="2">
        <v>1.3</v>
      </c>
      <c r="N10" s="2"/>
    </row>
    <row r="11" spans="1:14">
      <c r="A11" s="2">
        <v>9</v>
      </c>
      <c r="B11" s="2" t="s">
        <v>17</v>
      </c>
      <c r="C11" s="2">
        <v>4.8</v>
      </c>
      <c r="D11" s="2"/>
      <c r="F11" s="9">
        <v>5</v>
      </c>
      <c r="G11" s="9" t="s">
        <v>25</v>
      </c>
      <c r="H11" s="2"/>
      <c r="I11" s="2"/>
      <c r="K11" s="2">
        <v>9</v>
      </c>
      <c r="L11" s="2" t="s">
        <v>36</v>
      </c>
      <c r="M11" s="2">
        <v>1</v>
      </c>
      <c r="N11" s="2"/>
    </row>
    <row r="12" spans="1:14">
      <c r="A12" s="2">
        <v>10</v>
      </c>
      <c r="B12" s="2" t="s">
        <v>18</v>
      </c>
      <c r="C12" s="2">
        <v>4.4000000000000004</v>
      </c>
      <c r="D12" s="2"/>
      <c r="F12" s="2"/>
      <c r="G12" s="2" t="s">
        <v>26</v>
      </c>
      <c r="H12" s="2" t="s">
        <v>28</v>
      </c>
      <c r="I12" s="2"/>
      <c r="K12" s="2">
        <v>10</v>
      </c>
      <c r="L12" s="2" t="s">
        <v>38</v>
      </c>
      <c r="M12" s="2">
        <v>0.8</v>
      </c>
      <c r="N12" s="2"/>
    </row>
    <row r="13" spans="1:14">
      <c r="F13" s="2"/>
      <c r="G13" s="2" t="s">
        <v>27</v>
      </c>
      <c r="H13" s="2">
        <v>1.75</v>
      </c>
      <c r="I13" s="2"/>
    </row>
    <row r="14" spans="1:14">
      <c r="F14" s="9">
        <v>6</v>
      </c>
      <c r="G14" s="9"/>
      <c r="H14" s="2"/>
      <c r="I14" s="2"/>
    </row>
    <row r="15" spans="1:14">
      <c r="F15" s="2"/>
      <c r="G15" s="2" t="s">
        <v>29</v>
      </c>
      <c r="H15" s="2">
        <v>4.5999999999999996</v>
      </c>
      <c r="I15" s="2"/>
    </row>
    <row r="16" spans="1:14">
      <c r="F16" s="2"/>
      <c r="G16" s="2" t="s">
        <v>30</v>
      </c>
      <c r="H16" s="2">
        <v>13.8</v>
      </c>
      <c r="I16" s="2"/>
    </row>
    <row r="17" spans="1:9">
      <c r="F17" s="2"/>
      <c r="G17" s="2" t="s">
        <v>31</v>
      </c>
      <c r="H17" s="2">
        <v>7.6</v>
      </c>
      <c r="I17" s="2"/>
    </row>
    <row r="19" spans="1:9">
      <c r="A19" s="3" t="s">
        <v>8</v>
      </c>
      <c r="B19" s="3">
        <v>2022</v>
      </c>
      <c r="C19" s="3" t="s">
        <v>10</v>
      </c>
      <c r="D19" s="3" t="s">
        <v>19</v>
      </c>
    </row>
    <row r="20" spans="1:9">
      <c r="A20" s="2"/>
      <c r="B20" s="2" t="s">
        <v>31</v>
      </c>
      <c r="C20" s="2">
        <v>3.3</v>
      </c>
      <c r="D20" s="2"/>
    </row>
    <row r="21" spans="1:9">
      <c r="A21" s="2"/>
      <c r="B21" s="2"/>
      <c r="C21" s="2"/>
      <c r="D21" s="2"/>
    </row>
    <row r="22" spans="1:9">
      <c r="A22" s="2"/>
      <c r="B22" s="2"/>
      <c r="C22" s="2"/>
      <c r="D22" s="2"/>
    </row>
    <row r="23" spans="1:9">
      <c r="A23" s="2"/>
      <c r="B23" s="2"/>
      <c r="C23" s="2"/>
      <c r="D23" s="2"/>
    </row>
    <row r="24" spans="1:9">
      <c r="A24" s="2"/>
      <c r="B24" s="2"/>
      <c r="C24" s="2"/>
      <c r="D24" s="2"/>
    </row>
    <row r="25" spans="1:9">
      <c r="A25" s="2"/>
      <c r="B25" s="2"/>
      <c r="C25" s="2"/>
      <c r="D25" s="2"/>
    </row>
    <row r="26" spans="1:9">
      <c r="A26" s="2"/>
      <c r="B26" s="2"/>
      <c r="C26" s="2"/>
      <c r="D26" s="2"/>
    </row>
    <row r="27" spans="1:9">
      <c r="A27" s="2"/>
      <c r="B27" s="2"/>
      <c r="C27" s="2"/>
      <c r="D27" s="2"/>
    </row>
    <row r="28" spans="1:9">
      <c r="A28" s="2"/>
      <c r="B28" s="2"/>
      <c r="C28" s="2"/>
      <c r="D28" s="2"/>
    </row>
    <row r="29" spans="1:9">
      <c r="A29" s="2"/>
      <c r="B29" s="2"/>
      <c r="C29" s="2"/>
      <c r="D29" s="2"/>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D6A01-C408-4699-998A-EBB461C45FDC}">
  <dimension ref="B1:T50"/>
  <sheetViews>
    <sheetView topLeftCell="B1" zoomScale="80" zoomScaleNormal="80" workbookViewId="0">
      <selection activeCell="AW27" sqref="AW27"/>
    </sheetView>
  </sheetViews>
  <sheetFormatPr defaultRowHeight="14.4"/>
  <cols>
    <col min="2" max="2" width="29.5546875" customWidth="1"/>
    <col min="3" max="3" width="11.109375" customWidth="1"/>
    <col min="4" max="4" width="38.5546875" customWidth="1"/>
    <col min="5" max="5" width="8.77734375" customWidth="1"/>
    <col min="6" max="6" width="26.6640625" customWidth="1"/>
    <col min="7" max="7" width="11.109375" customWidth="1"/>
    <col min="8" max="8" width="26.77734375" customWidth="1"/>
    <col min="9" max="9" width="55.5546875" customWidth="1"/>
    <col min="10" max="10" width="8.88671875" customWidth="1"/>
    <col min="11" max="11" width="23.6640625" customWidth="1"/>
    <col min="12" max="12" width="11.109375" customWidth="1"/>
    <col min="13" max="13" width="24" customWidth="1"/>
    <col min="14" max="14" width="55.5546875" customWidth="1"/>
    <col min="16" max="16" width="22.6640625" customWidth="1"/>
    <col min="17" max="17" width="11.109375" customWidth="1"/>
    <col min="18" max="18" width="24.109375" customWidth="1"/>
    <col min="20" max="20" width="25.5546875" customWidth="1"/>
    <col min="21" max="21" width="55.5546875" customWidth="1"/>
    <col min="22" max="22" width="23.77734375" customWidth="1"/>
  </cols>
  <sheetData>
    <row r="1" spans="2:20" ht="18">
      <c r="B1" s="13" t="s">
        <v>65</v>
      </c>
      <c r="C1" s="13"/>
      <c r="D1" s="13"/>
      <c r="F1" s="13" t="s">
        <v>83</v>
      </c>
      <c r="G1" s="13"/>
      <c r="H1" s="13"/>
      <c r="K1" s="13" t="s">
        <v>75</v>
      </c>
      <c r="L1" s="13"/>
      <c r="M1" s="13"/>
      <c r="P1" s="13" t="s">
        <v>77</v>
      </c>
      <c r="Q1" s="13"/>
      <c r="R1" s="13"/>
    </row>
    <row r="2" spans="2:20" ht="18">
      <c r="B2" s="14" t="s">
        <v>66</v>
      </c>
      <c r="C2" s="14"/>
      <c r="D2" s="14" t="s">
        <v>67</v>
      </c>
      <c r="F2" s="13" t="s">
        <v>81</v>
      </c>
      <c r="G2" s="13"/>
      <c r="H2" s="13"/>
      <c r="K2" s="13" t="s">
        <v>71</v>
      </c>
      <c r="L2" s="13"/>
      <c r="M2" s="13"/>
      <c r="P2" s="14" t="s">
        <v>66</v>
      </c>
      <c r="Q2" s="14"/>
      <c r="R2" s="14" t="s">
        <v>67</v>
      </c>
    </row>
    <row r="3" spans="2:20" ht="18">
      <c r="B3" s="3" t="s">
        <v>47</v>
      </c>
      <c r="D3" s="3" t="s">
        <v>97</v>
      </c>
      <c r="F3" s="14" t="s">
        <v>66</v>
      </c>
      <c r="G3" s="14"/>
      <c r="H3" s="14" t="s">
        <v>67</v>
      </c>
      <c r="K3" s="14" t="s">
        <v>66</v>
      </c>
      <c r="L3" s="14"/>
      <c r="M3" s="14" t="s">
        <v>67</v>
      </c>
      <c r="P3" s="3" t="s">
        <v>54</v>
      </c>
      <c r="R3" s="3" t="s">
        <v>52</v>
      </c>
    </row>
    <row r="4" spans="2:20">
      <c r="B4" s="10">
        <v>1</v>
      </c>
      <c r="D4" s="10">
        <f>0.77113*B4</f>
        <v>0.77112999999999998</v>
      </c>
      <c r="F4" s="3" t="s">
        <v>48</v>
      </c>
      <c r="H4" s="3" t="s">
        <v>52</v>
      </c>
      <c r="K4" s="3" t="s">
        <v>52</v>
      </c>
      <c r="M4" s="3" t="s">
        <v>56</v>
      </c>
      <c r="P4" s="10">
        <v>1</v>
      </c>
      <c r="R4" s="10">
        <f>(17/28)*P4</f>
        <v>0.6071428571428571</v>
      </c>
    </row>
    <row r="5" spans="2:20">
      <c r="F5" s="10">
        <v>1</v>
      </c>
      <c r="H5" s="10">
        <f>1.897*F5</f>
        <v>1.897</v>
      </c>
      <c r="K5" s="10">
        <v>1</v>
      </c>
      <c r="M5" s="10">
        <f>1.53*K5</f>
        <v>1.53</v>
      </c>
    </row>
    <row r="6" spans="2:20">
      <c r="D6" s="3" t="s">
        <v>49</v>
      </c>
      <c r="P6" s="4" t="s">
        <v>72</v>
      </c>
      <c r="R6" s="3" t="s">
        <v>51</v>
      </c>
    </row>
    <row r="7" spans="2:20">
      <c r="D7" s="10">
        <f>0.22887*B4</f>
        <v>0.22886999999999999</v>
      </c>
      <c r="F7" s="4" t="s">
        <v>68</v>
      </c>
      <c r="H7" s="3" t="s">
        <v>53</v>
      </c>
      <c r="K7" s="4" t="s">
        <v>72</v>
      </c>
      <c r="M7" s="3" t="s">
        <v>50</v>
      </c>
      <c r="P7" s="5">
        <f>(9/28)*P4</f>
        <v>0.32142857142857145</v>
      </c>
      <c r="R7" s="10">
        <f>0.332995*P4</f>
        <v>0.33299499999999999</v>
      </c>
    </row>
    <row r="8" spans="2:20">
      <c r="F8" s="5">
        <f>1.4965*F5</f>
        <v>1.4964999999999999</v>
      </c>
      <c r="H8" s="10">
        <f>0.475*F5</f>
        <v>0.47499999999999998</v>
      </c>
      <c r="K8" s="5">
        <f>0.53*K5</f>
        <v>0.53</v>
      </c>
      <c r="M8" s="10">
        <f>4.13*K5</f>
        <v>4.13</v>
      </c>
    </row>
    <row r="9" spans="2:20">
      <c r="D9" s="3" t="s">
        <v>50</v>
      </c>
      <c r="R9" s="3" t="s">
        <v>50</v>
      </c>
    </row>
    <row r="10" spans="2:20" ht="18">
      <c r="D10" s="10">
        <f>0.67286*B4</f>
        <v>0.67286000000000001</v>
      </c>
      <c r="F10" s="4" t="s">
        <v>69</v>
      </c>
      <c r="H10" s="3" t="s">
        <v>51</v>
      </c>
      <c r="K10" s="13" t="s">
        <v>73</v>
      </c>
      <c r="L10" s="13"/>
      <c r="M10" s="13"/>
      <c r="R10" s="10">
        <f>2*P4</f>
        <v>2</v>
      </c>
    </row>
    <row r="11" spans="2:20" ht="18">
      <c r="F11" s="5">
        <f>0.09171*F5</f>
        <v>9.171E-2</v>
      </c>
      <c r="H11" s="10">
        <f>15.751*F5</f>
        <v>15.750999999999999</v>
      </c>
      <c r="K11" s="14" t="s">
        <v>66</v>
      </c>
      <c r="L11" s="14"/>
      <c r="M11" s="14" t="s">
        <v>67</v>
      </c>
    </row>
    <row r="12" spans="2:20">
      <c r="D12" s="3" t="s">
        <v>51</v>
      </c>
      <c r="K12" s="3" t="s">
        <v>56</v>
      </c>
      <c r="M12" s="3" t="s">
        <v>74</v>
      </c>
      <c r="R12" s="3" t="s">
        <v>58</v>
      </c>
    </row>
    <row r="13" spans="2:20">
      <c r="D13" s="10">
        <f>0.034*B4</f>
        <v>3.4000000000000002E-2</v>
      </c>
      <c r="F13" s="6" t="s">
        <v>64</v>
      </c>
      <c r="H13" s="3" t="s">
        <v>54</v>
      </c>
      <c r="K13" s="10">
        <v>1</v>
      </c>
      <c r="M13" s="10">
        <f>(59/39)*K13</f>
        <v>1.5128205128205128</v>
      </c>
      <c r="R13" s="10">
        <f>(5/7)*P4</f>
        <v>0.7142857142857143</v>
      </c>
    </row>
    <row r="14" spans="2:20">
      <c r="F14" s="7">
        <f>0.018*F5</f>
        <v>1.7999999999999999E-2</v>
      </c>
      <c r="H14" s="10">
        <f>0.021*F5</f>
        <v>2.1000000000000001E-2</v>
      </c>
    </row>
    <row r="15" spans="2:20">
      <c r="K15" s="4" t="s">
        <v>57</v>
      </c>
    </row>
    <row r="16" spans="2:20">
      <c r="H16" s="3" t="s">
        <v>55</v>
      </c>
      <c r="K16" s="5">
        <f>(20/39)*K13</f>
        <v>0.51282051282051277</v>
      </c>
      <c r="P16" s="3" t="s">
        <v>55</v>
      </c>
      <c r="R16" s="11">
        <v>0.75</v>
      </c>
      <c r="T16" s="11">
        <v>0.25</v>
      </c>
    </row>
    <row r="17" spans="6:20">
      <c r="H17" s="10">
        <f>0.0016*F5</f>
        <v>1.6000000000000001E-3</v>
      </c>
      <c r="P17" s="10">
        <v>1</v>
      </c>
      <c r="R17" s="3" t="s">
        <v>52</v>
      </c>
      <c r="T17" s="3" t="s">
        <v>52</v>
      </c>
    </row>
    <row r="18" spans="6:20" ht="18">
      <c r="K18" s="13" t="s">
        <v>76</v>
      </c>
      <c r="L18" s="13"/>
      <c r="M18" s="13"/>
      <c r="R18" s="10">
        <f>0.248*P17</f>
        <v>0.248</v>
      </c>
      <c r="T18" s="10">
        <f>0.25338*P17</f>
        <v>0.25337999999999999</v>
      </c>
    </row>
    <row r="19" spans="6:20" ht="18">
      <c r="K19" s="13" t="s">
        <v>41</v>
      </c>
      <c r="L19" s="13"/>
      <c r="M19" s="13"/>
    </row>
    <row r="20" spans="6:20" ht="18">
      <c r="F20" s="13" t="s">
        <v>82</v>
      </c>
      <c r="G20" s="13"/>
      <c r="H20" s="13"/>
      <c r="K20" s="14" t="s">
        <v>66</v>
      </c>
      <c r="L20" s="14"/>
      <c r="M20" s="14" t="s">
        <v>67</v>
      </c>
      <c r="R20" s="3" t="s">
        <v>58</v>
      </c>
      <c r="T20" s="3" t="s">
        <v>59</v>
      </c>
    </row>
    <row r="21" spans="6:20" ht="18">
      <c r="F21" s="14" t="s">
        <v>66</v>
      </c>
      <c r="G21" s="14"/>
      <c r="H21" s="14" t="s">
        <v>67</v>
      </c>
      <c r="K21" s="3" t="s">
        <v>74</v>
      </c>
      <c r="M21" s="3" t="s">
        <v>78</v>
      </c>
      <c r="R21" s="10">
        <f>0.584*P17</f>
        <v>0.58399999999999996</v>
      </c>
      <c r="T21" s="10">
        <f>0.71543*P17</f>
        <v>0.71543000000000001</v>
      </c>
    </row>
    <row r="22" spans="6:20">
      <c r="F22" s="3" t="s">
        <v>48</v>
      </c>
      <c r="H22" s="3" t="s">
        <v>52</v>
      </c>
      <c r="K22" s="10">
        <v>1</v>
      </c>
      <c r="M22" s="10">
        <f>(39/41)*K22</f>
        <v>0.95121951219512191</v>
      </c>
    </row>
    <row r="23" spans="6:20">
      <c r="F23" s="10">
        <v>1</v>
      </c>
      <c r="H23" s="10">
        <f>2.105*F23</f>
        <v>2.105</v>
      </c>
      <c r="R23" s="3" t="s">
        <v>57</v>
      </c>
      <c r="T23" s="3" t="s">
        <v>57</v>
      </c>
    </row>
    <row r="24" spans="6:20">
      <c r="K24" s="4" t="s">
        <v>72</v>
      </c>
      <c r="M24" s="4" t="s">
        <v>57</v>
      </c>
      <c r="R24" s="10">
        <f>0.583*P17</f>
        <v>0.58299999999999996</v>
      </c>
      <c r="T24" s="10">
        <f>0.59619*P17</f>
        <v>0.59619</v>
      </c>
    </row>
    <row r="25" spans="6:20">
      <c r="F25" s="6" t="s">
        <v>64</v>
      </c>
      <c r="H25" s="3" t="s">
        <v>60</v>
      </c>
      <c r="K25" s="5">
        <f>(18/41)*K22</f>
        <v>0.43902439024390244</v>
      </c>
      <c r="M25" s="5">
        <f>(20/41)*K22</f>
        <v>0.48780487804878048</v>
      </c>
    </row>
    <row r="26" spans="6:20">
      <c r="F26" s="7">
        <f>0.018*F23</f>
        <v>1.7999999999999999E-2</v>
      </c>
      <c r="H26" s="10">
        <f>0.515*F23</f>
        <v>0.51500000000000001</v>
      </c>
      <c r="R26" s="3" t="s">
        <v>51</v>
      </c>
      <c r="T26" s="3" t="s">
        <v>51</v>
      </c>
    </row>
    <row r="27" spans="6:20" ht="18">
      <c r="K27" s="13" t="s">
        <v>79</v>
      </c>
      <c r="L27" s="13"/>
      <c r="M27" s="13"/>
      <c r="R27" s="10">
        <f>0.3329965333*P17</f>
        <v>0.33299653330000001</v>
      </c>
      <c r="T27" s="10">
        <f>0.33006*P17</f>
        <v>0.33006000000000002</v>
      </c>
    </row>
    <row r="28" spans="6:20" ht="18">
      <c r="F28" s="4" t="s">
        <v>68</v>
      </c>
      <c r="H28" s="3" t="s">
        <v>51</v>
      </c>
      <c r="K28" s="14" t="s">
        <v>66</v>
      </c>
      <c r="L28" s="14"/>
      <c r="M28" s="14" t="s">
        <v>67</v>
      </c>
    </row>
    <row r="29" spans="6:20">
      <c r="F29" s="5">
        <f>1.4965*F23</f>
        <v>1.4964999999999999</v>
      </c>
      <c r="H29" s="10">
        <f>16.951*F23</f>
        <v>16.951000000000001</v>
      </c>
      <c r="K29" s="3" t="s">
        <v>74</v>
      </c>
      <c r="M29" s="3" t="s">
        <v>80</v>
      </c>
      <c r="R29" s="3" t="s">
        <v>50</v>
      </c>
      <c r="T29" s="3" t="s">
        <v>50</v>
      </c>
    </row>
    <row r="30" spans="6:20">
      <c r="K30" s="10">
        <v>1</v>
      </c>
      <c r="M30" s="10">
        <f>(30/41)*K30</f>
        <v>0.73170731707317072</v>
      </c>
      <c r="R30" s="10">
        <f>2*P17</f>
        <v>2</v>
      </c>
      <c r="T30" s="10">
        <f>1.98233*P17</f>
        <v>1.9823299999999999</v>
      </c>
    </row>
    <row r="31" spans="6:20">
      <c r="F31" s="4" t="s">
        <v>69</v>
      </c>
      <c r="H31" s="3" t="s">
        <v>54</v>
      </c>
    </row>
    <row r="32" spans="6:20">
      <c r="F32" s="5">
        <f>0.09171*F23</f>
        <v>9.171E-2</v>
      </c>
      <c r="H32" s="10">
        <f>0.0207*F23</f>
        <v>2.07E-2</v>
      </c>
      <c r="K32" s="4" t="s">
        <v>72</v>
      </c>
      <c r="M32" s="4" t="s">
        <v>57</v>
      </c>
    </row>
    <row r="33" spans="8:18">
      <c r="K33" s="5">
        <f>(9/41)*K30</f>
        <v>0.21951219512195122</v>
      </c>
      <c r="M33" s="5">
        <f>(20/41)*K30</f>
        <v>0.48780487804878048</v>
      </c>
      <c r="P33" s="3" t="s">
        <v>53</v>
      </c>
      <c r="R33" s="3" t="s">
        <v>61</v>
      </c>
    </row>
    <row r="34" spans="8:18">
      <c r="H34" s="3" t="s">
        <v>55</v>
      </c>
      <c r="P34" s="10">
        <v>1</v>
      </c>
      <c r="R34" s="10">
        <f>0.65798*P34</f>
        <v>0.65798000000000001</v>
      </c>
    </row>
    <row r="35" spans="8:18" ht="18">
      <c r="H35" s="10">
        <f>0.0016*F23</f>
        <v>1.6000000000000001E-3</v>
      </c>
      <c r="K35" s="13" t="s">
        <v>92</v>
      </c>
      <c r="L35" s="13"/>
      <c r="M35" s="13"/>
    </row>
    <row r="36" spans="8:18" ht="18">
      <c r="K36" s="14" t="s">
        <v>66</v>
      </c>
      <c r="L36" s="14"/>
      <c r="M36" s="14" t="s">
        <v>67</v>
      </c>
      <c r="R36" s="3" t="s">
        <v>62</v>
      </c>
    </row>
    <row r="37" spans="8:18">
      <c r="K37" s="3" t="s">
        <v>91</v>
      </c>
      <c r="M37" s="3" t="s">
        <v>63</v>
      </c>
      <c r="R37" s="10">
        <f>0.14699*P34</f>
        <v>0.14699000000000001</v>
      </c>
    </row>
    <row r="38" spans="8:18">
      <c r="K38" s="10">
        <v>1</v>
      </c>
      <c r="M38" s="10">
        <f>(1/M41)*K38</f>
        <v>1.5384615384615383</v>
      </c>
    </row>
    <row r="39" spans="8:18">
      <c r="R39" s="3" t="s">
        <v>51</v>
      </c>
    </row>
    <row r="40" spans="8:18">
      <c r="K40" s="6" t="s">
        <v>89</v>
      </c>
      <c r="M40" s="15" t="s">
        <v>88</v>
      </c>
      <c r="R40" s="10">
        <f>0.21999*P34</f>
        <v>0.21998999999999999</v>
      </c>
    </row>
    <row r="41" spans="8:18">
      <c r="K41" s="7">
        <f>M38-K38</f>
        <v>0.53846153846153832</v>
      </c>
      <c r="M41" s="16">
        <v>0.65</v>
      </c>
    </row>
    <row r="42" spans="8:18">
      <c r="R42" s="3" t="s">
        <v>50</v>
      </c>
    </row>
    <row r="43" spans="8:18">
      <c r="R43" s="10">
        <f>2.45498*P34</f>
        <v>2.4549799999999999</v>
      </c>
    </row>
    <row r="44" spans="8:18" ht="18">
      <c r="K44" s="13" t="s">
        <v>146</v>
      </c>
      <c r="L44" s="13"/>
      <c r="M44" s="13"/>
    </row>
    <row r="45" spans="8:18" ht="18">
      <c r="K45" s="14" t="s">
        <v>66</v>
      </c>
      <c r="L45" s="14"/>
      <c r="M45" s="14" t="s">
        <v>67</v>
      </c>
    </row>
    <row r="46" spans="8:18">
      <c r="K46" s="3" t="s">
        <v>63</v>
      </c>
      <c r="M46" s="3" t="s">
        <v>50</v>
      </c>
    </row>
    <row r="47" spans="8:18">
      <c r="K47" s="10">
        <v>1</v>
      </c>
      <c r="M47" s="10" t="s">
        <v>147</v>
      </c>
    </row>
    <row r="49" spans="13:13">
      <c r="M49" s="3" t="s">
        <v>51</v>
      </c>
    </row>
    <row r="50" spans="13:13">
      <c r="M50" s="10" t="s">
        <v>147</v>
      </c>
    </row>
  </sheetData>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66321-15F2-40EE-B773-4D00E204394E}">
  <dimension ref="B1:R246"/>
  <sheetViews>
    <sheetView zoomScale="70" zoomScaleNormal="70" workbookViewId="0">
      <pane ySplit="1" topLeftCell="A2" activePane="bottomLeft" state="frozen"/>
      <selection activeCell="AW27" sqref="AW27"/>
      <selection pane="bottomLeft" activeCell="AW27" sqref="AW27"/>
    </sheetView>
  </sheetViews>
  <sheetFormatPr defaultRowHeight="14.4"/>
  <cols>
    <col min="2" max="2" width="11" customWidth="1"/>
    <col min="4" max="4" width="17.21875" customWidth="1"/>
    <col min="5" max="5" width="26" customWidth="1"/>
    <col min="6" max="6" width="12.77734375" customWidth="1"/>
    <col min="7" max="7" width="32.88671875" customWidth="1"/>
    <col min="8" max="8" width="12.77734375" customWidth="1"/>
    <col min="9" max="9" width="11.109375" customWidth="1"/>
    <col min="10" max="10" width="15.5546875" customWidth="1"/>
    <col min="11" max="11" width="11.109375" customWidth="1"/>
    <col min="12" max="12" width="29.44140625" customWidth="1"/>
    <col min="13" max="13" width="29.109375" customWidth="1"/>
    <col min="14" max="14" width="23.109375" customWidth="1"/>
    <col min="15" max="16" width="25.77734375" customWidth="1"/>
    <col min="17" max="17" width="22.88671875" customWidth="1"/>
  </cols>
  <sheetData>
    <row r="1" spans="2:18" ht="48" customHeight="1">
      <c r="B1" s="43" t="s">
        <v>124</v>
      </c>
      <c r="C1" s="44" t="s">
        <v>125</v>
      </c>
      <c r="D1" s="43" t="s">
        <v>96</v>
      </c>
      <c r="E1" s="43" t="s">
        <v>66</v>
      </c>
      <c r="F1" s="43" t="s">
        <v>94</v>
      </c>
      <c r="G1" s="43" t="s">
        <v>67</v>
      </c>
      <c r="H1" s="43" t="s">
        <v>94</v>
      </c>
      <c r="I1" s="45" t="s">
        <v>51</v>
      </c>
      <c r="J1" s="45" t="s">
        <v>50</v>
      </c>
      <c r="K1" s="43" t="s">
        <v>126</v>
      </c>
      <c r="L1" s="43" t="s">
        <v>165</v>
      </c>
      <c r="M1" s="43"/>
      <c r="N1" s="43"/>
      <c r="O1" s="43"/>
      <c r="P1" s="43"/>
      <c r="Q1" s="43" t="s">
        <v>148</v>
      </c>
    </row>
    <row r="2" spans="2:18" ht="14.4" customHeight="1">
      <c r="B2" s="10"/>
      <c r="C2" s="30"/>
      <c r="D2" s="23"/>
      <c r="E2" s="23"/>
      <c r="F2" s="23"/>
      <c r="G2" s="23"/>
      <c r="H2" s="23"/>
      <c r="I2" s="24"/>
      <c r="J2" s="24"/>
      <c r="K2" s="10"/>
      <c r="L2" s="13" t="s">
        <v>93</v>
      </c>
      <c r="M2" s="13"/>
      <c r="N2" s="13"/>
      <c r="O2" s="13"/>
      <c r="P2" s="13"/>
      <c r="Q2" s="13" t="s">
        <v>150</v>
      </c>
      <c r="R2" t="s">
        <v>166</v>
      </c>
    </row>
    <row r="3" spans="2:18" ht="18">
      <c r="B3" s="10"/>
      <c r="C3" s="31">
        <v>1</v>
      </c>
      <c r="D3" s="25" t="s">
        <v>93</v>
      </c>
      <c r="E3" s="46" t="s">
        <v>95</v>
      </c>
      <c r="F3" s="26">
        <v>1000</v>
      </c>
      <c r="G3" s="21"/>
      <c r="H3" s="20"/>
      <c r="I3" s="20">
        <f>M8*F3</f>
        <v>34</v>
      </c>
      <c r="J3" s="20">
        <f>N8*F3</f>
        <v>672.86</v>
      </c>
      <c r="K3" s="10"/>
      <c r="L3" s="14" t="s">
        <v>66</v>
      </c>
      <c r="M3" s="14"/>
      <c r="N3" s="14"/>
      <c r="O3" s="14"/>
      <c r="P3" s="14"/>
      <c r="Q3" s="14"/>
    </row>
    <row r="4" spans="2:18">
      <c r="B4" s="10"/>
      <c r="C4" s="30"/>
      <c r="D4" s="20"/>
      <c r="E4" s="21"/>
      <c r="F4" s="20"/>
      <c r="G4" s="21" t="s">
        <v>98</v>
      </c>
      <c r="H4" s="20">
        <f>B9*F3</f>
        <v>771.13</v>
      </c>
      <c r="I4" s="20"/>
      <c r="J4" s="20"/>
      <c r="K4" s="10"/>
      <c r="L4" s="3" t="s">
        <v>47</v>
      </c>
      <c r="M4" s="10"/>
      <c r="N4" s="10"/>
      <c r="O4" s="10"/>
      <c r="P4" s="10"/>
      <c r="Q4" s="10"/>
    </row>
    <row r="5" spans="2:18">
      <c r="B5" s="10"/>
      <c r="C5" s="30"/>
      <c r="D5" s="20"/>
      <c r="E5" s="21"/>
      <c r="F5" s="20"/>
      <c r="G5" s="21" t="s">
        <v>43</v>
      </c>
      <c r="H5" s="20">
        <f>B16*F3</f>
        <v>228.87</v>
      </c>
      <c r="I5" s="20"/>
      <c r="J5" s="20"/>
      <c r="K5" s="10"/>
      <c r="L5" s="10">
        <v>1</v>
      </c>
      <c r="M5" s="10"/>
      <c r="N5" s="10"/>
      <c r="O5" s="35"/>
      <c r="P5" s="10"/>
      <c r="Q5" s="10"/>
    </row>
    <row r="6" spans="2:18" ht="18">
      <c r="B6" s="10"/>
      <c r="C6" s="30"/>
      <c r="D6" s="20"/>
      <c r="E6" s="21"/>
      <c r="F6" s="20"/>
      <c r="G6" s="21"/>
      <c r="H6" s="20"/>
      <c r="I6" s="20"/>
      <c r="J6" s="20"/>
      <c r="K6" s="10"/>
      <c r="L6" s="14" t="s">
        <v>67</v>
      </c>
      <c r="M6" s="14"/>
      <c r="N6" s="14"/>
      <c r="O6" s="14"/>
      <c r="P6" s="14"/>
      <c r="Q6" s="14"/>
    </row>
    <row r="7" spans="2:18" ht="28.8">
      <c r="B7" s="10"/>
      <c r="C7" s="30"/>
      <c r="D7" s="20"/>
      <c r="E7" s="29" t="s">
        <v>127</v>
      </c>
      <c r="F7" s="22">
        <f>SUM(F3:F6)</f>
        <v>1000</v>
      </c>
      <c r="G7" s="29" t="s">
        <v>127</v>
      </c>
      <c r="H7" s="22">
        <f>SUM(H3:H6)</f>
        <v>1000</v>
      </c>
      <c r="I7" s="20"/>
      <c r="J7" s="20"/>
      <c r="K7" s="10"/>
      <c r="L7" s="3" t="s">
        <v>153</v>
      </c>
      <c r="M7" s="3" t="s">
        <v>51</v>
      </c>
      <c r="N7" s="37" t="s">
        <v>50</v>
      </c>
      <c r="O7" s="10"/>
      <c r="P7" s="10"/>
      <c r="Q7" s="10"/>
    </row>
    <row r="8" spans="2:18">
      <c r="B8" s="10"/>
      <c r="C8" s="30"/>
      <c r="D8" s="20"/>
      <c r="E8" s="21"/>
      <c r="F8" s="20"/>
      <c r="G8" s="21"/>
      <c r="H8" s="20"/>
      <c r="I8" s="20"/>
      <c r="J8" s="20"/>
      <c r="K8" s="10"/>
      <c r="L8" s="10">
        <f>L5</f>
        <v>1</v>
      </c>
      <c r="M8" s="10">
        <f>0.034*L5</f>
        <v>3.4000000000000002E-2</v>
      </c>
      <c r="N8" s="10">
        <f>0.67286*L5</f>
        <v>0.67286000000000001</v>
      </c>
      <c r="O8" s="10"/>
      <c r="P8" s="10"/>
      <c r="Q8" s="10"/>
    </row>
    <row r="9" spans="2:18" ht="28.8">
      <c r="B9" s="34">
        <v>0.77112999999999998</v>
      </c>
      <c r="C9" s="31">
        <v>2</v>
      </c>
      <c r="D9" s="27" t="s">
        <v>99</v>
      </c>
      <c r="E9" s="21" t="s">
        <v>42</v>
      </c>
      <c r="F9" s="20">
        <f>H4</f>
        <v>771.13</v>
      </c>
      <c r="G9" s="21" t="s">
        <v>5</v>
      </c>
      <c r="H9" s="20">
        <f>L16*F9</f>
        <v>1462.8336099999999</v>
      </c>
      <c r="I9" s="20">
        <f>Q16*F9</f>
        <v>12146.06863</v>
      </c>
      <c r="J9" s="20">
        <f>P16*F9</f>
        <v>97.933509999999998</v>
      </c>
      <c r="K9" s="10"/>
      <c r="L9" s="10"/>
      <c r="M9" s="10"/>
      <c r="N9" s="10"/>
      <c r="O9" s="10"/>
      <c r="P9" s="10"/>
      <c r="Q9" s="10"/>
    </row>
    <row r="10" spans="2:18" ht="18">
      <c r="B10" s="10"/>
      <c r="C10" s="30"/>
      <c r="D10" s="20"/>
      <c r="E10" s="21" t="s">
        <v>3</v>
      </c>
      <c r="F10" s="20">
        <f>M13*F9</f>
        <v>1153.9960449999999</v>
      </c>
      <c r="G10" s="21" t="s">
        <v>100</v>
      </c>
      <c r="H10" s="20">
        <f>M16*F9</f>
        <v>366.28674999999998</v>
      </c>
      <c r="I10" s="20"/>
      <c r="J10" s="20"/>
      <c r="K10" s="10"/>
      <c r="L10" s="13" t="s">
        <v>151</v>
      </c>
      <c r="M10" s="13"/>
      <c r="N10" s="13"/>
      <c r="O10" s="13"/>
      <c r="P10" s="13"/>
      <c r="Q10" s="13" t="s">
        <v>150</v>
      </c>
      <c r="R10" t="s">
        <v>167</v>
      </c>
    </row>
    <row r="11" spans="2:18" ht="18">
      <c r="B11" s="10"/>
      <c r="C11" s="30"/>
      <c r="D11" s="20"/>
      <c r="E11" s="21" t="s">
        <v>4</v>
      </c>
      <c r="F11" s="20">
        <f>N13*F9</f>
        <v>70.720332299999995</v>
      </c>
      <c r="G11" s="21" t="s">
        <v>45</v>
      </c>
      <c r="H11" s="20">
        <f>N16*F9</f>
        <v>16.193730000000002</v>
      </c>
      <c r="I11" s="20"/>
      <c r="J11" s="20"/>
      <c r="K11" s="10"/>
      <c r="L11" s="14" t="s">
        <v>66</v>
      </c>
      <c r="M11" s="14"/>
      <c r="N11" s="14"/>
      <c r="O11" s="14"/>
      <c r="P11" s="14"/>
      <c r="Q11" s="14"/>
    </row>
    <row r="12" spans="2:18">
      <c r="B12" s="10"/>
      <c r="C12" s="30"/>
      <c r="D12" s="20"/>
      <c r="E12" s="21" t="s">
        <v>149</v>
      </c>
      <c r="F12" s="20">
        <f>O13*F9</f>
        <v>13.880339999999999</v>
      </c>
      <c r="G12" s="21" t="s">
        <v>46</v>
      </c>
      <c r="H12" s="20">
        <f>O16*F9</f>
        <v>1.233808</v>
      </c>
      <c r="I12" s="20"/>
      <c r="J12" s="20"/>
      <c r="K12" s="10"/>
      <c r="L12" s="3" t="s">
        <v>48</v>
      </c>
      <c r="M12" s="4" t="s">
        <v>68</v>
      </c>
      <c r="N12" s="4" t="s">
        <v>69</v>
      </c>
      <c r="O12" s="6" t="s">
        <v>64</v>
      </c>
      <c r="P12" s="10"/>
      <c r="Q12" s="10"/>
    </row>
    <row r="13" spans="2:18">
      <c r="B13" s="10"/>
      <c r="C13" s="30"/>
      <c r="D13" s="20"/>
      <c r="E13" s="21"/>
      <c r="F13" s="20"/>
      <c r="G13" s="21"/>
      <c r="H13" s="20"/>
      <c r="I13" s="20"/>
      <c r="J13" s="20"/>
      <c r="K13" s="10"/>
      <c r="L13" s="10">
        <v>1</v>
      </c>
      <c r="M13" s="5">
        <f>1.4965*L13</f>
        <v>1.4964999999999999</v>
      </c>
      <c r="N13" s="5">
        <f>0.09171*L13</f>
        <v>9.171E-2</v>
      </c>
      <c r="O13" s="7">
        <f>0.018*L13</f>
        <v>1.7999999999999999E-2</v>
      </c>
      <c r="P13" s="35"/>
      <c r="Q13" s="10"/>
    </row>
    <row r="14" spans="2:18" ht="18">
      <c r="B14" s="10"/>
      <c r="C14" s="30"/>
      <c r="D14" s="20"/>
      <c r="E14" s="29" t="s">
        <v>127</v>
      </c>
      <c r="F14" s="22">
        <f>SUM(F9:F13)</f>
        <v>2009.7267172999998</v>
      </c>
      <c r="G14" s="29" t="s">
        <v>127</v>
      </c>
      <c r="H14" s="22">
        <f>SUM(H9:H13)</f>
        <v>1846.5478979999998</v>
      </c>
      <c r="I14" s="20"/>
      <c r="J14" s="20"/>
      <c r="K14" s="10"/>
      <c r="L14" s="14" t="s">
        <v>67</v>
      </c>
      <c r="M14" s="14"/>
      <c r="N14" s="14"/>
      <c r="O14" s="14"/>
      <c r="P14" s="14"/>
      <c r="Q14" s="14"/>
    </row>
    <row r="15" spans="2:18">
      <c r="B15" s="10"/>
      <c r="C15" s="30"/>
      <c r="D15" s="20"/>
      <c r="E15" s="21"/>
      <c r="F15" s="20"/>
      <c r="G15" s="21"/>
      <c r="H15" s="20"/>
      <c r="I15" s="20"/>
      <c r="J15" s="20"/>
      <c r="K15" s="10"/>
      <c r="L15" s="3" t="s">
        <v>52</v>
      </c>
      <c r="M15" s="3" t="s">
        <v>53</v>
      </c>
      <c r="N15" s="3" t="s">
        <v>54</v>
      </c>
      <c r="O15" s="3" t="s">
        <v>55</v>
      </c>
      <c r="P15" s="3" t="s">
        <v>174</v>
      </c>
      <c r="Q15" s="3" t="s">
        <v>51</v>
      </c>
    </row>
    <row r="16" spans="2:18" ht="28.8">
      <c r="B16" s="32">
        <f>1-B9</f>
        <v>0.22887000000000002</v>
      </c>
      <c r="C16" s="31">
        <v>2</v>
      </c>
      <c r="D16" s="27" t="s">
        <v>70</v>
      </c>
      <c r="E16" s="21" t="s">
        <v>42</v>
      </c>
      <c r="F16" s="20">
        <f>H5</f>
        <v>228.87</v>
      </c>
      <c r="G16" s="21" t="s">
        <v>5</v>
      </c>
      <c r="H16" s="20">
        <f>L24*F16</f>
        <v>481.77134999999998</v>
      </c>
      <c r="I16" s="20">
        <f>Q24*F16</f>
        <v>3879.57537</v>
      </c>
      <c r="J16" s="20">
        <f>P24*F16</f>
        <v>29.066490000000002</v>
      </c>
      <c r="K16" s="10"/>
      <c r="L16" s="10">
        <f>1.897*L13</f>
        <v>1.897</v>
      </c>
      <c r="M16" s="10">
        <f>0.475*L13</f>
        <v>0.47499999999999998</v>
      </c>
      <c r="N16" s="10">
        <f>0.021*L13</f>
        <v>2.1000000000000001E-2</v>
      </c>
      <c r="O16" s="10">
        <f>0.0016*L13</f>
        <v>1.6000000000000001E-3</v>
      </c>
      <c r="P16" s="10">
        <f>0.127*L13</f>
        <v>0.127</v>
      </c>
      <c r="Q16" s="10">
        <f>15.751*L13</f>
        <v>15.750999999999999</v>
      </c>
    </row>
    <row r="17" spans="2:18">
      <c r="B17" s="10"/>
      <c r="C17" s="30"/>
      <c r="D17" s="20"/>
      <c r="E17" s="21" t="s">
        <v>3</v>
      </c>
      <c r="F17" s="20">
        <f>M21*F16</f>
        <v>342.50395500000002</v>
      </c>
      <c r="G17" s="21" t="s">
        <v>101</v>
      </c>
      <c r="H17" s="20">
        <f>M24*F16</f>
        <v>117.86805000000001</v>
      </c>
      <c r="I17" s="20"/>
      <c r="J17" s="20"/>
      <c r="K17" s="10"/>
      <c r="L17" s="10"/>
      <c r="M17" s="10"/>
      <c r="N17" s="10"/>
      <c r="O17" s="10"/>
      <c r="P17" s="10"/>
      <c r="Q17" s="10"/>
    </row>
    <row r="18" spans="2:18" ht="18">
      <c r="B18" s="10"/>
      <c r="C18" s="30"/>
      <c r="D18" s="20"/>
      <c r="E18" s="21" t="s">
        <v>4</v>
      </c>
      <c r="F18" s="20">
        <f>N21*F16</f>
        <v>20.989667700000002</v>
      </c>
      <c r="G18" s="21" t="s">
        <v>45</v>
      </c>
      <c r="H18" s="20">
        <f>N24*F16</f>
        <v>4.737609</v>
      </c>
      <c r="I18" s="20"/>
      <c r="J18" s="20"/>
      <c r="K18" s="10"/>
      <c r="L18" s="13" t="s">
        <v>152</v>
      </c>
      <c r="M18" s="13"/>
      <c r="N18" s="13"/>
      <c r="O18" s="13"/>
      <c r="P18" s="13"/>
      <c r="Q18" s="13" t="s">
        <v>150</v>
      </c>
      <c r="R18" t="s">
        <v>168</v>
      </c>
    </row>
    <row r="19" spans="2:18" ht="18">
      <c r="B19" s="10"/>
      <c r="C19" s="30"/>
      <c r="D19" s="20"/>
      <c r="E19" s="21" t="s">
        <v>149</v>
      </c>
      <c r="F19" s="20">
        <f>O21*F16</f>
        <v>4.1196599999999997</v>
      </c>
      <c r="G19" s="21" t="s">
        <v>46</v>
      </c>
      <c r="H19" s="20">
        <f>O24*F16</f>
        <v>0.36619200000000002</v>
      </c>
      <c r="I19" s="20"/>
      <c r="J19" s="20"/>
      <c r="K19" s="10"/>
      <c r="L19" s="14" t="s">
        <v>66</v>
      </c>
      <c r="M19" s="14"/>
      <c r="N19" s="14"/>
      <c r="O19" s="14"/>
      <c r="P19" s="14"/>
      <c r="Q19" s="14"/>
    </row>
    <row r="20" spans="2:18">
      <c r="B20" s="10"/>
      <c r="C20" s="30"/>
      <c r="D20" s="20"/>
      <c r="E20" s="21"/>
      <c r="F20" s="20"/>
      <c r="G20" s="21"/>
      <c r="H20" s="20"/>
      <c r="I20" s="20"/>
      <c r="J20" s="20"/>
      <c r="K20" s="10"/>
      <c r="L20" s="3" t="s">
        <v>48</v>
      </c>
      <c r="M20" s="4" t="s">
        <v>68</v>
      </c>
      <c r="N20" s="4" t="s">
        <v>69</v>
      </c>
      <c r="O20" s="6" t="s">
        <v>64</v>
      </c>
      <c r="P20" s="10"/>
      <c r="Q20" s="10"/>
    </row>
    <row r="21" spans="2:18">
      <c r="B21" s="10"/>
      <c r="C21" s="30"/>
      <c r="D21" s="20"/>
      <c r="E21" s="29" t="s">
        <v>127</v>
      </c>
      <c r="F21" s="22">
        <f>SUM(F16:F20)</f>
        <v>596.48328270000002</v>
      </c>
      <c r="G21" s="29" t="s">
        <v>127</v>
      </c>
      <c r="H21" s="22">
        <f>SUM(H16:H20)</f>
        <v>604.743201</v>
      </c>
      <c r="I21" s="20"/>
      <c r="J21" s="20"/>
      <c r="K21" s="10"/>
      <c r="L21" s="10">
        <v>1</v>
      </c>
      <c r="M21" s="5">
        <f>1.4965*L21</f>
        <v>1.4964999999999999</v>
      </c>
      <c r="N21" s="5">
        <f>0.09171*L21</f>
        <v>9.171E-2</v>
      </c>
      <c r="O21" s="36">
        <f>0.018*L21</f>
        <v>1.7999999999999999E-2</v>
      </c>
      <c r="P21" s="10"/>
      <c r="Q21" s="10"/>
    </row>
    <row r="22" spans="2:18" ht="18">
      <c r="B22" s="10"/>
      <c r="C22" s="30"/>
      <c r="D22" s="20"/>
      <c r="E22" s="21"/>
      <c r="F22" s="20"/>
      <c r="G22" s="21"/>
      <c r="H22" s="20"/>
      <c r="I22" s="20"/>
      <c r="J22" s="20"/>
      <c r="K22" s="10"/>
      <c r="L22" s="14" t="s">
        <v>67</v>
      </c>
      <c r="M22" s="14"/>
      <c r="N22" s="14"/>
      <c r="O22" s="14"/>
      <c r="P22" s="14"/>
      <c r="Q22" s="14"/>
    </row>
    <row r="23" spans="2:18">
      <c r="B23" s="10"/>
      <c r="C23" s="31">
        <v>3</v>
      </c>
      <c r="D23" s="25" t="s">
        <v>71</v>
      </c>
      <c r="E23" s="21" t="s">
        <v>5</v>
      </c>
      <c r="F23" s="20">
        <f>H16+H9+H53+H58+H64</f>
        <v>1957.7122249642857</v>
      </c>
      <c r="G23" s="21" t="s">
        <v>39</v>
      </c>
      <c r="H23" s="20">
        <f>L32*F23</f>
        <v>2995.2997041953572</v>
      </c>
      <c r="I23" s="20"/>
      <c r="J23" s="20">
        <f>M32*F23</f>
        <v>1008.2217958566072</v>
      </c>
      <c r="K23" s="10"/>
      <c r="L23" s="3" t="s">
        <v>52</v>
      </c>
      <c r="M23" s="3" t="s">
        <v>53</v>
      </c>
      <c r="N23" s="3" t="s">
        <v>54</v>
      </c>
      <c r="O23" s="3" t="s">
        <v>55</v>
      </c>
      <c r="P23" s="3" t="s">
        <v>174</v>
      </c>
      <c r="Q23" s="3" t="s">
        <v>51</v>
      </c>
    </row>
    <row r="24" spans="2:18">
      <c r="B24" s="10"/>
      <c r="C24" s="30"/>
      <c r="D24" s="20"/>
      <c r="E24" s="21" t="s">
        <v>102</v>
      </c>
      <c r="F24" s="20">
        <f>M29*F23</f>
        <v>1037.5874792310715</v>
      </c>
      <c r="G24" s="21"/>
      <c r="H24" s="20"/>
      <c r="I24" s="20"/>
      <c r="J24" s="20"/>
      <c r="K24" s="10"/>
      <c r="L24" s="10">
        <f>2.105*L21</f>
        <v>2.105</v>
      </c>
      <c r="M24" s="10">
        <f>0.515*L21</f>
        <v>0.51500000000000001</v>
      </c>
      <c r="N24" s="10">
        <f>0.0207*L21</f>
        <v>2.07E-2</v>
      </c>
      <c r="O24" s="10">
        <f>0.0016*L21</f>
        <v>1.6000000000000001E-3</v>
      </c>
      <c r="P24" s="10">
        <f>0.127*L21</f>
        <v>0.127</v>
      </c>
      <c r="Q24" s="10">
        <f>16.951*L21</f>
        <v>16.951000000000001</v>
      </c>
    </row>
    <row r="25" spans="2:18">
      <c r="B25" s="10"/>
      <c r="C25" s="30"/>
      <c r="D25" s="20"/>
      <c r="E25" s="21"/>
      <c r="F25" s="20"/>
      <c r="G25" s="21"/>
      <c r="H25" s="20"/>
      <c r="I25" s="20"/>
      <c r="J25" s="20"/>
      <c r="K25" s="10"/>
      <c r="L25" s="10"/>
      <c r="M25" s="10"/>
      <c r="N25" s="10"/>
      <c r="O25" s="10"/>
      <c r="P25" s="10"/>
      <c r="Q25" s="10"/>
    </row>
    <row r="26" spans="2:18" ht="18">
      <c r="B26" s="10"/>
      <c r="C26" s="30"/>
      <c r="D26" s="20"/>
      <c r="E26" s="29" t="s">
        <v>127</v>
      </c>
      <c r="F26" s="22">
        <f>SUM(F23:F25)</f>
        <v>2995.2997041953572</v>
      </c>
      <c r="G26" s="29" t="s">
        <v>127</v>
      </c>
      <c r="H26" s="22">
        <f>SUM(H23:H25)</f>
        <v>2995.2997041953572</v>
      </c>
      <c r="I26" s="20"/>
      <c r="J26" s="20"/>
      <c r="K26" s="10"/>
      <c r="L26" s="13" t="s">
        <v>71</v>
      </c>
      <c r="M26" s="13"/>
      <c r="N26" s="13"/>
      <c r="O26" s="13"/>
      <c r="P26" s="13"/>
      <c r="Q26" s="13">
        <v>1</v>
      </c>
      <c r="R26" t="s">
        <v>154</v>
      </c>
    </row>
    <row r="27" spans="2:18" ht="18">
      <c r="B27" s="10"/>
      <c r="C27" s="30"/>
      <c r="D27" s="20"/>
      <c r="E27" s="21"/>
      <c r="F27" s="20"/>
      <c r="G27" s="21"/>
      <c r="H27" s="20"/>
      <c r="I27" s="20"/>
      <c r="J27" s="20"/>
      <c r="K27" s="10"/>
      <c r="L27" s="14" t="s">
        <v>66</v>
      </c>
      <c r="M27" s="14"/>
      <c r="N27" s="14"/>
      <c r="O27" s="14"/>
      <c r="P27" s="14"/>
      <c r="Q27" s="14"/>
    </row>
    <row r="28" spans="2:18">
      <c r="B28" s="10"/>
      <c r="C28" s="31">
        <v>4</v>
      </c>
      <c r="D28" s="25" t="s">
        <v>73</v>
      </c>
      <c r="E28" s="21" t="s">
        <v>39</v>
      </c>
      <c r="F28" s="20">
        <f>H23</f>
        <v>2995.2997041953572</v>
      </c>
      <c r="G28" s="21" t="s">
        <v>40</v>
      </c>
      <c r="H28" s="20">
        <f>L40*F28</f>
        <v>4531.3508345519504</v>
      </c>
      <c r="I28" s="20"/>
      <c r="J28" s="20"/>
      <c r="K28" s="10"/>
      <c r="L28" s="3" t="s">
        <v>52</v>
      </c>
      <c r="M28" s="4" t="s">
        <v>72</v>
      </c>
      <c r="N28" s="10"/>
      <c r="O28" s="10"/>
      <c r="P28" s="10"/>
      <c r="Q28" s="10"/>
    </row>
    <row r="29" spans="2:18">
      <c r="B29" s="10"/>
      <c r="C29" s="30"/>
      <c r="D29" s="20"/>
      <c r="E29" s="21" t="s">
        <v>103</v>
      </c>
      <c r="F29" s="20">
        <f>M37*F28</f>
        <v>1536.0511303565934</v>
      </c>
      <c r="G29" s="21"/>
      <c r="H29" s="20"/>
      <c r="I29" s="20"/>
      <c r="J29" s="20"/>
      <c r="K29" s="10"/>
      <c r="L29" s="10">
        <v>1</v>
      </c>
      <c r="M29" s="5">
        <f>0.53*L29</f>
        <v>0.53</v>
      </c>
      <c r="N29" s="10"/>
      <c r="O29" s="35"/>
      <c r="P29" s="10"/>
      <c r="Q29" s="10"/>
    </row>
    <row r="30" spans="2:18" ht="18">
      <c r="B30" s="10"/>
      <c r="C30" s="30"/>
      <c r="D30" s="20"/>
      <c r="E30" s="21"/>
      <c r="F30" s="20"/>
      <c r="G30" s="21"/>
      <c r="H30" s="20"/>
      <c r="I30" s="20"/>
      <c r="J30" s="20"/>
      <c r="K30" s="10"/>
      <c r="L30" s="14" t="s">
        <v>67</v>
      </c>
      <c r="M30" s="14"/>
      <c r="N30" s="14"/>
      <c r="O30" s="14"/>
      <c r="P30" s="14"/>
      <c r="Q30" s="14"/>
    </row>
    <row r="31" spans="2:18">
      <c r="B31" s="10"/>
      <c r="C31" s="30"/>
      <c r="D31" s="20"/>
      <c r="E31" s="29" t="s">
        <v>127</v>
      </c>
      <c r="F31" s="22">
        <f>SUM(F28:F30)</f>
        <v>4531.3508345519504</v>
      </c>
      <c r="G31" s="29" t="s">
        <v>127</v>
      </c>
      <c r="H31" s="22">
        <f>SUM(H28:H30)</f>
        <v>4531.3508345519504</v>
      </c>
      <c r="I31" s="20"/>
      <c r="J31" s="20"/>
      <c r="K31" s="10"/>
      <c r="L31" s="3" t="s">
        <v>56</v>
      </c>
      <c r="M31" s="3" t="s">
        <v>50</v>
      </c>
      <c r="N31" s="10"/>
      <c r="O31" s="10"/>
      <c r="P31" s="10"/>
      <c r="Q31" s="10"/>
    </row>
    <row r="32" spans="2:18">
      <c r="B32" s="10"/>
      <c r="C32" s="30"/>
      <c r="D32" s="20"/>
      <c r="E32" s="21"/>
      <c r="F32" s="20"/>
      <c r="G32" s="21"/>
      <c r="H32" s="20"/>
      <c r="I32" s="20"/>
      <c r="J32" s="20"/>
      <c r="K32" s="10"/>
      <c r="L32" s="10">
        <f>1.53*L29</f>
        <v>1.53</v>
      </c>
      <c r="M32" s="10">
        <f>0.515*L29</f>
        <v>0.51500000000000001</v>
      </c>
      <c r="N32" s="10"/>
      <c r="O32" s="10"/>
      <c r="P32" s="10"/>
      <c r="Q32" s="10"/>
    </row>
    <row r="33" spans="2:18">
      <c r="B33" s="34">
        <v>0.5</v>
      </c>
      <c r="C33" s="31" t="s">
        <v>120</v>
      </c>
      <c r="D33" s="27" t="s">
        <v>104</v>
      </c>
      <c r="E33" s="21" t="s">
        <v>40</v>
      </c>
      <c r="F33" s="20">
        <f>H28*B33</f>
        <v>2265.6754172759752</v>
      </c>
      <c r="G33" s="21" t="s">
        <v>105</v>
      </c>
      <c r="H33" s="20">
        <f>L48*F33</f>
        <v>2155.1546652137322</v>
      </c>
      <c r="I33" s="20"/>
      <c r="J33" s="20">
        <f>N48*F23</f>
        <v>16914.633623691429</v>
      </c>
      <c r="K33" s="10"/>
      <c r="L33" s="10"/>
      <c r="M33" s="10"/>
      <c r="N33" s="10"/>
      <c r="O33" s="10"/>
      <c r="P33" s="10"/>
      <c r="Q33" s="10"/>
    </row>
    <row r="34" spans="2:18" ht="18">
      <c r="B34" s="10"/>
      <c r="C34" s="30"/>
      <c r="D34" s="20"/>
      <c r="E34" s="21" t="s">
        <v>102</v>
      </c>
      <c r="F34" s="20">
        <f>M45*F33</f>
        <v>994.68676856018419</v>
      </c>
      <c r="G34" s="21" t="s">
        <v>103</v>
      </c>
      <c r="H34" s="20">
        <f>M48*F33</f>
        <v>1105.207520622427</v>
      </c>
      <c r="I34" s="20"/>
      <c r="J34" s="20"/>
      <c r="K34" s="10"/>
      <c r="L34" s="13" t="s">
        <v>73</v>
      </c>
      <c r="M34" s="13"/>
      <c r="N34" s="13"/>
      <c r="O34" s="13"/>
      <c r="P34" s="13"/>
      <c r="Q34" s="13">
        <v>1</v>
      </c>
    </row>
    <row r="35" spans="2:18" ht="18">
      <c r="B35" s="10"/>
      <c r="C35" s="30"/>
      <c r="D35" s="20"/>
      <c r="E35" s="21"/>
      <c r="F35" s="20"/>
      <c r="G35" s="21"/>
      <c r="H35" s="20"/>
      <c r="I35" s="20"/>
      <c r="J35" s="20"/>
      <c r="K35" s="10"/>
      <c r="L35" s="14" t="s">
        <v>66</v>
      </c>
      <c r="M35" s="14"/>
      <c r="N35" s="14"/>
      <c r="O35" s="14"/>
      <c r="P35" s="14"/>
      <c r="Q35" s="14"/>
    </row>
    <row r="36" spans="2:18">
      <c r="B36" s="10"/>
      <c r="C36" s="30"/>
      <c r="D36" s="20"/>
      <c r="E36" s="29" t="s">
        <v>127</v>
      </c>
      <c r="F36" s="22">
        <f>SUM(F33:F35)</f>
        <v>3260.3621858361594</v>
      </c>
      <c r="G36" s="29" t="s">
        <v>127</v>
      </c>
      <c r="H36" s="22">
        <f>SUM(H33:H35)</f>
        <v>3260.3621858361594</v>
      </c>
      <c r="I36" s="20"/>
      <c r="J36" s="20"/>
      <c r="K36" s="10"/>
      <c r="L36" s="3" t="s">
        <v>56</v>
      </c>
      <c r="M36" s="4" t="s">
        <v>57</v>
      </c>
      <c r="N36" s="10"/>
      <c r="O36" s="10"/>
      <c r="P36" s="10"/>
      <c r="Q36" s="10"/>
    </row>
    <row r="37" spans="2:18">
      <c r="B37" s="10"/>
      <c r="C37" s="30"/>
      <c r="D37" s="20"/>
      <c r="E37" s="21"/>
      <c r="F37" s="20"/>
      <c r="G37" s="21"/>
      <c r="H37" s="20"/>
      <c r="I37" s="20"/>
      <c r="J37" s="20"/>
      <c r="K37" s="10"/>
      <c r="L37" s="10">
        <v>1</v>
      </c>
      <c r="M37" s="5">
        <f>(20/39)*L37</f>
        <v>0.51282051282051277</v>
      </c>
      <c r="N37" s="10"/>
      <c r="O37" s="35"/>
      <c r="P37" s="10"/>
      <c r="Q37" s="10"/>
    </row>
    <row r="38" spans="2:18" ht="29.4">
      <c r="B38" s="32">
        <f>1-B33</f>
        <v>0.5</v>
      </c>
      <c r="C38" s="31" t="s">
        <v>121</v>
      </c>
      <c r="D38" s="27" t="s">
        <v>106</v>
      </c>
      <c r="E38" s="21" t="s">
        <v>40</v>
      </c>
      <c r="F38" s="20">
        <f>H28*B38</f>
        <v>2265.6754172759752</v>
      </c>
      <c r="G38" s="21" t="s">
        <v>107</v>
      </c>
      <c r="H38" s="20">
        <f>L56*F38</f>
        <v>1657.8112809336403</v>
      </c>
      <c r="I38" s="20"/>
      <c r="J38" s="20">
        <f>N56*F23</f>
        <v>16914.633623691429</v>
      </c>
      <c r="K38" s="10"/>
      <c r="L38" s="14" t="s">
        <v>67</v>
      </c>
      <c r="M38" s="14"/>
      <c r="N38" s="14"/>
      <c r="O38" s="14"/>
      <c r="P38" s="14"/>
      <c r="Q38" s="14"/>
    </row>
    <row r="39" spans="2:18">
      <c r="B39" s="10"/>
      <c r="C39" s="30"/>
      <c r="D39" s="20"/>
      <c r="E39" s="21" t="s">
        <v>102</v>
      </c>
      <c r="F39" s="20">
        <f>M53*F38</f>
        <v>497.3433842800921</v>
      </c>
      <c r="G39" s="21" t="s">
        <v>103</v>
      </c>
      <c r="H39" s="20">
        <f>M56*F38</f>
        <v>1105.207520622427</v>
      </c>
      <c r="I39" s="20"/>
      <c r="J39" s="20"/>
      <c r="K39" s="10"/>
      <c r="L39" s="3" t="s">
        <v>74</v>
      </c>
      <c r="M39" s="10"/>
      <c r="N39" s="10"/>
      <c r="O39" s="10"/>
      <c r="P39" s="10"/>
      <c r="Q39" s="10"/>
    </row>
    <row r="40" spans="2:18">
      <c r="B40" s="10"/>
      <c r="C40" s="30"/>
      <c r="D40" s="20"/>
      <c r="E40" s="21"/>
      <c r="F40" s="20"/>
      <c r="G40" s="21"/>
      <c r="H40" s="20"/>
      <c r="I40" s="20"/>
      <c r="J40" s="20"/>
      <c r="K40" s="10"/>
      <c r="L40" s="10">
        <f>(59/39)*L37</f>
        <v>1.5128205128205128</v>
      </c>
      <c r="M40" s="10"/>
      <c r="N40" s="10"/>
      <c r="O40" s="10"/>
      <c r="P40" s="10"/>
      <c r="Q40" s="10"/>
    </row>
    <row r="41" spans="2:18">
      <c r="B41" s="10"/>
      <c r="C41" s="30"/>
      <c r="D41" s="20"/>
      <c r="E41" s="29" t="s">
        <v>127</v>
      </c>
      <c r="F41" s="22">
        <f>SUM(F38:F40)</f>
        <v>2763.018801556067</v>
      </c>
      <c r="G41" s="29" t="s">
        <v>127</v>
      </c>
      <c r="H41" s="22">
        <f>SUM(H38:H40)</f>
        <v>2763.018801556067</v>
      </c>
      <c r="I41" s="20"/>
      <c r="J41" s="20"/>
      <c r="K41" s="10"/>
      <c r="L41" s="10"/>
      <c r="M41" s="10"/>
      <c r="N41" s="10"/>
      <c r="O41" s="10"/>
      <c r="P41" s="10"/>
      <c r="Q41" s="10"/>
    </row>
    <row r="42" spans="2:18" ht="18">
      <c r="B42" s="10"/>
      <c r="C42" s="30"/>
      <c r="D42" s="20"/>
      <c r="E42" s="21"/>
      <c r="F42" s="20"/>
      <c r="G42" s="21"/>
      <c r="H42" s="20"/>
      <c r="I42" s="20"/>
      <c r="J42" s="20"/>
      <c r="K42" s="10"/>
      <c r="L42" s="13" t="s">
        <v>104</v>
      </c>
      <c r="M42" s="13"/>
      <c r="N42" s="13"/>
      <c r="O42" s="13"/>
      <c r="P42" s="13"/>
      <c r="Q42" s="13">
        <v>2</v>
      </c>
      <c r="R42" t="s">
        <v>155</v>
      </c>
    </row>
    <row r="43" spans="2:18" ht="43.8">
      <c r="B43" s="10"/>
      <c r="C43" s="31" t="s">
        <v>122</v>
      </c>
      <c r="D43" s="28" t="s">
        <v>90</v>
      </c>
      <c r="E43" s="21" t="s">
        <v>108</v>
      </c>
      <c r="F43" s="20">
        <f>H33</f>
        <v>2155.1546652137322</v>
      </c>
      <c r="G43" s="21" t="s">
        <v>118</v>
      </c>
      <c r="H43" s="20">
        <f>(0.65/K43)*F43</f>
        <v>2155.1546652137322</v>
      </c>
      <c r="I43" s="20"/>
      <c r="J43" s="20"/>
      <c r="K43" s="41">
        <v>0.65</v>
      </c>
      <c r="L43" s="14" t="s">
        <v>66</v>
      </c>
      <c r="M43" s="14"/>
      <c r="N43" s="14"/>
      <c r="O43" s="14"/>
      <c r="P43" s="14"/>
      <c r="Q43" s="14"/>
    </row>
    <row r="44" spans="2:18">
      <c r="B44" s="10"/>
      <c r="C44" s="30"/>
      <c r="D44" s="20"/>
      <c r="E44" s="21" t="s">
        <v>117</v>
      </c>
      <c r="F44" s="20">
        <f>H43-F43</f>
        <v>0</v>
      </c>
      <c r="G44" s="21"/>
      <c r="H44" s="20"/>
      <c r="I44" s="20"/>
      <c r="J44" s="20"/>
      <c r="K44" s="10"/>
      <c r="L44" s="3" t="s">
        <v>74</v>
      </c>
      <c r="M44" s="4" t="s">
        <v>72</v>
      </c>
      <c r="N44" s="10"/>
      <c r="O44" s="10"/>
      <c r="P44" s="10"/>
      <c r="Q44" s="10"/>
    </row>
    <row r="45" spans="2:18">
      <c r="B45" s="10"/>
      <c r="C45" s="30"/>
      <c r="D45" s="20"/>
      <c r="E45" s="21"/>
      <c r="F45" s="20"/>
      <c r="G45" s="21"/>
      <c r="H45" s="20"/>
      <c r="I45" s="20"/>
      <c r="J45" s="20"/>
      <c r="K45" s="10"/>
      <c r="L45" s="10">
        <v>1</v>
      </c>
      <c r="M45" s="5">
        <f>(18/41)*L45</f>
        <v>0.43902439024390244</v>
      </c>
      <c r="N45" s="10"/>
      <c r="O45" s="35"/>
      <c r="P45" s="10"/>
      <c r="Q45" s="10"/>
    </row>
    <row r="46" spans="2:18" ht="18">
      <c r="B46" s="10"/>
      <c r="C46" s="30"/>
      <c r="D46" s="20"/>
      <c r="E46" s="29" t="s">
        <v>127</v>
      </c>
      <c r="F46" s="22">
        <f>SUM(F43:F45)</f>
        <v>2155.1546652137322</v>
      </c>
      <c r="G46" s="29" t="s">
        <v>127</v>
      </c>
      <c r="H46" s="22">
        <f>SUM(H43:H45)</f>
        <v>2155.1546652137322</v>
      </c>
      <c r="I46" s="20"/>
      <c r="J46" s="20"/>
      <c r="K46" s="10"/>
      <c r="L46" s="14" t="s">
        <v>67</v>
      </c>
      <c r="M46" s="14"/>
      <c r="N46" s="14"/>
      <c r="O46" s="14"/>
      <c r="P46" s="14"/>
      <c r="Q46" s="14"/>
    </row>
    <row r="47" spans="2:18">
      <c r="B47" s="10"/>
      <c r="C47" s="30"/>
      <c r="D47" s="20"/>
      <c r="E47" s="21"/>
      <c r="F47" s="20"/>
      <c r="G47" s="21"/>
      <c r="H47" s="20"/>
      <c r="I47" s="20"/>
      <c r="J47" s="20"/>
      <c r="K47" s="10"/>
      <c r="L47" s="3" t="s">
        <v>78</v>
      </c>
      <c r="M47" s="4" t="s">
        <v>57</v>
      </c>
      <c r="N47" s="19" t="s">
        <v>50</v>
      </c>
      <c r="O47" s="10"/>
      <c r="P47" s="10"/>
      <c r="Q47" s="10"/>
    </row>
    <row r="48" spans="2:18" ht="43.2">
      <c r="B48" s="10"/>
      <c r="C48" s="31" t="s">
        <v>123</v>
      </c>
      <c r="D48" s="28" t="s">
        <v>90</v>
      </c>
      <c r="E48" s="21" t="s">
        <v>108</v>
      </c>
      <c r="F48" s="20">
        <f>H38</f>
        <v>1657.8112809336403</v>
      </c>
      <c r="G48" s="21" t="s">
        <v>119</v>
      </c>
      <c r="H48" s="20">
        <f>(0.85/K48)*F48</f>
        <v>1657.8112809336403</v>
      </c>
      <c r="I48" s="20"/>
      <c r="J48" s="20"/>
      <c r="K48" s="41">
        <v>0.85</v>
      </c>
      <c r="L48" s="10">
        <f>(39/41)*L45</f>
        <v>0.95121951219512191</v>
      </c>
      <c r="M48" s="5">
        <f>(20/41)*L45</f>
        <v>0.48780487804878048</v>
      </c>
      <c r="N48" s="10">
        <f>8.64*L45</f>
        <v>8.64</v>
      </c>
      <c r="O48" s="10"/>
      <c r="P48" s="10"/>
      <c r="Q48" s="10"/>
    </row>
    <row r="49" spans="2:17">
      <c r="B49" s="10"/>
      <c r="C49" s="30"/>
      <c r="D49" s="20"/>
      <c r="E49" s="21" t="s">
        <v>117</v>
      </c>
      <c r="F49" s="20">
        <f>H48-F48</f>
        <v>0</v>
      </c>
      <c r="G49" s="21"/>
      <c r="H49" s="20"/>
      <c r="I49" s="20"/>
      <c r="J49" s="20"/>
      <c r="K49" s="10"/>
      <c r="L49" s="10"/>
      <c r="M49" s="10"/>
      <c r="N49" s="10"/>
      <c r="O49" s="10"/>
      <c r="P49" s="10"/>
      <c r="Q49" s="10"/>
    </row>
    <row r="50" spans="2:17" ht="18">
      <c r="B50" s="10"/>
      <c r="C50" s="30"/>
      <c r="D50" s="20"/>
      <c r="E50" s="21"/>
      <c r="F50" s="20"/>
      <c r="G50" s="21"/>
      <c r="H50" s="20"/>
      <c r="I50" s="20"/>
      <c r="J50" s="20"/>
      <c r="K50" s="10"/>
      <c r="L50" s="13" t="s">
        <v>106</v>
      </c>
      <c r="M50" s="13"/>
      <c r="N50" s="13"/>
      <c r="O50" s="13"/>
      <c r="P50" s="13"/>
      <c r="Q50" s="13">
        <v>2</v>
      </c>
    </row>
    <row r="51" spans="2:17" ht="18">
      <c r="B51" s="10"/>
      <c r="C51" s="30"/>
      <c r="D51" s="20"/>
      <c r="E51" s="29" t="s">
        <v>127</v>
      </c>
      <c r="F51" s="22">
        <f>SUM(F48:F50)</f>
        <v>1657.8112809336403</v>
      </c>
      <c r="G51" s="29" t="s">
        <v>127</v>
      </c>
      <c r="H51" s="22">
        <f>SUM(H48:H50)</f>
        <v>1657.8112809336403</v>
      </c>
      <c r="I51" s="20"/>
      <c r="J51" s="20"/>
      <c r="K51" s="10"/>
      <c r="L51" s="14" t="s">
        <v>66</v>
      </c>
      <c r="M51" s="14"/>
      <c r="N51" s="14"/>
      <c r="O51" s="14"/>
      <c r="P51" s="14"/>
      <c r="Q51" s="14"/>
    </row>
    <row r="52" spans="2:17">
      <c r="B52" s="10"/>
      <c r="C52" s="30"/>
      <c r="D52" s="20"/>
      <c r="E52" s="21"/>
      <c r="F52" s="20"/>
      <c r="G52" s="21"/>
      <c r="H52" s="20"/>
      <c r="I52" s="20"/>
      <c r="J52" s="20"/>
      <c r="K52" s="10"/>
      <c r="L52" s="3" t="s">
        <v>74</v>
      </c>
      <c r="M52" s="4" t="s">
        <v>72</v>
      </c>
      <c r="N52" s="10"/>
      <c r="O52" s="10"/>
      <c r="P52" s="10"/>
      <c r="Q52" s="10"/>
    </row>
    <row r="53" spans="2:17">
      <c r="B53" s="10"/>
      <c r="C53" s="31">
        <v>7</v>
      </c>
      <c r="D53" s="25" t="s">
        <v>109</v>
      </c>
      <c r="E53" s="21" t="s">
        <v>45</v>
      </c>
      <c r="F53" s="20">
        <f>H18+H11</f>
        <v>20.931339000000001</v>
      </c>
      <c r="G53" s="21" t="s">
        <v>5</v>
      </c>
      <c r="H53" s="20">
        <f>L88*F53</f>
        <v>12.708312964285714</v>
      </c>
      <c r="I53" s="20">
        <f>N88*F53</f>
        <v>6.9073418700000007</v>
      </c>
      <c r="J53" s="20">
        <f>O88*F53</f>
        <v>41.862678000000002</v>
      </c>
      <c r="K53" s="10"/>
      <c r="L53" s="10">
        <v>1</v>
      </c>
      <c r="M53" s="5">
        <f>(9/41)*L53</f>
        <v>0.21951219512195122</v>
      </c>
      <c r="N53" s="10"/>
      <c r="O53" s="35"/>
      <c r="P53" s="10"/>
      <c r="Q53" s="10"/>
    </row>
    <row r="54" spans="2:17" ht="18">
      <c r="B54" s="10"/>
      <c r="C54" s="30"/>
      <c r="D54" s="20"/>
      <c r="E54" s="21" t="s">
        <v>102</v>
      </c>
      <c r="F54" s="20">
        <f>M85*F53</f>
        <v>6.7279303928571439</v>
      </c>
      <c r="G54" s="21" t="s">
        <v>110</v>
      </c>
      <c r="H54" s="20">
        <f>M88*F53</f>
        <v>14.95095642857143</v>
      </c>
      <c r="I54" s="20"/>
      <c r="J54" s="20"/>
      <c r="K54" s="10"/>
      <c r="L54" s="14" t="s">
        <v>67</v>
      </c>
      <c r="M54" s="14"/>
      <c r="N54" s="14"/>
      <c r="O54" s="14"/>
      <c r="P54" s="14"/>
      <c r="Q54" s="14"/>
    </row>
    <row r="55" spans="2:17">
      <c r="B55" s="10"/>
      <c r="C55" s="30"/>
      <c r="D55" s="20"/>
      <c r="E55" s="21"/>
      <c r="F55" s="20"/>
      <c r="G55" s="21"/>
      <c r="H55" s="20"/>
      <c r="I55" s="20"/>
      <c r="J55" s="20"/>
      <c r="K55" s="10"/>
      <c r="L55" s="3" t="s">
        <v>80</v>
      </c>
      <c r="M55" s="4" t="s">
        <v>57</v>
      </c>
      <c r="N55" s="19" t="s">
        <v>50</v>
      </c>
      <c r="O55" s="10"/>
      <c r="P55" s="10"/>
      <c r="Q55" s="10"/>
    </row>
    <row r="56" spans="2:17">
      <c r="B56" s="10"/>
      <c r="C56" s="30"/>
      <c r="D56" s="20"/>
      <c r="E56" s="29" t="s">
        <v>127</v>
      </c>
      <c r="F56" s="22">
        <f>SUM(F53:F55)</f>
        <v>27.659269392857144</v>
      </c>
      <c r="G56" s="29" t="s">
        <v>127</v>
      </c>
      <c r="H56" s="22">
        <f>SUM(H53:H55)</f>
        <v>27.659269392857144</v>
      </c>
      <c r="I56" s="20"/>
      <c r="J56" s="20"/>
      <c r="K56" s="10"/>
      <c r="L56" s="10">
        <f>(30/41)*L53</f>
        <v>0.73170731707317072</v>
      </c>
      <c r="M56" s="5">
        <f>(20/41)*L53</f>
        <v>0.48780487804878048</v>
      </c>
      <c r="N56" s="10">
        <f>8.64*L53</f>
        <v>8.64</v>
      </c>
      <c r="O56" s="10"/>
      <c r="P56" s="10"/>
      <c r="Q56" s="10"/>
    </row>
    <row r="57" spans="2:17">
      <c r="B57" s="10"/>
      <c r="C57" s="30"/>
      <c r="D57" s="20"/>
      <c r="E57" s="21"/>
      <c r="F57" s="20"/>
      <c r="G57" s="21"/>
      <c r="H57" s="20"/>
      <c r="I57" s="20"/>
      <c r="J57" s="20"/>
      <c r="K57" s="10"/>
      <c r="L57" s="10"/>
      <c r="M57" s="10"/>
      <c r="N57" s="10"/>
      <c r="O57" s="10"/>
      <c r="P57" s="10"/>
      <c r="Q57" s="10"/>
    </row>
    <row r="58" spans="2:17" ht="18">
      <c r="B58" s="40">
        <v>0.75</v>
      </c>
      <c r="C58" s="31">
        <v>8</v>
      </c>
      <c r="D58" s="25" t="s">
        <v>111</v>
      </c>
      <c r="E58" s="21" t="s">
        <v>46</v>
      </c>
      <c r="F58" s="20">
        <f>B58*(H19+H12)</f>
        <v>1.2000000000000002</v>
      </c>
      <c r="G58" s="21" t="s">
        <v>5</v>
      </c>
      <c r="H58" s="20">
        <f>L96*F58</f>
        <v>0.29760000000000003</v>
      </c>
      <c r="I58" s="20">
        <f>O96*F58</f>
        <v>0.39958800000000005</v>
      </c>
      <c r="J58" s="20">
        <f>P96*F58</f>
        <v>2.4000000000000004</v>
      </c>
      <c r="K58" s="10"/>
      <c r="L58" s="13" t="s">
        <v>161</v>
      </c>
      <c r="M58" s="13"/>
      <c r="N58" s="13"/>
      <c r="O58" s="13"/>
      <c r="P58" s="13"/>
      <c r="Q58" s="13">
        <v>2</v>
      </c>
    </row>
    <row r="59" spans="2:17" ht="18">
      <c r="B59" s="10"/>
      <c r="C59" s="30"/>
      <c r="D59" s="20"/>
      <c r="E59" s="21"/>
      <c r="F59" s="20"/>
      <c r="G59" s="21" t="s">
        <v>112</v>
      </c>
      <c r="H59" s="20">
        <f>M96*F58</f>
        <v>0.70080000000000009</v>
      </c>
      <c r="I59" s="20"/>
      <c r="J59" s="20"/>
      <c r="K59" s="10"/>
      <c r="L59" s="14" t="s">
        <v>66</v>
      </c>
      <c r="M59" s="14"/>
      <c r="N59" s="14"/>
      <c r="O59" s="14"/>
      <c r="P59" s="14"/>
      <c r="Q59" s="14"/>
    </row>
    <row r="60" spans="2:17">
      <c r="B60" s="10"/>
      <c r="C60" s="30"/>
      <c r="D60" s="20"/>
      <c r="E60" s="21"/>
      <c r="F60" s="20"/>
      <c r="G60" s="21" t="s">
        <v>103</v>
      </c>
      <c r="H60" s="20">
        <f>N96*F58</f>
        <v>0.69960000000000011</v>
      </c>
      <c r="I60" s="20"/>
      <c r="J60" s="20"/>
      <c r="K60" s="10"/>
      <c r="L60" s="3" t="s">
        <v>91</v>
      </c>
      <c r="M60" s="6" t="s">
        <v>89</v>
      </c>
      <c r="N60" s="10"/>
      <c r="O60" s="10"/>
      <c r="P60" s="10"/>
      <c r="Q60" s="10"/>
    </row>
    <row r="61" spans="2:17">
      <c r="B61" s="10"/>
      <c r="C61" s="30"/>
      <c r="D61" s="20"/>
      <c r="E61" s="21"/>
      <c r="F61" s="20"/>
      <c r="G61" s="21"/>
      <c r="H61" s="20"/>
      <c r="I61" s="20"/>
      <c r="J61" s="20"/>
      <c r="K61" s="10"/>
      <c r="L61" s="10">
        <v>1</v>
      </c>
      <c r="M61" s="7">
        <f>L64-L61</f>
        <v>0</v>
      </c>
      <c r="N61" s="10"/>
      <c r="O61" s="35"/>
      <c r="P61" s="10"/>
      <c r="Q61" s="10"/>
    </row>
    <row r="62" spans="2:17" ht="18">
      <c r="B62" s="10"/>
      <c r="C62" s="30"/>
      <c r="D62" s="20"/>
      <c r="E62" s="29" t="s">
        <v>127</v>
      </c>
      <c r="F62" s="22">
        <f>SUM(F58:F61)</f>
        <v>1.2000000000000002</v>
      </c>
      <c r="G62" s="29" t="s">
        <v>127</v>
      </c>
      <c r="H62" s="22">
        <f>SUM(H58:H61)</f>
        <v>1.6980000000000004</v>
      </c>
      <c r="I62" s="20"/>
      <c r="J62" s="20"/>
      <c r="K62" s="10"/>
      <c r="L62" s="14" t="s">
        <v>67</v>
      </c>
      <c r="M62" s="14"/>
      <c r="N62" s="14"/>
      <c r="O62" s="14"/>
      <c r="P62" s="14"/>
      <c r="Q62" s="14"/>
    </row>
    <row r="63" spans="2:17">
      <c r="B63" s="10"/>
      <c r="C63" s="30"/>
      <c r="D63" s="20"/>
      <c r="E63" s="21"/>
      <c r="F63" s="20"/>
      <c r="G63" s="21"/>
      <c r="H63" s="20"/>
      <c r="I63" s="20"/>
      <c r="J63" s="20"/>
      <c r="K63" s="10"/>
      <c r="L63" s="3" t="s">
        <v>63</v>
      </c>
      <c r="M63" s="15" t="s">
        <v>163</v>
      </c>
      <c r="N63" s="10"/>
      <c r="O63" s="10"/>
      <c r="P63" s="10"/>
      <c r="Q63" s="10"/>
    </row>
    <row r="64" spans="2:17">
      <c r="B64" s="33">
        <f>1-B58</f>
        <v>0.25</v>
      </c>
      <c r="C64" s="31">
        <v>8</v>
      </c>
      <c r="D64" s="25" t="s">
        <v>113</v>
      </c>
      <c r="E64" s="21" t="s">
        <v>46</v>
      </c>
      <c r="F64" s="20">
        <f>B64*(H19+H12)</f>
        <v>0.4</v>
      </c>
      <c r="G64" s="21" t="s">
        <v>5</v>
      </c>
      <c r="H64" s="20">
        <f>L104*F64</f>
        <v>0.101352</v>
      </c>
      <c r="I64" s="20">
        <f>O104*F64</f>
        <v>0.132024</v>
      </c>
      <c r="J64" s="20">
        <f>P104*F64</f>
        <v>0.79293199999999997</v>
      </c>
      <c r="K64" s="10"/>
      <c r="L64" s="10">
        <f>(0.65/M64)*L61</f>
        <v>1</v>
      </c>
      <c r="M64" s="16">
        <v>0.65</v>
      </c>
      <c r="N64" s="10"/>
      <c r="O64" s="10"/>
      <c r="P64" s="10"/>
      <c r="Q64" s="10"/>
    </row>
    <row r="65" spans="2:18">
      <c r="B65" s="10"/>
      <c r="C65" s="30"/>
      <c r="D65" s="20"/>
      <c r="E65" s="21"/>
      <c r="F65" s="20"/>
      <c r="G65" s="21" t="s">
        <v>114</v>
      </c>
      <c r="H65" s="20">
        <f>M104*F64</f>
        <v>0.28617200000000004</v>
      </c>
      <c r="I65" s="20"/>
      <c r="J65" s="20"/>
      <c r="K65" s="10"/>
      <c r="L65" s="10"/>
      <c r="M65" s="10"/>
      <c r="N65" s="10"/>
      <c r="O65" s="10"/>
      <c r="P65" s="10"/>
      <c r="Q65" s="10"/>
    </row>
    <row r="66" spans="2:18" ht="18">
      <c r="B66" s="10"/>
      <c r="C66" s="30"/>
      <c r="D66" s="20"/>
      <c r="E66" s="21"/>
      <c r="F66" s="20"/>
      <c r="G66" s="21" t="s">
        <v>103</v>
      </c>
      <c r="H66" s="20">
        <f>N104*F64</f>
        <v>0.23847600000000002</v>
      </c>
      <c r="I66" s="20"/>
      <c r="J66" s="20"/>
      <c r="K66" s="10"/>
      <c r="L66" s="13" t="s">
        <v>162</v>
      </c>
      <c r="M66" s="13"/>
      <c r="N66" s="13"/>
      <c r="O66" s="13"/>
      <c r="P66" s="13"/>
      <c r="Q66" s="13">
        <v>2</v>
      </c>
    </row>
    <row r="67" spans="2:18" ht="18">
      <c r="B67" s="10"/>
      <c r="C67" s="30"/>
      <c r="D67" s="20"/>
      <c r="E67" s="21"/>
      <c r="F67" s="20"/>
      <c r="G67" s="21"/>
      <c r="H67" s="20"/>
      <c r="I67" s="20"/>
      <c r="J67" s="20"/>
      <c r="K67" s="10"/>
      <c r="L67" s="14" t="s">
        <v>66</v>
      </c>
      <c r="M67" s="14"/>
      <c r="N67" s="14"/>
      <c r="O67" s="14"/>
      <c r="P67" s="14"/>
      <c r="Q67" s="14"/>
    </row>
    <row r="68" spans="2:18">
      <c r="B68" s="10"/>
      <c r="C68" s="30"/>
      <c r="D68" s="20"/>
      <c r="E68" s="29" t="s">
        <v>127</v>
      </c>
      <c r="F68" s="22">
        <f>SUM(F64:F67)</f>
        <v>0.4</v>
      </c>
      <c r="G68" s="29" t="s">
        <v>127</v>
      </c>
      <c r="H68" s="22">
        <f>SUM(H64:H67)</f>
        <v>0.62600000000000011</v>
      </c>
      <c r="I68" s="20"/>
      <c r="J68" s="20"/>
      <c r="K68" s="10"/>
      <c r="L68" s="3" t="s">
        <v>91</v>
      </c>
      <c r="M68" s="6" t="s">
        <v>89</v>
      </c>
      <c r="N68" s="10"/>
      <c r="O68" s="10"/>
      <c r="P68" s="10"/>
      <c r="Q68" s="10"/>
    </row>
    <row r="69" spans="2:18">
      <c r="B69" s="10"/>
      <c r="C69" s="30"/>
      <c r="D69" s="20"/>
      <c r="E69" s="21"/>
      <c r="F69" s="20"/>
      <c r="G69" s="21"/>
      <c r="H69" s="20"/>
      <c r="I69" s="20"/>
      <c r="J69" s="20"/>
      <c r="K69" s="10"/>
      <c r="L69" s="10">
        <v>1</v>
      </c>
      <c r="M69" s="7">
        <f>L72-L69</f>
        <v>0</v>
      </c>
      <c r="N69" s="10"/>
      <c r="O69" s="35"/>
      <c r="P69" s="10"/>
      <c r="Q69" s="10"/>
    </row>
    <row r="70" spans="2:18" ht="18">
      <c r="B70" s="10"/>
      <c r="C70" s="31" t="s">
        <v>128</v>
      </c>
      <c r="D70" s="25" t="s">
        <v>130</v>
      </c>
      <c r="E70" s="21" t="s">
        <v>44</v>
      </c>
      <c r="F70" s="20">
        <f>H10</f>
        <v>366.28674999999998</v>
      </c>
      <c r="G70" s="21" t="s">
        <v>115</v>
      </c>
      <c r="H70" s="20">
        <f>L112*F70</f>
        <v>247.23623051499999</v>
      </c>
      <c r="I70" s="20">
        <f>N112*F70</f>
        <v>40.657829249999999</v>
      </c>
      <c r="J70" s="20">
        <f>O112*F70</f>
        <v>904.45722030499985</v>
      </c>
      <c r="K70" s="10"/>
      <c r="L70" s="14" t="s">
        <v>67</v>
      </c>
      <c r="M70" s="14"/>
      <c r="N70" s="14"/>
      <c r="O70" s="14"/>
      <c r="P70" s="14"/>
      <c r="Q70" s="14"/>
    </row>
    <row r="71" spans="2:18">
      <c r="B71" s="10"/>
      <c r="C71" s="30"/>
      <c r="D71" s="20"/>
      <c r="E71" s="21"/>
      <c r="F71" s="20"/>
      <c r="G71" s="21" t="s">
        <v>116</v>
      </c>
      <c r="H71" s="20">
        <f>M112*F70</f>
        <v>53.477865499999993</v>
      </c>
      <c r="I71" s="20"/>
      <c r="J71" s="20"/>
      <c r="K71" s="10"/>
      <c r="L71" s="3" t="s">
        <v>63</v>
      </c>
      <c r="M71" s="15" t="s">
        <v>164</v>
      </c>
      <c r="N71" s="10"/>
      <c r="O71" s="10"/>
      <c r="P71" s="10"/>
      <c r="Q71" s="10"/>
    </row>
    <row r="72" spans="2:18">
      <c r="B72" s="10"/>
      <c r="C72" s="30"/>
      <c r="D72" s="20"/>
      <c r="E72" s="21"/>
      <c r="F72" s="20"/>
      <c r="G72" s="21"/>
      <c r="H72" s="20"/>
      <c r="I72" s="20"/>
      <c r="J72" s="20"/>
      <c r="K72" s="10"/>
      <c r="L72" s="10">
        <f>(0.85/M72)*L69</f>
        <v>1</v>
      </c>
      <c r="M72" s="16">
        <v>0.85</v>
      </c>
      <c r="N72" s="10"/>
      <c r="O72" s="10"/>
      <c r="P72" s="10"/>
      <c r="Q72" s="10"/>
    </row>
    <row r="73" spans="2:18">
      <c r="B73" s="10"/>
      <c r="C73" s="30"/>
      <c r="D73" s="20"/>
      <c r="E73" s="29" t="s">
        <v>127</v>
      </c>
      <c r="F73" s="22">
        <f>SUM(F69:F72)</f>
        <v>366.28674999999998</v>
      </c>
      <c r="G73" s="29" t="s">
        <v>127</v>
      </c>
      <c r="H73" s="22">
        <f>SUM(H69:H72)</f>
        <v>300.714096015</v>
      </c>
      <c r="I73" s="20"/>
      <c r="J73" s="20"/>
      <c r="K73" s="10"/>
      <c r="L73" s="10"/>
      <c r="M73" s="10"/>
      <c r="N73" s="10"/>
      <c r="O73" s="10"/>
      <c r="P73" s="10"/>
      <c r="Q73" s="10"/>
    </row>
    <row r="74" spans="2:18" ht="18">
      <c r="B74" s="10"/>
      <c r="C74" s="30"/>
      <c r="D74" s="20"/>
      <c r="E74" s="21"/>
      <c r="F74" s="20"/>
      <c r="G74" s="21"/>
      <c r="H74" s="20"/>
      <c r="I74" s="20"/>
      <c r="J74" s="20"/>
      <c r="K74" s="10"/>
      <c r="L74" s="13" t="s">
        <v>156</v>
      </c>
      <c r="M74" s="13"/>
      <c r="N74" s="13"/>
      <c r="O74" s="13"/>
      <c r="P74" s="13"/>
      <c r="Q74" s="13" t="s">
        <v>150</v>
      </c>
      <c r="R74" t="s">
        <v>175</v>
      </c>
    </row>
    <row r="75" spans="2:18" ht="18">
      <c r="B75" s="10"/>
      <c r="C75" s="31" t="s">
        <v>129</v>
      </c>
      <c r="D75" s="25" t="s">
        <v>131</v>
      </c>
      <c r="E75" s="21" t="s">
        <v>44</v>
      </c>
      <c r="F75" s="20">
        <f>H17</f>
        <v>117.86805000000001</v>
      </c>
      <c r="G75" s="21" t="s">
        <v>115</v>
      </c>
      <c r="H75" s="20">
        <f>L120*F75</f>
        <v>82.704474643500006</v>
      </c>
      <c r="I75" s="20">
        <f>N120*F75</f>
        <v>9.1854571365000002</v>
      </c>
      <c r="J75" s="20">
        <f>O120*F75</f>
        <v>40.864852935000002</v>
      </c>
      <c r="K75" s="10"/>
      <c r="L75" s="14" t="s">
        <v>66</v>
      </c>
      <c r="M75" s="14"/>
      <c r="N75" s="14"/>
      <c r="O75" s="14"/>
      <c r="P75" s="14"/>
      <c r="Q75" s="14"/>
    </row>
    <row r="76" spans="2:18">
      <c r="B76" s="10"/>
      <c r="C76" s="30"/>
      <c r="D76" s="20"/>
      <c r="E76" s="21"/>
      <c r="F76" s="20"/>
      <c r="G76" s="21" t="s">
        <v>116</v>
      </c>
      <c r="H76" s="20">
        <f>M120*F75</f>
        <v>36.049943092500001</v>
      </c>
      <c r="I76" s="20"/>
      <c r="J76" s="20"/>
      <c r="K76" s="10"/>
      <c r="L76" s="3" t="s">
        <v>63</v>
      </c>
      <c r="M76" s="10"/>
      <c r="N76" s="10"/>
      <c r="O76" s="10"/>
      <c r="P76" s="10"/>
      <c r="Q76" s="10"/>
    </row>
    <row r="77" spans="2:18">
      <c r="B77" s="10"/>
      <c r="C77" s="30"/>
      <c r="D77" s="20"/>
      <c r="E77" s="21"/>
      <c r="F77" s="20"/>
      <c r="G77" s="21"/>
      <c r="H77" s="20"/>
      <c r="I77" s="20"/>
      <c r="J77" s="20"/>
      <c r="K77" s="10"/>
      <c r="L77" s="10">
        <v>1</v>
      </c>
      <c r="M77" s="35"/>
      <c r="N77" s="10"/>
      <c r="O77" s="35"/>
      <c r="P77" s="10"/>
      <c r="Q77" s="10"/>
    </row>
    <row r="78" spans="2:18" ht="18">
      <c r="B78" s="10"/>
      <c r="C78" s="30"/>
      <c r="D78" s="20"/>
      <c r="E78" s="29" t="s">
        <v>127</v>
      </c>
      <c r="F78" s="22">
        <f>SUM(F74:F77)</f>
        <v>117.86805000000001</v>
      </c>
      <c r="G78" s="29" t="s">
        <v>127</v>
      </c>
      <c r="H78" s="22">
        <f>SUM(H74:H77)</f>
        <v>118.75441773600001</v>
      </c>
      <c r="I78" s="20"/>
      <c r="J78" s="20"/>
      <c r="K78" s="10"/>
      <c r="L78" s="14" t="s">
        <v>67</v>
      </c>
      <c r="M78" s="14"/>
      <c r="N78" s="14"/>
      <c r="O78" s="14"/>
      <c r="P78" s="14"/>
      <c r="Q78" s="14"/>
    </row>
    <row r="79" spans="2:18">
      <c r="B79" s="10"/>
      <c r="C79" s="30"/>
      <c r="D79" s="20"/>
      <c r="E79" s="21"/>
      <c r="F79" s="20"/>
      <c r="G79" s="21"/>
      <c r="H79" s="20"/>
      <c r="I79" s="20"/>
      <c r="J79" s="20"/>
      <c r="K79" s="10"/>
      <c r="L79" s="3" t="s">
        <v>50</v>
      </c>
      <c r="M79" s="3" t="s">
        <v>51</v>
      </c>
      <c r="N79" s="10"/>
      <c r="O79" s="10"/>
      <c r="P79" s="10"/>
      <c r="Q79" s="10"/>
    </row>
    <row r="80" spans="2:18">
      <c r="B80" s="10"/>
      <c r="C80" s="31">
        <v>10</v>
      </c>
      <c r="D80" s="19" t="s">
        <v>103</v>
      </c>
      <c r="E80" s="18" t="s">
        <v>132</v>
      </c>
      <c r="F80" s="20">
        <f>H66+H60</f>
        <v>0.93807600000000013</v>
      </c>
      <c r="G80" s="18" t="s">
        <v>73</v>
      </c>
      <c r="H80" s="20">
        <f>F29</f>
        <v>1536.0511303565934</v>
      </c>
      <c r="I80" s="10"/>
      <c r="J80" s="10"/>
      <c r="K80" s="10"/>
      <c r="L80" s="10">
        <f>0.08387*L77</f>
        <v>8.387E-2</v>
      </c>
      <c r="M80" s="10">
        <f>0.0015*L77</f>
        <v>1.5E-3</v>
      </c>
      <c r="N80" s="10"/>
      <c r="O80" s="10"/>
      <c r="P80" s="10"/>
      <c r="Q80" s="10"/>
    </row>
    <row r="81" spans="2:18">
      <c r="B81" s="10"/>
      <c r="C81" s="30"/>
      <c r="D81" s="10"/>
      <c r="E81" s="18" t="s">
        <v>133</v>
      </c>
      <c r="F81" s="20">
        <f>H39+H34</f>
        <v>2210.4150412448539</v>
      </c>
      <c r="G81" s="18" t="s">
        <v>134</v>
      </c>
      <c r="H81" s="20">
        <f>F83-H80</f>
        <v>675.30198688826044</v>
      </c>
      <c r="I81" s="10"/>
      <c r="J81" s="10"/>
      <c r="K81" s="10"/>
      <c r="L81" s="10"/>
      <c r="M81" s="10"/>
      <c r="N81" s="10"/>
      <c r="O81" s="10"/>
      <c r="P81" s="10"/>
      <c r="Q81" s="10"/>
    </row>
    <row r="82" spans="2:18" ht="18">
      <c r="B82" s="10"/>
      <c r="C82" s="30"/>
      <c r="D82" s="10"/>
      <c r="E82" s="18"/>
      <c r="F82" s="20"/>
      <c r="G82" s="18"/>
      <c r="H82" s="10"/>
      <c r="I82" s="10"/>
      <c r="J82" s="10"/>
      <c r="K82" s="10"/>
      <c r="L82" s="13" t="s">
        <v>109</v>
      </c>
      <c r="M82" s="13"/>
      <c r="N82" s="13"/>
      <c r="O82" s="13"/>
      <c r="P82" s="13"/>
      <c r="Q82" s="13" t="s">
        <v>150</v>
      </c>
      <c r="R82" t="s">
        <v>169</v>
      </c>
    </row>
    <row r="83" spans="2:18" ht="18">
      <c r="B83" s="10"/>
      <c r="C83" s="30"/>
      <c r="D83" s="10"/>
      <c r="E83" s="29" t="s">
        <v>127</v>
      </c>
      <c r="F83" s="22">
        <f>SUM(F80:F82)</f>
        <v>2211.3531172448538</v>
      </c>
      <c r="G83" s="29" t="s">
        <v>127</v>
      </c>
      <c r="H83" s="22">
        <f>SUM(H80:H82)</f>
        <v>2211.3531172448538</v>
      </c>
      <c r="I83" s="10"/>
      <c r="J83" s="10"/>
      <c r="K83" s="10"/>
      <c r="L83" s="14" t="s">
        <v>66</v>
      </c>
      <c r="M83" s="14"/>
      <c r="N83" s="14"/>
      <c r="O83" s="14"/>
      <c r="P83" s="14"/>
      <c r="Q83" s="14"/>
    </row>
    <row r="84" spans="2:18">
      <c r="B84" s="10"/>
      <c r="C84" s="30"/>
      <c r="D84" s="10"/>
      <c r="E84" s="18"/>
      <c r="F84" s="10"/>
      <c r="G84" s="18"/>
      <c r="H84" s="10"/>
      <c r="I84" s="10"/>
      <c r="J84" s="10"/>
      <c r="K84" s="10"/>
      <c r="L84" s="3" t="s">
        <v>54</v>
      </c>
      <c r="M84" s="38" t="s">
        <v>72</v>
      </c>
      <c r="N84" s="10"/>
      <c r="O84" s="10"/>
      <c r="P84" s="10"/>
      <c r="Q84" s="10"/>
    </row>
    <row r="85" spans="2:18">
      <c r="B85" s="10"/>
      <c r="C85" s="31">
        <v>11</v>
      </c>
      <c r="D85" s="19" t="s">
        <v>112</v>
      </c>
      <c r="E85" s="18" t="s">
        <v>135</v>
      </c>
      <c r="F85" s="20">
        <f>H59</f>
        <v>0.70080000000000009</v>
      </c>
      <c r="G85" s="18" t="s">
        <v>112</v>
      </c>
      <c r="H85" s="20">
        <f>F88</f>
        <v>15.651756428571431</v>
      </c>
      <c r="I85" s="10"/>
      <c r="J85" s="10"/>
      <c r="K85" s="10"/>
      <c r="L85" s="10">
        <v>1</v>
      </c>
      <c r="M85" s="39">
        <f>(9/28)*L85</f>
        <v>0.32142857142857145</v>
      </c>
      <c r="N85" s="10"/>
      <c r="O85" s="35"/>
      <c r="P85" s="10"/>
      <c r="Q85" s="10"/>
    </row>
    <row r="86" spans="2:18" ht="18">
      <c r="B86" s="10"/>
      <c r="C86" s="30"/>
      <c r="D86" s="10"/>
      <c r="E86" s="18" t="s">
        <v>136</v>
      </c>
      <c r="F86" s="20">
        <f>H54</f>
        <v>14.95095642857143</v>
      </c>
      <c r="G86" s="18"/>
      <c r="H86" s="10"/>
      <c r="I86" s="10"/>
      <c r="J86" s="10"/>
      <c r="K86" s="10"/>
      <c r="L86" s="14" t="s">
        <v>67</v>
      </c>
      <c r="M86" s="14"/>
      <c r="N86" s="14"/>
      <c r="O86" s="14"/>
      <c r="P86" s="14"/>
      <c r="Q86" s="14"/>
    </row>
    <row r="87" spans="2:18">
      <c r="B87" s="10"/>
      <c r="C87" s="30"/>
      <c r="D87" s="10"/>
      <c r="E87" s="18"/>
      <c r="F87" s="20"/>
      <c r="G87" s="18"/>
      <c r="H87" s="10"/>
      <c r="I87" s="10"/>
      <c r="J87" s="10"/>
      <c r="K87" s="10"/>
      <c r="L87" s="3" t="s">
        <v>52</v>
      </c>
      <c r="M87" s="3" t="s">
        <v>58</v>
      </c>
      <c r="N87" s="3" t="s">
        <v>51</v>
      </c>
      <c r="O87" s="19" t="s">
        <v>50</v>
      </c>
      <c r="P87" s="10"/>
      <c r="Q87" s="10"/>
    </row>
    <row r="88" spans="2:18">
      <c r="B88" s="10"/>
      <c r="C88" s="30"/>
      <c r="D88" s="10"/>
      <c r="E88" s="29" t="s">
        <v>127</v>
      </c>
      <c r="F88" s="22">
        <f>SUM(F85:F87)</f>
        <v>15.651756428571431</v>
      </c>
      <c r="G88" s="29" t="s">
        <v>127</v>
      </c>
      <c r="H88" s="22">
        <f>SUM(H85:H87)</f>
        <v>15.651756428571431</v>
      </c>
      <c r="I88" s="10"/>
      <c r="J88" s="10"/>
      <c r="K88" s="10"/>
      <c r="L88" s="10">
        <f>(17/28)*L85</f>
        <v>0.6071428571428571</v>
      </c>
      <c r="M88" s="10">
        <f>(5/7)*L85</f>
        <v>0.7142857142857143</v>
      </c>
      <c r="N88" s="10">
        <f>0.33*L85</f>
        <v>0.33</v>
      </c>
      <c r="O88" s="10">
        <f>2*L85</f>
        <v>2</v>
      </c>
      <c r="P88" s="10"/>
      <c r="Q88" s="10"/>
    </row>
    <row r="89" spans="2:18">
      <c r="B89" s="10"/>
      <c r="C89" s="30"/>
      <c r="D89" s="10"/>
      <c r="E89" s="18"/>
      <c r="F89" s="20"/>
      <c r="G89" s="18"/>
      <c r="H89" s="10"/>
      <c r="I89" s="10"/>
      <c r="J89" s="10"/>
      <c r="K89" s="10"/>
      <c r="L89" s="10"/>
      <c r="M89" s="10"/>
      <c r="N89" s="10"/>
      <c r="O89" s="10"/>
      <c r="P89" s="10"/>
      <c r="Q89" s="10"/>
    </row>
    <row r="90" spans="2:18" ht="18">
      <c r="B90" s="10"/>
      <c r="C90" s="31">
        <v>12</v>
      </c>
      <c r="D90" s="19" t="s">
        <v>114</v>
      </c>
      <c r="E90" s="18" t="s">
        <v>137</v>
      </c>
      <c r="F90" s="20">
        <f>H65</f>
        <v>0.28617200000000004</v>
      </c>
      <c r="G90" s="18" t="s">
        <v>114</v>
      </c>
      <c r="H90" s="20">
        <f>F92</f>
        <v>0.28617200000000004</v>
      </c>
      <c r="I90" s="10"/>
      <c r="J90" s="10"/>
      <c r="K90" s="10"/>
      <c r="L90" s="13" t="s">
        <v>111</v>
      </c>
      <c r="M90" s="13"/>
      <c r="N90" s="13"/>
      <c r="O90" s="13"/>
      <c r="P90" s="13"/>
      <c r="Q90" s="13" t="s">
        <v>150</v>
      </c>
      <c r="R90" t="s">
        <v>170</v>
      </c>
    </row>
    <row r="91" spans="2:18" ht="18">
      <c r="B91" s="10"/>
      <c r="C91" s="30"/>
      <c r="D91" s="10"/>
      <c r="E91" s="18"/>
      <c r="F91" s="20"/>
      <c r="G91" s="18"/>
      <c r="H91" s="10"/>
      <c r="I91" s="10"/>
      <c r="J91" s="10"/>
      <c r="K91" s="10"/>
      <c r="L91" s="14" t="s">
        <v>66</v>
      </c>
      <c r="M91" s="14"/>
      <c r="N91" s="14"/>
      <c r="O91" s="14"/>
      <c r="P91" s="14"/>
      <c r="Q91" s="14"/>
    </row>
    <row r="92" spans="2:18">
      <c r="B92" s="10"/>
      <c r="C92" s="30"/>
      <c r="D92" s="10"/>
      <c r="E92" s="29" t="s">
        <v>127</v>
      </c>
      <c r="F92" s="22">
        <f>SUM(F90:F91)</f>
        <v>0.28617200000000004</v>
      </c>
      <c r="G92" s="29" t="s">
        <v>127</v>
      </c>
      <c r="H92" s="22">
        <f>SUM(H90:H91)</f>
        <v>0.28617200000000004</v>
      </c>
      <c r="I92" s="10"/>
      <c r="J92" s="10"/>
      <c r="K92" s="10"/>
      <c r="L92" s="3" t="s">
        <v>55</v>
      </c>
      <c r="M92" s="10"/>
      <c r="N92" s="10"/>
      <c r="O92" s="10"/>
      <c r="P92" s="10"/>
      <c r="Q92" s="10"/>
    </row>
    <row r="93" spans="2:18">
      <c r="B93" s="10"/>
      <c r="C93" s="30"/>
      <c r="D93" s="10"/>
      <c r="E93" s="18"/>
      <c r="F93" s="10"/>
      <c r="G93" s="18"/>
      <c r="H93" s="10"/>
      <c r="I93" s="10"/>
      <c r="J93" s="10"/>
      <c r="K93" s="10"/>
      <c r="L93" s="10">
        <v>1</v>
      </c>
      <c r="M93" s="35"/>
      <c r="N93" s="10"/>
      <c r="O93" s="35"/>
      <c r="P93" s="10"/>
      <c r="Q93" s="10"/>
    </row>
    <row r="94" spans="2:18" ht="18">
      <c r="B94" s="10"/>
      <c r="C94" s="31">
        <v>13</v>
      </c>
      <c r="D94" s="19" t="s">
        <v>115</v>
      </c>
      <c r="E94" s="18" t="s">
        <v>138</v>
      </c>
      <c r="F94" s="20">
        <f>H70</f>
        <v>247.23623051499999</v>
      </c>
      <c r="G94" s="18" t="s">
        <v>140</v>
      </c>
      <c r="H94" s="20">
        <f>F97</f>
        <v>329.94070515850001</v>
      </c>
      <c r="I94" s="10"/>
      <c r="J94" s="10"/>
      <c r="K94" s="10"/>
      <c r="L94" s="14" t="s">
        <v>67</v>
      </c>
      <c r="M94" s="14"/>
      <c r="N94" s="14"/>
      <c r="O94" s="14"/>
      <c r="P94" s="14"/>
      <c r="Q94" s="14"/>
    </row>
    <row r="95" spans="2:18">
      <c r="B95" s="10"/>
      <c r="C95" s="30"/>
      <c r="D95" s="10"/>
      <c r="E95" s="18" t="s">
        <v>139</v>
      </c>
      <c r="F95" s="20">
        <f>H75</f>
        <v>82.704474643500006</v>
      </c>
      <c r="G95" s="18"/>
      <c r="H95" s="10"/>
      <c r="I95" s="10"/>
      <c r="J95" s="10"/>
      <c r="K95" s="10"/>
      <c r="L95" s="3" t="s">
        <v>52</v>
      </c>
      <c r="M95" s="3" t="s">
        <v>58</v>
      </c>
      <c r="N95" s="3" t="s">
        <v>57</v>
      </c>
      <c r="O95" s="3" t="s">
        <v>51</v>
      </c>
      <c r="P95" s="19" t="s">
        <v>50</v>
      </c>
      <c r="Q95" s="10"/>
    </row>
    <row r="96" spans="2:18">
      <c r="B96" s="10"/>
      <c r="C96" s="30"/>
      <c r="D96" s="10"/>
      <c r="E96" s="18"/>
      <c r="F96" s="10"/>
      <c r="G96" s="18"/>
      <c r="H96" s="10"/>
      <c r="I96" s="10"/>
      <c r="J96" s="10"/>
      <c r="K96" s="10"/>
      <c r="L96" s="10">
        <f>0.248*L93</f>
        <v>0.248</v>
      </c>
      <c r="M96" s="10">
        <f>0.584*L93</f>
        <v>0.58399999999999996</v>
      </c>
      <c r="N96" s="10">
        <f>0.583*L93</f>
        <v>0.58299999999999996</v>
      </c>
      <c r="O96" s="10">
        <f>0.33299*L93</f>
        <v>0.33299000000000001</v>
      </c>
      <c r="P96" s="10">
        <f>2*L93</f>
        <v>2</v>
      </c>
      <c r="Q96" s="10"/>
    </row>
    <row r="97" spans="2:18">
      <c r="B97" s="10"/>
      <c r="C97" s="30"/>
      <c r="D97" s="10"/>
      <c r="E97" s="29" t="s">
        <v>127</v>
      </c>
      <c r="F97" s="22">
        <f>SUM(F94:F96)</f>
        <v>329.94070515850001</v>
      </c>
      <c r="G97" s="29" t="s">
        <v>127</v>
      </c>
      <c r="H97" s="22">
        <f>SUM(H94:H96)</f>
        <v>329.94070515850001</v>
      </c>
      <c r="I97" s="10"/>
      <c r="J97" s="10"/>
      <c r="K97" s="10"/>
      <c r="L97" s="10"/>
      <c r="M97" s="10"/>
      <c r="N97" s="10"/>
      <c r="O97" s="10"/>
      <c r="P97" s="10"/>
      <c r="Q97" s="10"/>
    </row>
    <row r="98" spans="2:18" ht="18">
      <c r="B98" s="10"/>
      <c r="C98" s="30"/>
      <c r="D98" s="10"/>
      <c r="E98" s="18"/>
      <c r="F98" s="10"/>
      <c r="G98" s="18"/>
      <c r="H98" s="10"/>
      <c r="I98" s="10"/>
      <c r="J98" s="10"/>
      <c r="K98" s="10"/>
      <c r="L98" s="13" t="s">
        <v>113</v>
      </c>
      <c r="M98" s="13"/>
      <c r="N98" s="13"/>
      <c r="O98" s="13"/>
      <c r="P98" s="13"/>
      <c r="Q98" s="13" t="s">
        <v>150</v>
      </c>
      <c r="R98" t="s">
        <v>171</v>
      </c>
    </row>
    <row r="99" spans="2:18" ht="18">
      <c r="B99" s="10"/>
      <c r="C99" s="31">
        <v>14</v>
      </c>
      <c r="D99" s="19" t="s">
        <v>116</v>
      </c>
      <c r="E99" s="18" t="s">
        <v>141</v>
      </c>
      <c r="F99" s="20">
        <f>H71</f>
        <v>53.477865499999993</v>
      </c>
      <c r="G99" s="18" t="s">
        <v>143</v>
      </c>
      <c r="H99" s="20">
        <f>F102</f>
        <v>89.527808592499994</v>
      </c>
      <c r="I99" s="10"/>
      <c r="J99" s="10"/>
      <c r="K99" s="10"/>
      <c r="L99" s="14" t="s">
        <v>66</v>
      </c>
      <c r="M99" s="14"/>
      <c r="N99" s="14"/>
      <c r="O99" s="14"/>
      <c r="P99" s="14"/>
      <c r="Q99" s="14"/>
    </row>
    <row r="100" spans="2:18">
      <c r="B100" s="10"/>
      <c r="C100" s="30"/>
      <c r="D100" s="10"/>
      <c r="E100" s="18" t="s">
        <v>142</v>
      </c>
      <c r="F100" s="20">
        <f>H76</f>
        <v>36.049943092500001</v>
      </c>
      <c r="G100" s="18"/>
      <c r="H100" s="10"/>
      <c r="I100" s="10"/>
      <c r="J100" s="10"/>
      <c r="K100" s="10"/>
      <c r="L100" s="3" t="s">
        <v>55</v>
      </c>
      <c r="M100" s="10"/>
      <c r="N100" s="10"/>
      <c r="O100" s="10"/>
      <c r="P100" s="10"/>
      <c r="Q100" s="10"/>
    </row>
    <row r="101" spans="2:18">
      <c r="B101" s="10"/>
      <c r="C101" s="30"/>
      <c r="D101" s="10"/>
      <c r="E101" s="18"/>
      <c r="F101" s="10"/>
      <c r="G101" s="18"/>
      <c r="H101" s="10"/>
      <c r="I101" s="10"/>
      <c r="J101" s="10"/>
      <c r="K101" s="10"/>
      <c r="L101" s="10">
        <v>1</v>
      </c>
      <c r="M101" s="35"/>
      <c r="N101" s="10"/>
      <c r="O101" s="35"/>
      <c r="P101" s="10"/>
      <c r="Q101" s="10"/>
    </row>
    <row r="102" spans="2:18" ht="18">
      <c r="B102" s="10"/>
      <c r="C102" s="30"/>
      <c r="D102" s="10"/>
      <c r="E102" s="29" t="s">
        <v>127</v>
      </c>
      <c r="F102" s="22">
        <f>SUM(F99:F101)</f>
        <v>89.527808592499994</v>
      </c>
      <c r="G102" s="29" t="s">
        <v>127</v>
      </c>
      <c r="H102" s="22">
        <f>SUM(H99:H101)</f>
        <v>89.527808592499994</v>
      </c>
      <c r="I102" s="10"/>
      <c r="J102" s="10"/>
      <c r="K102" s="10"/>
      <c r="L102" s="14" t="s">
        <v>67</v>
      </c>
      <c r="M102" s="14"/>
      <c r="N102" s="14"/>
      <c r="O102" s="14"/>
      <c r="P102" s="14"/>
      <c r="Q102" s="14"/>
    </row>
    <row r="103" spans="2:18">
      <c r="B103" s="10"/>
      <c r="C103" s="30"/>
      <c r="D103" s="10"/>
      <c r="E103" s="18"/>
      <c r="F103" s="10"/>
      <c r="G103" s="18"/>
      <c r="H103" s="10"/>
      <c r="I103" s="10"/>
      <c r="J103" s="10"/>
      <c r="K103" s="10"/>
      <c r="L103" s="3" t="s">
        <v>52</v>
      </c>
      <c r="M103" s="3" t="s">
        <v>157</v>
      </c>
      <c r="N103" s="3" t="s">
        <v>57</v>
      </c>
      <c r="O103" s="3" t="s">
        <v>51</v>
      </c>
      <c r="P103" s="19" t="s">
        <v>50</v>
      </c>
      <c r="Q103" s="10"/>
    </row>
    <row r="104" spans="2:18">
      <c r="B104" s="10"/>
      <c r="C104" s="31">
        <v>15</v>
      </c>
      <c r="D104" s="19" t="s">
        <v>144</v>
      </c>
      <c r="E104" s="18" t="s">
        <v>6</v>
      </c>
      <c r="F104" s="20">
        <f>H43+H48</f>
        <v>3812.9659461473725</v>
      </c>
      <c r="G104" s="18" t="s">
        <v>145</v>
      </c>
      <c r="H104" s="20">
        <f>F106</f>
        <v>3812.9659461473725</v>
      </c>
      <c r="I104" s="10">
        <f>M80*F104</f>
        <v>5.7194489192210591</v>
      </c>
      <c r="J104" s="10">
        <f>L80*F104</f>
        <v>319.79345390338011</v>
      </c>
      <c r="K104" s="10"/>
      <c r="L104" s="10">
        <f>0.25338*L101</f>
        <v>0.25337999999999999</v>
      </c>
      <c r="M104" s="10">
        <f>0.71543*L101</f>
        <v>0.71543000000000001</v>
      </c>
      <c r="N104" s="10">
        <f>0.59619*L101</f>
        <v>0.59619</v>
      </c>
      <c r="O104" s="10">
        <f>0.33006*L101</f>
        <v>0.33006000000000002</v>
      </c>
      <c r="P104" s="10">
        <f>1.98233*L101</f>
        <v>1.9823299999999999</v>
      </c>
      <c r="Q104" s="10"/>
    </row>
    <row r="105" spans="2:18">
      <c r="B105" s="10"/>
      <c r="C105" s="30"/>
      <c r="D105" s="10"/>
      <c r="E105" s="18"/>
      <c r="F105" s="10"/>
      <c r="G105" s="18"/>
      <c r="H105" s="10"/>
      <c r="I105" s="10"/>
      <c r="J105" s="10"/>
      <c r="K105" s="10"/>
      <c r="L105" s="10"/>
      <c r="M105" s="10"/>
      <c r="N105" s="10"/>
      <c r="O105" s="10"/>
      <c r="P105" s="10"/>
      <c r="Q105" s="10"/>
    </row>
    <row r="106" spans="2:18" ht="18">
      <c r="B106" s="10"/>
      <c r="C106" s="30"/>
      <c r="D106" s="10"/>
      <c r="E106" s="29" t="s">
        <v>127</v>
      </c>
      <c r="F106" s="22">
        <f>SUM(F104:F105)</f>
        <v>3812.9659461473725</v>
      </c>
      <c r="G106" s="29" t="s">
        <v>127</v>
      </c>
      <c r="H106" s="22">
        <f>SUM(H104:H105)</f>
        <v>3812.9659461473725</v>
      </c>
      <c r="I106" s="10"/>
      <c r="J106" s="10"/>
      <c r="K106" s="10"/>
      <c r="L106" s="13" t="s">
        <v>100</v>
      </c>
      <c r="M106" s="13"/>
      <c r="N106" s="13"/>
      <c r="O106" s="13"/>
      <c r="P106" s="13"/>
      <c r="Q106" s="13" t="s">
        <v>150</v>
      </c>
      <c r="R106" t="s">
        <v>172</v>
      </c>
    </row>
    <row r="107" spans="2:18" ht="18">
      <c r="B107" s="10"/>
      <c r="C107" s="12"/>
      <c r="D107" s="10"/>
      <c r="E107" s="10"/>
      <c r="F107" s="10"/>
      <c r="G107" s="10"/>
      <c r="H107" s="10"/>
      <c r="I107" s="10"/>
      <c r="J107" s="10"/>
      <c r="K107" s="10"/>
      <c r="L107" s="14" t="s">
        <v>66</v>
      </c>
      <c r="M107" s="14"/>
      <c r="N107" s="14"/>
      <c r="O107" s="14"/>
      <c r="P107" s="14"/>
      <c r="Q107" s="14"/>
    </row>
    <row r="108" spans="2:18">
      <c r="B108" s="10"/>
      <c r="C108" s="42"/>
      <c r="D108" s="10"/>
      <c r="E108" s="18"/>
      <c r="F108" s="20"/>
      <c r="G108" s="18"/>
      <c r="H108" s="20"/>
      <c r="I108" s="10"/>
      <c r="J108" s="10"/>
      <c r="K108" s="10"/>
      <c r="L108" s="3" t="s">
        <v>158</v>
      </c>
      <c r="M108" s="10"/>
      <c r="N108" s="10"/>
      <c r="O108" s="10"/>
      <c r="P108" s="10"/>
      <c r="Q108" s="10"/>
    </row>
    <row r="109" spans="2:18">
      <c r="B109" s="10"/>
      <c r="C109" s="18"/>
      <c r="D109" s="10"/>
      <c r="E109" s="18"/>
      <c r="F109" s="10"/>
      <c r="G109" s="18"/>
      <c r="H109" s="10"/>
      <c r="I109" s="10"/>
      <c r="J109" s="10"/>
      <c r="K109" s="10"/>
      <c r="L109" s="10">
        <v>1</v>
      </c>
      <c r="M109" s="35"/>
      <c r="N109" s="10"/>
      <c r="O109" s="35"/>
      <c r="P109" s="10"/>
      <c r="Q109" s="10"/>
    </row>
    <row r="110" spans="2:18" ht="18">
      <c r="B110" s="10"/>
      <c r="C110" s="18"/>
      <c r="D110" s="10"/>
      <c r="E110" s="21"/>
      <c r="F110" s="20"/>
      <c r="G110" s="21"/>
      <c r="H110" s="20"/>
      <c r="I110" s="10"/>
      <c r="J110" s="10"/>
      <c r="K110" s="10"/>
      <c r="L110" s="14" t="s">
        <v>67</v>
      </c>
      <c r="M110" s="14"/>
      <c r="N110" s="14"/>
      <c r="O110" s="14"/>
      <c r="P110" s="14"/>
      <c r="Q110" s="14"/>
    </row>
    <row r="111" spans="2:18">
      <c r="B111" s="10"/>
      <c r="C111" s="10"/>
      <c r="D111" s="10"/>
      <c r="E111" s="10"/>
      <c r="F111" s="10"/>
      <c r="G111" s="10"/>
      <c r="H111" s="10"/>
      <c r="I111" s="10"/>
      <c r="J111" s="10"/>
      <c r="K111" s="10"/>
      <c r="L111" s="3" t="s">
        <v>159</v>
      </c>
      <c r="M111" s="3" t="s">
        <v>160</v>
      </c>
      <c r="N111" s="3" t="s">
        <v>51</v>
      </c>
      <c r="O111" s="3" t="s">
        <v>50</v>
      </c>
      <c r="P111" s="10"/>
      <c r="Q111" s="10"/>
    </row>
    <row r="112" spans="2:18">
      <c r="B112" s="10"/>
      <c r="C112" s="10"/>
      <c r="D112" s="10"/>
      <c r="E112" s="10"/>
      <c r="F112" s="10"/>
      <c r="G112" s="10"/>
      <c r="H112" s="10"/>
      <c r="I112" s="10"/>
      <c r="J112" s="10"/>
      <c r="K112" s="10"/>
      <c r="L112" s="10">
        <f>0.67498*L109</f>
        <v>0.67498000000000002</v>
      </c>
      <c r="M112" s="10">
        <f>0.146*L109</f>
        <v>0.14599999999999999</v>
      </c>
      <c r="N112" s="10">
        <f>0.111*L109</f>
        <v>0.111</v>
      </c>
      <c r="O112" s="10">
        <f>2.46926*L109</f>
        <v>2.4692599999999998</v>
      </c>
      <c r="P112" s="10"/>
      <c r="Q112" s="10"/>
    </row>
    <row r="113" spans="2:18">
      <c r="B113" s="10"/>
      <c r="C113" s="10"/>
      <c r="D113" s="10"/>
      <c r="E113" s="10"/>
      <c r="F113" s="10"/>
      <c r="G113" s="10"/>
      <c r="H113" s="10"/>
      <c r="I113" s="10"/>
      <c r="J113" s="10"/>
      <c r="K113" s="10"/>
      <c r="L113" s="10"/>
      <c r="M113" s="10"/>
      <c r="N113" s="10"/>
      <c r="O113" s="10"/>
      <c r="P113" s="10"/>
      <c r="Q113" s="10"/>
    </row>
    <row r="114" spans="2:18" ht="18">
      <c r="B114" s="10"/>
      <c r="C114" s="10"/>
      <c r="D114" s="10"/>
      <c r="E114" s="18"/>
      <c r="F114" s="10"/>
      <c r="G114" s="18"/>
      <c r="H114" s="10"/>
      <c r="I114" s="10"/>
      <c r="J114" s="10"/>
      <c r="K114" s="10"/>
      <c r="L114" s="13" t="s">
        <v>101</v>
      </c>
      <c r="M114" s="13"/>
      <c r="N114" s="13"/>
      <c r="O114" s="13"/>
      <c r="P114" s="13"/>
      <c r="Q114" s="13" t="s">
        <v>150</v>
      </c>
      <c r="R114" t="s">
        <v>173</v>
      </c>
    </row>
    <row r="115" spans="2:18" ht="18">
      <c r="B115" s="10"/>
      <c r="C115" s="10"/>
      <c r="D115" s="10"/>
      <c r="E115" s="18"/>
      <c r="F115" s="10"/>
      <c r="G115" s="18"/>
      <c r="H115" s="10"/>
      <c r="I115" s="10"/>
      <c r="J115" s="10"/>
      <c r="K115" s="10"/>
      <c r="L115" s="14" t="s">
        <v>66</v>
      </c>
      <c r="M115" s="14"/>
      <c r="N115" s="14"/>
      <c r="O115" s="14"/>
      <c r="P115" s="14"/>
      <c r="Q115" s="14"/>
    </row>
    <row r="116" spans="2:18">
      <c r="B116" s="10"/>
      <c r="C116" s="10"/>
      <c r="D116" s="10"/>
      <c r="E116" s="18"/>
      <c r="F116" s="10"/>
      <c r="G116" s="18"/>
      <c r="H116" s="10"/>
      <c r="I116" s="10"/>
      <c r="J116" s="10"/>
      <c r="K116" s="10"/>
      <c r="L116" s="3" t="s">
        <v>158</v>
      </c>
      <c r="M116" s="10"/>
      <c r="N116" s="10"/>
      <c r="O116" s="10"/>
      <c r="P116" s="10"/>
      <c r="Q116" s="10"/>
    </row>
    <row r="117" spans="2:18">
      <c r="B117" s="10"/>
      <c r="C117" s="10"/>
      <c r="D117" s="10"/>
      <c r="E117" s="18"/>
      <c r="F117" s="10"/>
      <c r="G117" s="18"/>
      <c r="H117" s="10"/>
      <c r="I117" s="10"/>
      <c r="J117" s="10"/>
      <c r="K117" s="10"/>
      <c r="L117" s="10">
        <v>1</v>
      </c>
      <c r="M117" s="35"/>
      <c r="N117" s="10"/>
      <c r="O117" s="35"/>
      <c r="P117" s="10"/>
      <c r="Q117" s="10"/>
    </row>
    <row r="118" spans="2:18" ht="18">
      <c r="B118" s="10"/>
      <c r="C118" s="10"/>
      <c r="D118" s="10"/>
      <c r="E118" s="18"/>
      <c r="F118" s="10"/>
      <c r="G118" s="18"/>
      <c r="H118" s="10"/>
      <c r="I118" s="10"/>
      <c r="J118" s="10"/>
      <c r="K118" s="10"/>
      <c r="L118" s="14" t="s">
        <v>67</v>
      </c>
      <c r="M118" s="14"/>
      <c r="N118" s="14"/>
      <c r="O118" s="14"/>
      <c r="P118" s="14"/>
      <c r="Q118" s="14"/>
    </row>
    <row r="119" spans="2:18">
      <c r="B119" s="10"/>
      <c r="C119" s="10"/>
      <c r="D119" s="10"/>
      <c r="E119" s="18"/>
      <c r="F119" s="10"/>
      <c r="G119" s="18"/>
      <c r="H119" s="10"/>
      <c r="I119" s="10"/>
      <c r="J119" s="10"/>
      <c r="K119" s="10"/>
      <c r="L119" s="3" t="s">
        <v>159</v>
      </c>
      <c r="M119" s="3" t="s">
        <v>160</v>
      </c>
      <c r="N119" s="3" t="s">
        <v>51</v>
      </c>
      <c r="O119" s="3" t="s">
        <v>50</v>
      </c>
      <c r="P119" s="10"/>
      <c r="Q119" s="10"/>
    </row>
    <row r="120" spans="2:18">
      <c r="B120" s="10"/>
      <c r="C120" s="10"/>
      <c r="D120" s="10"/>
      <c r="E120" s="18"/>
      <c r="F120" s="10"/>
      <c r="G120" s="18"/>
      <c r="H120" s="10"/>
      <c r="I120" s="10"/>
      <c r="J120" s="10"/>
      <c r="K120" s="10"/>
      <c r="L120" s="10">
        <f>0.70167*L117</f>
        <v>0.70167000000000002</v>
      </c>
      <c r="M120" s="10">
        <f>0.30585*L117</f>
        <v>0.30585000000000001</v>
      </c>
      <c r="N120" s="10">
        <f>0.07793*L117</f>
        <v>7.7929999999999999E-2</v>
      </c>
      <c r="O120" s="10">
        <f>0.3467*L117</f>
        <v>0.34670000000000001</v>
      </c>
      <c r="P120" s="10"/>
      <c r="Q120" s="10"/>
    </row>
    <row r="121" spans="2:18">
      <c r="E121" s="17"/>
      <c r="G121" s="17"/>
    </row>
    <row r="122" spans="2:18">
      <c r="E122" s="17"/>
      <c r="G122" s="17"/>
    </row>
    <row r="123" spans="2:18">
      <c r="E123" s="17"/>
      <c r="G123" s="17"/>
    </row>
    <row r="124" spans="2:18">
      <c r="E124" s="17"/>
      <c r="G124" s="17"/>
    </row>
    <row r="125" spans="2:18">
      <c r="E125" s="17"/>
      <c r="G125" s="17"/>
    </row>
    <row r="126" spans="2:18">
      <c r="E126" s="17"/>
      <c r="G126" s="17"/>
    </row>
    <row r="127" spans="2:18">
      <c r="E127" s="17"/>
      <c r="G127" s="17"/>
    </row>
    <row r="128" spans="2:18">
      <c r="E128" s="17"/>
      <c r="G128" s="17"/>
    </row>
    <row r="129" spans="5:7">
      <c r="E129" s="17"/>
      <c r="G129" s="17"/>
    </row>
    <row r="130" spans="5:7">
      <c r="E130" s="17"/>
      <c r="G130" s="17"/>
    </row>
    <row r="131" spans="5:7">
      <c r="E131" s="17"/>
      <c r="G131" s="17"/>
    </row>
    <row r="132" spans="5:7">
      <c r="E132" s="17"/>
      <c r="G132" s="17"/>
    </row>
    <row r="133" spans="5:7">
      <c r="E133" s="17"/>
      <c r="G133" s="17"/>
    </row>
    <row r="134" spans="5:7">
      <c r="E134" s="17"/>
      <c r="G134" s="17"/>
    </row>
    <row r="135" spans="5:7">
      <c r="E135" s="17"/>
      <c r="G135" s="17"/>
    </row>
    <row r="136" spans="5:7">
      <c r="E136" s="17"/>
      <c r="G136" s="17"/>
    </row>
    <row r="137" spans="5:7">
      <c r="E137" s="17"/>
      <c r="G137" s="17"/>
    </row>
    <row r="138" spans="5:7">
      <c r="E138" s="17"/>
      <c r="G138" s="17"/>
    </row>
    <row r="139" spans="5:7">
      <c r="E139" s="17"/>
      <c r="G139" s="17"/>
    </row>
    <row r="140" spans="5:7">
      <c r="E140" s="17"/>
      <c r="G140" s="17"/>
    </row>
    <row r="141" spans="5:7">
      <c r="E141" s="17"/>
      <c r="G141" s="17"/>
    </row>
    <row r="142" spans="5:7">
      <c r="E142" s="17"/>
      <c r="G142" s="17"/>
    </row>
    <row r="143" spans="5:7">
      <c r="E143" s="17"/>
      <c r="G143" s="17"/>
    </row>
    <row r="144" spans="5:7">
      <c r="E144" s="17"/>
      <c r="G144" s="17"/>
    </row>
    <row r="145" spans="5:7">
      <c r="E145" s="17"/>
      <c r="G145" s="17"/>
    </row>
    <row r="146" spans="5:7">
      <c r="E146" s="17"/>
      <c r="G146" s="17"/>
    </row>
    <row r="147" spans="5:7">
      <c r="E147" s="17"/>
      <c r="G147" s="17"/>
    </row>
    <row r="148" spans="5:7">
      <c r="E148" s="17"/>
      <c r="G148" s="17"/>
    </row>
    <row r="149" spans="5:7">
      <c r="E149" s="17"/>
      <c r="G149" s="17"/>
    </row>
    <row r="150" spans="5:7">
      <c r="E150" s="17"/>
      <c r="G150" s="17"/>
    </row>
    <row r="151" spans="5:7">
      <c r="E151" s="17"/>
      <c r="G151" s="17"/>
    </row>
    <row r="152" spans="5:7">
      <c r="E152" s="17"/>
      <c r="G152" s="17"/>
    </row>
    <row r="153" spans="5:7">
      <c r="E153" s="17"/>
      <c r="G153" s="17"/>
    </row>
    <row r="154" spans="5:7">
      <c r="E154" s="17"/>
      <c r="G154" s="17"/>
    </row>
    <row r="155" spans="5:7">
      <c r="E155" s="17"/>
      <c r="G155" s="17"/>
    </row>
    <row r="156" spans="5:7">
      <c r="E156" s="17"/>
      <c r="G156" s="17"/>
    </row>
    <row r="157" spans="5:7">
      <c r="E157" s="17"/>
    </row>
    <row r="158" spans="5:7">
      <c r="E158" s="17"/>
    </row>
    <row r="159" spans="5:7">
      <c r="E159" s="17"/>
    </row>
    <row r="160" spans="5:7">
      <c r="E160" s="17"/>
    </row>
    <row r="161" spans="5:5">
      <c r="E161" s="17"/>
    </row>
    <row r="162" spans="5:5">
      <c r="E162" s="17"/>
    </row>
    <row r="163" spans="5:5">
      <c r="E163" s="17"/>
    </row>
    <row r="164" spans="5:5">
      <c r="E164" s="17"/>
    </row>
    <row r="165" spans="5:5">
      <c r="E165" s="17"/>
    </row>
    <row r="166" spans="5:5">
      <c r="E166" s="17"/>
    </row>
    <row r="167" spans="5:5">
      <c r="E167" s="17"/>
    </row>
    <row r="168" spans="5:5">
      <c r="E168" s="17"/>
    </row>
    <row r="169" spans="5:5">
      <c r="E169" s="17"/>
    </row>
    <row r="170" spans="5:5">
      <c r="E170" s="17"/>
    </row>
    <row r="171" spans="5:5">
      <c r="E171" s="17"/>
    </row>
    <row r="172" spans="5:5">
      <c r="E172" s="17"/>
    </row>
    <row r="173" spans="5:5">
      <c r="E173" s="17"/>
    </row>
    <row r="174" spans="5:5">
      <c r="E174" s="17"/>
    </row>
    <row r="175" spans="5:5">
      <c r="E175" s="17"/>
    </row>
    <row r="176" spans="5:5">
      <c r="E176" s="17"/>
    </row>
    <row r="177" spans="5:5">
      <c r="E177" s="17"/>
    </row>
    <row r="178" spans="5:5">
      <c r="E178" s="17"/>
    </row>
    <row r="179" spans="5:5">
      <c r="E179" s="17"/>
    </row>
    <row r="180" spans="5:5">
      <c r="E180" s="17"/>
    </row>
    <row r="181" spans="5:5">
      <c r="E181" s="17"/>
    </row>
    <row r="182" spans="5:5">
      <c r="E182" s="17"/>
    </row>
    <row r="183" spans="5:5">
      <c r="E183" s="17"/>
    </row>
    <row r="184" spans="5:5">
      <c r="E184" s="17"/>
    </row>
    <row r="185" spans="5:5">
      <c r="E185" s="17"/>
    </row>
    <row r="186" spans="5:5">
      <c r="E186" s="17"/>
    </row>
    <row r="187" spans="5:5">
      <c r="E187" s="17"/>
    </row>
    <row r="188" spans="5:5">
      <c r="E188" s="17"/>
    </row>
    <row r="189" spans="5:5">
      <c r="E189" s="17"/>
    </row>
    <row r="190" spans="5:5">
      <c r="E190" s="17"/>
    </row>
    <row r="191" spans="5:5">
      <c r="E191" s="17"/>
    </row>
    <row r="192" spans="5:5">
      <c r="E192" s="17"/>
    </row>
    <row r="193" spans="5:5">
      <c r="E193" s="17"/>
    </row>
    <row r="194" spans="5:5">
      <c r="E194" s="17"/>
    </row>
    <row r="195" spans="5:5">
      <c r="E195" s="17"/>
    </row>
    <row r="196" spans="5:5">
      <c r="E196" s="17"/>
    </row>
    <row r="197" spans="5:5">
      <c r="E197" s="17"/>
    </row>
    <row r="198" spans="5:5">
      <c r="E198" s="17"/>
    </row>
    <row r="199" spans="5:5">
      <c r="E199" s="17"/>
    </row>
    <row r="200" spans="5:5">
      <c r="E200" s="17"/>
    </row>
    <row r="201" spans="5:5">
      <c r="E201" s="17"/>
    </row>
    <row r="202" spans="5:5">
      <c r="E202" s="17"/>
    </row>
    <row r="203" spans="5:5">
      <c r="E203" s="17"/>
    </row>
    <row r="204" spans="5:5">
      <c r="E204" s="17"/>
    </row>
    <row r="205" spans="5:5">
      <c r="E205" s="17"/>
    </row>
    <row r="206" spans="5:5">
      <c r="E206" s="17"/>
    </row>
    <row r="207" spans="5:5">
      <c r="E207" s="17"/>
    </row>
    <row r="208" spans="5:5">
      <c r="E208" s="17"/>
    </row>
    <row r="209" spans="5:5">
      <c r="E209" s="17"/>
    </row>
    <row r="210" spans="5:5">
      <c r="E210" s="17"/>
    </row>
    <row r="211" spans="5:5">
      <c r="E211" s="17"/>
    </row>
    <row r="212" spans="5:5">
      <c r="E212" s="17"/>
    </row>
    <row r="213" spans="5:5">
      <c r="E213" s="17"/>
    </row>
    <row r="214" spans="5:5">
      <c r="E214" s="17"/>
    </row>
    <row r="215" spans="5:5">
      <c r="E215" s="17"/>
    </row>
    <row r="216" spans="5:5">
      <c r="E216" s="17"/>
    </row>
    <row r="217" spans="5:5">
      <c r="E217" s="17"/>
    </row>
    <row r="218" spans="5:5">
      <c r="E218" s="17"/>
    </row>
    <row r="219" spans="5:5">
      <c r="E219" s="17"/>
    </row>
    <row r="220" spans="5:5">
      <c r="E220" s="17"/>
    </row>
    <row r="221" spans="5:5">
      <c r="E221" s="17"/>
    </row>
    <row r="222" spans="5:5">
      <c r="E222" s="17"/>
    </row>
    <row r="223" spans="5:5">
      <c r="E223" s="17"/>
    </row>
    <row r="224" spans="5:5">
      <c r="E224" s="17"/>
    </row>
    <row r="225" spans="5:5">
      <c r="E225" s="17"/>
    </row>
    <row r="226" spans="5:5">
      <c r="E226" s="17"/>
    </row>
    <row r="227" spans="5:5">
      <c r="E227" s="17"/>
    </row>
    <row r="228" spans="5:5">
      <c r="E228" s="17"/>
    </row>
    <row r="229" spans="5:5">
      <c r="E229" s="17"/>
    </row>
    <row r="230" spans="5:5">
      <c r="E230" s="17"/>
    </row>
    <row r="231" spans="5:5">
      <c r="E231" s="17"/>
    </row>
    <row r="232" spans="5:5">
      <c r="E232" s="17"/>
    </row>
    <row r="233" spans="5:5">
      <c r="E233" s="17"/>
    </row>
    <row r="234" spans="5:5">
      <c r="E234" s="17"/>
    </row>
    <row r="235" spans="5:5">
      <c r="E235" s="17"/>
    </row>
    <row r="236" spans="5:5">
      <c r="E236" s="17"/>
    </row>
    <row r="237" spans="5:5">
      <c r="E237" s="17"/>
    </row>
    <row r="238" spans="5:5">
      <c r="E238" s="17"/>
    </row>
    <row r="239" spans="5:5">
      <c r="E239" s="17"/>
    </row>
    <row r="240" spans="5:5">
      <c r="E240" s="17"/>
    </row>
    <row r="241" spans="5:5">
      <c r="E241" s="17"/>
    </row>
    <row r="242" spans="5:5">
      <c r="E242" s="17"/>
    </row>
    <row r="243" spans="5:5">
      <c r="E243" s="17"/>
    </row>
    <row r="244" spans="5:5">
      <c r="E244" s="17"/>
    </row>
    <row r="245" spans="5:5">
      <c r="E245" s="17"/>
    </row>
    <row r="246" spans="5:5">
      <c r="E246" s="17"/>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2C01-2578-4164-886F-4EACFE273EAA}">
  <sheetPr>
    <tabColor rgb="FF0070C0"/>
  </sheetPr>
  <dimension ref="A1:Q41"/>
  <sheetViews>
    <sheetView topLeftCell="A4" workbookViewId="0">
      <selection activeCell="B3" sqref="B3"/>
    </sheetView>
  </sheetViews>
  <sheetFormatPr defaultRowHeight="14.4"/>
  <cols>
    <col min="1" max="1" width="17.6640625" customWidth="1"/>
    <col min="2" max="2" width="40.109375" customWidth="1"/>
    <col min="6" max="6" width="19.21875" customWidth="1"/>
  </cols>
  <sheetData>
    <row r="1" spans="1:17">
      <c r="A1" t="s">
        <v>564</v>
      </c>
    </row>
    <row r="2" spans="1:17">
      <c r="A2" t="s">
        <v>565</v>
      </c>
      <c r="B2" t="s">
        <v>566</v>
      </c>
    </row>
    <row r="3" spans="1:17">
      <c r="A3" t="s">
        <v>567</v>
      </c>
      <c r="B3" t="s">
        <v>175</v>
      </c>
    </row>
    <row r="4" spans="1:17">
      <c r="A4" t="s">
        <v>568</v>
      </c>
      <c r="B4" t="s">
        <v>569</v>
      </c>
    </row>
    <row r="7" spans="1:17">
      <c r="A7" t="s">
        <v>643</v>
      </c>
    </row>
    <row r="8" spans="1:17">
      <c r="A8" t="s">
        <v>570</v>
      </c>
      <c r="B8" t="s">
        <v>571</v>
      </c>
      <c r="C8" t="s">
        <v>568</v>
      </c>
      <c r="D8" t="s">
        <v>572</v>
      </c>
      <c r="E8" t="s">
        <v>573</v>
      </c>
      <c r="F8" t="s">
        <v>574</v>
      </c>
      <c r="G8" t="s">
        <v>575</v>
      </c>
      <c r="H8" t="s">
        <v>576</v>
      </c>
      <c r="I8" t="s">
        <v>577</v>
      </c>
      <c r="J8" t="s">
        <v>578</v>
      </c>
      <c r="K8" t="s">
        <v>579</v>
      </c>
      <c r="L8" t="s">
        <v>580</v>
      </c>
      <c r="M8" t="s">
        <v>581</v>
      </c>
      <c r="N8" t="s">
        <v>582</v>
      </c>
      <c r="O8" t="s">
        <v>583</v>
      </c>
      <c r="P8" t="s">
        <v>584</v>
      </c>
      <c r="Q8" t="s">
        <v>585</v>
      </c>
    </row>
    <row r="9" spans="1:17">
      <c r="B9" t="s">
        <v>586</v>
      </c>
      <c r="C9" t="s">
        <v>587</v>
      </c>
      <c r="D9">
        <v>0.21261516641161099</v>
      </c>
      <c r="E9" t="s">
        <v>94</v>
      </c>
      <c r="H9" t="s">
        <v>588</v>
      </c>
      <c r="I9">
        <v>0.21261516641161099</v>
      </c>
      <c r="J9">
        <v>1.0247973619913604</v>
      </c>
      <c r="O9" t="s">
        <v>589</v>
      </c>
      <c r="Q9" t="s">
        <v>590</v>
      </c>
    </row>
    <row r="10" spans="1:17">
      <c r="B10" t="s">
        <v>591</v>
      </c>
      <c r="C10" t="s">
        <v>592</v>
      </c>
      <c r="D10">
        <v>1.94999999874409E-4</v>
      </c>
      <c r="E10" t="s">
        <v>94</v>
      </c>
      <c r="H10" t="s">
        <v>588</v>
      </c>
      <c r="I10">
        <v>1.94999999874409E-4</v>
      </c>
      <c r="J10">
        <v>1</v>
      </c>
      <c r="N10" t="s">
        <v>593</v>
      </c>
      <c r="O10" t="s">
        <v>594</v>
      </c>
      <c r="Q10" t="s">
        <v>595</v>
      </c>
    </row>
    <row r="11" spans="1:17">
      <c r="B11" t="s">
        <v>596</v>
      </c>
      <c r="C11" t="s">
        <v>597</v>
      </c>
      <c r="D11">
        <v>1.49999999903391E-3</v>
      </c>
      <c r="E11" t="s">
        <v>598</v>
      </c>
      <c r="H11" t="s">
        <v>588</v>
      </c>
      <c r="I11">
        <v>1.49999999903391E-3</v>
      </c>
      <c r="J11">
        <v>1.0247973619913604</v>
      </c>
      <c r="N11" t="s">
        <v>599</v>
      </c>
      <c r="O11" t="s">
        <v>594</v>
      </c>
      <c r="Q11" t="s">
        <v>600</v>
      </c>
    </row>
    <row r="12" spans="1:17">
      <c r="B12" t="s">
        <v>601</v>
      </c>
      <c r="C12" t="s">
        <v>587</v>
      </c>
      <c r="D12">
        <v>6.5999999957492205E-5</v>
      </c>
      <c r="E12" t="s">
        <v>94</v>
      </c>
      <c r="H12" t="s">
        <v>588</v>
      </c>
      <c r="I12">
        <v>6.5999999957492205E-5</v>
      </c>
      <c r="J12">
        <v>1.0247973619913604</v>
      </c>
      <c r="O12" t="s">
        <v>589</v>
      </c>
      <c r="Q12" t="s">
        <v>602</v>
      </c>
    </row>
    <row r="13" spans="1:17">
      <c r="B13" t="s">
        <v>603</v>
      </c>
      <c r="C13" t="s">
        <v>587</v>
      </c>
      <c r="D13">
        <v>2.2583168547403401</v>
      </c>
      <c r="E13" t="s">
        <v>94</v>
      </c>
      <c r="H13" t="s">
        <v>588</v>
      </c>
      <c r="I13">
        <v>2.2583168547403401</v>
      </c>
      <c r="J13">
        <v>1.0247973619913604</v>
      </c>
      <c r="O13" t="s">
        <v>589</v>
      </c>
      <c r="Q13" t="s">
        <v>604</v>
      </c>
    </row>
    <row r="14" spans="1:17">
      <c r="B14" t="s">
        <v>605</v>
      </c>
      <c r="C14" t="s">
        <v>606</v>
      </c>
      <c r="D14">
        <v>1.8993352314452899E-2</v>
      </c>
      <c r="E14" t="s">
        <v>607</v>
      </c>
      <c r="H14" t="s">
        <v>588</v>
      </c>
      <c r="I14">
        <v>1.8993352314452899E-2</v>
      </c>
      <c r="J14">
        <v>1.0247973619913604</v>
      </c>
      <c r="N14" t="s">
        <v>608</v>
      </c>
      <c r="O14" t="s">
        <v>609</v>
      </c>
      <c r="Q14" t="s">
        <v>610</v>
      </c>
    </row>
    <row r="15" spans="1:17">
      <c r="B15" t="s">
        <v>605</v>
      </c>
      <c r="C15" t="s">
        <v>606</v>
      </c>
      <c r="D15">
        <v>6.4881291506170904E-2</v>
      </c>
      <c r="E15" t="s">
        <v>607</v>
      </c>
      <c r="H15" t="s">
        <v>588</v>
      </c>
      <c r="I15">
        <v>6.4881291506170904E-2</v>
      </c>
      <c r="J15">
        <v>1.0247973619913604</v>
      </c>
      <c r="N15" t="s">
        <v>611</v>
      </c>
      <c r="O15" t="s">
        <v>612</v>
      </c>
      <c r="Q15" t="s">
        <v>613</v>
      </c>
    </row>
    <row r="16" spans="1:17">
      <c r="B16" t="s">
        <v>614</v>
      </c>
      <c r="C16" t="s">
        <v>615</v>
      </c>
      <c r="D16">
        <v>4.9999999967797098E-11</v>
      </c>
      <c r="E16" t="s">
        <v>616</v>
      </c>
      <c r="H16" t="s">
        <v>588</v>
      </c>
      <c r="I16">
        <v>4.9999999967797098E-11</v>
      </c>
      <c r="J16">
        <v>1.0247973619913604</v>
      </c>
      <c r="N16" t="s">
        <v>617</v>
      </c>
      <c r="O16" t="s">
        <v>618</v>
      </c>
      <c r="Q16" t="s">
        <v>619</v>
      </c>
    </row>
    <row r="17" spans="1:17">
      <c r="B17" t="s">
        <v>620</v>
      </c>
      <c r="C17" t="s">
        <v>621</v>
      </c>
      <c r="D17">
        <v>3.6559999976453198E-7</v>
      </c>
      <c r="E17" t="s">
        <v>622</v>
      </c>
      <c r="H17" t="s">
        <v>588</v>
      </c>
      <c r="I17">
        <v>3.6559999976453198E-7</v>
      </c>
      <c r="J17">
        <v>1.2214027581601699</v>
      </c>
      <c r="O17" t="s">
        <v>594</v>
      </c>
      <c r="Q17" t="s">
        <v>623</v>
      </c>
    </row>
    <row r="18" spans="1:17">
      <c r="B18" t="s">
        <v>624</v>
      </c>
      <c r="C18" t="s">
        <v>625</v>
      </c>
      <c r="D18">
        <v>1.9299999987569701E-4</v>
      </c>
      <c r="E18" t="s">
        <v>626</v>
      </c>
      <c r="H18" t="s">
        <v>588</v>
      </c>
      <c r="I18">
        <v>1.9299999987569701E-4</v>
      </c>
      <c r="J18">
        <v>1.4139824580805163</v>
      </c>
      <c r="N18" t="s">
        <v>627</v>
      </c>
      <c r="O18" t="s">
        <v>594</v>
      </c>
      <c r="Q18" t="s">
        <v>628</v>
      </c>
    </row>
    <row r="19" spans="1:17">
      <c r="B19" t="s">
        <v>629</v>
      </c>
      <c r="C19" t="s">
        <v>621</v>
      </c>
      <c r="D19">
        <v>1.3399999991369599E-4</v>
      </c>
      <c r="E19" t="s">
        <v>626</v>
      </c>
      <c r="H19" t="s">
        <v>588</v>
      </c>
      <c r="I19">
        <v>1.3399999991369599E-4</v>
      </c>
      <c r="J19">
        <v>1.4139824580805163</v>
      </c>
      <c r="O19" t="s">
        <v>594</v>
      </c>
      <c r="Q19" t="s">
        <v>630</v>
      </c>
    </row>
    <row r="20" spans="1:17">
      <c r="B20" t="s">
        <v>631</v>
      </c>
      <c r="C20" t="s">
        <v>621</v>
      </c>
      <c r="D20">
        <v>4.2599999972563097E-5</v>
      </c>
      <c r="E20" t="s">
        <v>626</v>
      </c>
      <c r="H20" t="s">
        <v>588</v>
      </c>
      <c r="I20">
        <v>4.2599999972563097E-5</v>
      </c>
      <c r="J20">
        <v>1.4139824580805163</v>
      </c>
      <c r="O20" t="s">
        <v>594</v>
      </c>
      <c r="Q20" t="s">
        <v>630</v>
      </c>
    </row>
    <row r="21" spans="1:17">
      <c r="B21" t="s">
        <v>632</v>
      </c>
      <c r="C21" t="s">
        <v>621</v>
      </c>
      <c r="D21">
        <v>3.3399999978488499E-5</v>
      </c>
      <c r="E21" t="s">
        <v>626</v>
      </c>
      <c r="H21" t="s">
        <v>588</v>
      </c>
      <c r="I21">
        <v>3.3399999978488499E-5</v>
      </c>
      <c r="J21">
        <v>1.4139824580805163</v>
      </c>
      <c r="O21" t="s">
        <v>594</v>
      </c>
      <c r="Q21" t="s">
        <v>630</v>
      </c>
    </row>
    <row r="22" spans="1:17">
      <c r="B22" t="s">
        <v>633</v>
      </c>
      <c r="C22" t="s">
        <v>621</v>
      </c>
      <c r="D22">
        <v>1.5999999989695101E-7</v>
      </c>
      <c r="E22" t="s">
        <v>626</v>
      </c>
      <c r="H22" t="s">
        <v>588</v>
      </c>
      <c r="I22">
        <v>1.5999999989695101E-7</v>
      </c>
      <c r="J22">
        <v>1.4139824580805163</v>
      </c>
      <c r="O22" t="s">
        <v>634</v>
      </c>
      <c r="Q22" t="s">
        <v>635</v>
      </c>
    </row>
    <row r="23" spans="1:17">
      <c r="B23" t="s">
        <v>636</v>
      </c>
      <c r="C23" t="s">
        <v>621</v>
      </c>
      <c r="D23">
        <v>2.0999999986474801E-4</v>
      </c>
      <c r="E23" t="s">
        <v>626</v>
      </c>
      <c r="H23" t="s">
        <v>588</v>
      </c>
      <c r="I23">
        <v>2.0999999986474801E-4</v>
      </c>
      <c r="J23">
        <v>1.4139824580805163</v>
      </c>
      <c r="O23" t="s">
        <v>594</v>
      </c>
      <c r="Q23" t="s">
        <v>637</v>
      </c>
    </row>
    <row r="24" spans="1:17">
      <c r="B24" t="s">
        <v>638</v>
      </c>
      <c r="C24" t="s">
        <v>639</v>
      </c>
      <c r="D24">
        <v>4.9999999967797104E-4</v>
      </c>
      <c r="E24" t="s">
        <v>640</v>
      </c>
      <c r="H24" t="s">
        <v>588</v>
      </c>
      <c r="I24">
        <v>4.9999999967797104E-4</v>
      </c>
      <c r="J24">
        <v>1.0247973619913604</v>
      </c>
      <c r="O24" t="s">
        <v>641</v>
      </c>
      <c r="Q24" t="s">
        <v>642</v>
      </c>
    </row>
    <row r="26" spans="1:17">
      <c r="A26" t="s">
        <v>644</v>
      </c>
    </row>
    <row r="27" spans="1:17">
      <c r="A27" s="421" t="s">
        <v>570</v>
      </c>
      <c r="B27" s="421" t="s">
        <v>571</v>
      </c>
      <c r="C27" s="421" t="s">
        <v>568</v>
      </c>
      <c r="D27" s="421" t="s">
        <v>572</v>
      </c>
      <c r="E27" s="421" t="s">
        <v>573</v>
      </c>
      <c r="F27" s="421" t="s">
        <v>574</v>
      </c>
      <c r="G27" s="421" t="s">
        <v>575</v>
      </c>
      <c r="H27" s="421" t="s">
        <v>576</v>
      </c>
      <c r="I27" s="421" t="s">
        <v>577</v>
      </c>
      <c r="J27" s="421" t="s">
        <v>578</v>
      </c>
      <c r="K27" s="421" t="s">
        <v>579</v>
      </c>
      <c r="L27" s="421" t="s">
        <v>580</v>
      </c>
      <c r="M27" s="421" t="s">
        <v>581</v>
      </c>
      <c r="N27" s="421" t="s">
        <v>582</v>
      </c>
      <c r="O27" s="421" t="s">
        <v>583</v>
      </c>
      <c r="P27" s="421" t="s">
        <v>584</v>
      </c>
      <c r="Q27" s="421" t="s">
        <v>585</v>
      </c>
    </row>
    <row r="28" spans="1:17">
      <c r="A28" s="421" t="s">
        <v>645</v>
      </c>
      <c r="B28" s="421" t="s">
        <v>646</v>
      </c>
      <c r="C28" s="421" t="s">
        <v>569</v>
      </c>
      <c r="D28" s="421">
        <v>1</v>
      </c>
      <c r="E28" s="421" t="s">
        <v>94</v>
      </c>
      <c r="F28" s="421">
        <v>3.3000000000000002E-2</v>
      </c>
      <c r="G28" s="421" t="s">
        <v>647</v>
      </c>
      <c r="M28" s="421"/>
      <c r="O28" s="421"/>
      <c r="P28" s="421"/>
      <c r="Q28" s="421" t="s">
        <v>648</v>
      </c>
    </row>
    <row r="29" spans="1:17">
      <c r="B29" t="s">
        <v>649</v>
      </c>
      <c r="C29" t="s">
        <v>650</v>
      </c>
      <c r="D29">
        <v>1.7867052322650698E-5</v>
      </c>
      <c r="E29" t="s">
        <v>94</v>
      </c>
      <c r="H29" t="s">
        <v>588</v>
      </c>
      <c r="I29">
        <v>1.7867052322650698E-5</v>
      </c>
      <c r="J29">
        <v>1.0247973619913604</v>
      </c>
      <c r="N29" t="s">
        <v>651</v>
      </c>
      <c r="O29" t="s">
        <v>641</v>
      </c>
      <c r="Q29" t="s">
        <v>652</v>
      </c>
    </row>
    <row r="30" spans="1:17">
      <c r="B30" t="s">
        <v>649</v>
      </c>
      <c r="C30" t="s">
        <v>650</v>
      </c>
      <c r="D30">
        <v>6.2979064251127796E-5</v>
      </c>
      <c r="E30" t="s">
        <v>94</v>
      </c>
      <c r="H30" t="s">
        <v>588</v>
      </c>
      <c r="I30">
        <v>6.2979064251127796E-5</v>
      </c>
      <c r="J30">
        <v>1.0247973619913604</v>
      </c>
      <c r="N30" t="s">
        <v>651</v>
      </c>
      <c r="O30" t="s">
        <v>641</v>
      </c>
      <c r="Q30" t="s">
        <v>652</v>
      </c>
    </row>
    <row r="31" spans="1:17">
      <c r="B31" t="s">
        <v>649</v>
      </c>
      <c r="C31" t="s">
        <v>650</v>
      </c>
      <c r="D31">
        <v>1.5388337405288999E-7</v>
      </c>
      <c r="E31" t="s">
        <v>94</v>
      </c>
      <c r="H31" t="s">
        <v>588</v>
      </c>
      <c r="I31">
        <v>1.5388337405288999E-7</v>
      </c>
      <c r="J31">
        <v>1.0247973619913604</v>
      </c>
      <c r="N31" t="s">
        <v>651</v>
      </c>
      <c r="O31" t="s">
        <v>641</v>
      </c>
      <c r="Q31" t="s">
        <v>652</v>
      </c>
    </row>
    <row r="32" spans="1:17">
      <c r="B32" t="s">
        <v>653</v>
      </c>
      <c r="C32" t="s">
        <v>654</v>
      </c>
      <c r="D32">
        <v>4.9154541848011301E-6</v>
      </c>
      <c r="E32" t="s">
        <v>94</v>
      </c>
      <c r="H32" t="s">
        <v>588</v>
      </c>
      <c r="I32">
        <v>4.9154541848011301E-6</v>
      </c>
      <c r="J32">
        <v>1</v>
      </c>
      <c r="O32" t="s">
        <v>612</v>
      </c>
      <c r="Q32" t="s">
        <v>655</v>
      </c>
    </row>
    <row r="33" spans="2:17">
      <c r="B33" t="s">
        <v>656</v>
      </c>
      <c r="C33" t="s">
        <v>654</v>
      </c>
      <c r="D33">
        <v>5.08454580875829E-5</v>
      </c>
      <c r="E33" t="s">
        <v>94</v>
      </c>
      <c r="H33" t="s">
        <v>588</v>
      </c>
      <c r="I33">
        <v>5.08454580875829E-5</v>
      </c>
      <c r="J33">
        <v>1</v>
      </c>
      <c r="O33" t="s">
        <v>612</v>
      </c>
      <c r="Q33" t="s">
        <v>655</v>
      </c>
    </row>
    <row r="34" spans="2:17">
      <c r="B34" t="s">
        <v>657</v>
      </c>
      <c r="C34" t="s">
        <v>654</v>
      </c>
      <c r="D34">
        <v>4.4239087663210202E-5</v>
      </c>
      <c r="E34" t="s">
        <v>94</v>
      </c>
      <c r="H34" t="s">
        <v>588</v>
      </c>
      <c r="I34">
        <v>4.4239087663210202E-5</v>
      </c>
      <c r="J34">
        <v>1</v>
      </c>
      <c r="O34" t="s">
        <v>612</v>
      </c>
      <c r="Q34" t="s">
        <v>655</v>
      </c>
    </row>
    <row r="35" spans="2:17">
      <c r="B35" t="s">
        <v>251</v>
      </c>
      <c r="C35" t="s">
        <v>658</v>
      </c>
      <c r="D35">
        <v>4.4699999971210602E-4</v>
      </c>
      <c r="E35" t="s">
        <v>640</v>
      </c>
      <c r="H35" t="s">
        <v>588</v>
      </c>
      <c r="I35">
        <v>4.4699999971210602E-4</v>
      </c>
      <c r="J35">
        <v>1.0247973619913604</v>
      </c>
      <c r="O35" t="s">
        <v>612</v>
      </c>
      <c r="Q35" t="s">
        <v>659</v>
      </c>
    </row>
    <row r="36" spans="2:17">
      <c r="B36" t="s">
        <v>660</v>
      </c>
      <c r="C36" t="s">
        <v>661</v>
      </c>
      <c r="D36">
        <v>2.9999999980678298E-5</v>
      </c>
      <c r="E36" t="s">
        <v>640</v>
      </c>
      <c r="H36" t="s">
        <v>588</v>
      </c>
      <c r="I36">
        <v>2.9999999980678298E-5</v>
      </c>
      <c r="J36">
        <v>1.0247973619913604</v>
      </c>
      <c r="O36" t="s">
        <v>641</v>
      </c>
      <c r="Q36" t="s">
        <v>662</v>
      </c>
    </row>
    <row r="37" spans="2:17">
      <c r="B37" s="1043" t="s">
        <v>5218</v>
      </c>
      <c r="C37" s="1043"/>
      <c r="D37" s="1043"/>
      <c r="E37" s="613"/>
      <c r="F37" s="613"/>
    </row>
    <row r="38" spans="2:17">
      <c r="B38" s="430" t="s">
        <v>596</v>
      </c>
      <c r="C38" s="430">
        <f>SUMIFS($D$9:$D$24,$B$9:$B$24,B38)</f>
        <v>1.49999999903391E-3</v>
      </c>
      <c r="D38" s="431" t="s">
        <v>598</v>
      </c>
      <c r="E38" s="433">
        <v>1.5E-3</v>
      </c>
      <c r="F38" s="433" t="s">
        <v>5206</v>
      </c>
    </row>
    <row r="39" spans="2:17">
      <c r="B39" s="430" t="s">
        <v>605</v>
      </c>
      <c r="C39" s="619">
        <f>SUMIFS($D$9:$D$24,$B$9:$B$24,B39)</f>
        <v>8.3874643820623804E-2</v>
      </c>
      <c r="D39" s="431" t="s">
        <v>607</v>
      </c>
      <c r="E39" s="433">
        <v>8.387E-2</v>
      </c>
      <c r="F39" s="433" t="s">
        <v>5207</v>
      </c>
    </row>
    <row r="40" spans="2:17">
      <c r="B40" s="430" t="s">
        <v>646</v>
      </c>
      <c r="C40" s="430">
        <v>1</v>
      </c>
      <c r="D40" s="431" t="s">
        <v>94</v>
      </c>
    </row>
    <row r="41" spans="2:17">
      <c r="B41" s="458" t="s">
        <v>127</v>
      </c>
      <c r="C41" s="620">
        <f>C39+3.6*C38</f>
        <v>8.9274643817145879E-2</v>
      </c>
      <c r="D41" s="458" t="s">
        <v>607</v>
      </c>
    </row>
  </sheetData>
  <mergeCells count="1">
    <mergeCell ref="B37:D37"/>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2AFB-7FB4-49EF-BEEB-6565CCA23AA7}">
  <sheetPr>
    <tabColor rgb="FF0070C0"/>
  </sheetPr>
  <dimension ref="A1:Q127"/>
  <sheetViews>
    <sheetView topLeftCell="A107" zoomScaleNormal="100" workbookViewId="0">
      <selection activeCell="D130" sqref="D130"/>
    </sheetView>
  </sheetViews>
  <sheetFormatPr defaultRowHeight="14.4"/>
  <cols>
    <col min="2" max="2" width="22.33203125" customWidth="1"/>
    <col min="3" max="3" width="12" customWidth="1"/>
  </cols>
  <sheetData>
    <row r="1" spans="1:17">
      <c r="A1" s="421" t="s">
        <v>564</v>
      </c>
    </row>
    <row r="2" spans="1:17">
      <c r="A2" s="423" t="s">
        <v>565</v>
      </c>
      <c r="B2" t="s">
        <v>5250</v>
      </c>
    </row>
    <row r="3" spans="1:17">
      <c r="A3" s="423" t="s">
        <v>567</v>
      </c>
      <c r="B3" t="s">
        <v>663</v>
      </c>
    </row>
    <row r="4" spans="1:17">
      <c r="A4" s="423" t="s">
        <v>568</v>
      </c>
      <c r="B4" t="s">
        <v>664</v>
      </c>
    </row>
    <row r="5" spans="1:17">
      <c r="A5" s="423" t="s">
        <v>585</v>
      </c>
      <c r="B5" t="s">
        <v>5274</v>
      </c>
    </row>
    <row r="6" spans="1:17">
      <c r="A6" s="423" t="s">
        <v>665</v>
      </c>
    </row>
    <row r="7" spans="1:17">
      <c r="A7" s="421" t="s">
        <v>570</v>
      </c>
      <c r="B7" s="421" t="s">
        <v>571</v>
      </c>
      <c r="C7" s="421" t="s">
        <v>568</v>
      </c>
      <c r="D7" s="421" t="s">
        <v>572</v>
      </c>
      <c r="E7" s="421" t="s">
        <v>573</v>
      </c>
      <c r="F7" s="421" t="s">
        <v>574</v>
      </c>
      <c r="G7" s="421" t="s">
        <v>575</v>
      </c>
      <c r="H7" s="421" t="s">
        <v>576</v>
      </c>
      <c r="I7" s="421" t="s">
        <v>577</v>
      </c>
      <c r="J7" s="421" t="s">
        <v>578</v>
      </c>
      <c r="K7" s="421" t="s">
        <v>579</v>
      </c>
      <c r="L7" s="421" t="s">
        <v>580</v>
      </c>
      <c r="M7" s="421" t="s">
        <v>581</v>
      </c>
      <c r="N7" s="421" t="s">
        <v>582</v>
      </c>
      <c r="O7" s="421" t="s">
        <v>583</v>
      </c>
      <c r="P7" s="421" t="s">
        <v>584</v>
      </c>
      <c r="Q7" s="421" t="s">
        <v>585</v>
      </c>
    </row>
    <row r="8" spans="1:17">
      <c r="B8" t="s">
        <v>666</v>
      </c>
      <c r="C8" t="s">
        <v>667</v>
      </c>
      <c r="D8">
        <v>1.4454041530987701E-6</v>
      </c>
      <c r="E8" t="s">
        <v>94</v>
      </c>
      <c r="H8" t="s">
        <v>588</v>
      </c>
      <c r="I8">
        <v>1.4454041530987701E-6</v>
      </c>
      <c r="J8">
        <v>1.0247973619913604</v>
      </c>
      <c r="N8" t="s">
        <v>668</v>
      </c>
      <c r="O8" t="s">
        <v>5275</v>
      </c>
    </row>
    <row r="9" spans="1:17">
      <c r="B9" t="s">
        <v>669</v>
      </c>
      <c r="C9" t="s">
        <v>670</v>
      </c>
      <c r="D9">
        <v>3.01219996477809E-8</v>
      </c>
      <c r="E9" t="s">
        <v>94</v>
      </c>
      <c r="H9" t="s">
        <v>588</v>
      </c>
      <c r="I9">
        <v>3.01219996477809E-8</v>
      </c>
      <c r="J9">
        <v>1.0247973619913604</v>
      </c>
      <c r="N9" t="s">
        <v>671</v>
      </c>
      <c r="O9" t="s">
        <v>5275</v>
      </c>
    </row>
    <row r="10" spans="1:17">
      <c r="B10" t="s">
        <v>672</v>
      </c>
      <c r="C10" t="s">
        <v>673</v>
      </c>
      <c r="D10">
        <v>1.4510058079476401E-4</v>
      </c>
      <c r="E10" t="s">
        <v>94</v>
      </c>
      <c r="H10" t="s">
        <v>588</v>
      </c>
      <c r="I10">
        <v>1.4510058079476401E-4</v>
      </c>
      <c r="J10">
        <v>1.0247973619913604</v>
      </c>
      <c r="N10" t="s">
        <v>674</v>
      </c>
      <c r="O10" t="s">
        <v>5275</v>
      </c>
    </row>
    <row r="11" spans="1:17">
      <c r="B11" t="s">
        <v>675</v>
      </c>
      <c r="C11" t="s">
        <v>676</v>
      </c>
      <c r="D11">
        <v>3.0121999647781201E-7</v>
      </c>
      <c r="E11" t="s">
        <v>94</v>
      </c>
      <c r="H11" t="s">
        <v>588</v>
      </c>
      <c r="I11">
        <v>3.0121999647781201E-7</v>
      </c>
      <c r="J11">
        <v>1.0247973619913604</v>
      </c>
      <c r="N11" t="s">
        <v>677</v>
      </c>
      <c r="O11" t="s">
        <v>5275</v>
      </c>
    </row>
    <row r="12" spans="1:17">
      <c r="B12" t="s">
        <v>678</v>
      </c>
      <c r="C12" t="s">
        <v>569</v>
      </c>
      <c r="D12">
        <v>3.01219996477809E-8</v>
      </c>
      <c r="E12" t="s">
        <v>94</v>
      </c>
      <c r="H12" t="s">
        <v>588</v>
      </c>
      <c r="I12">
        <v>3.01219996477809E-8</v>
      </c>
      <c r="J12">
        <v>1.0247973619913604</v>
      </c>
      <c r="N12" t="s">
        <v>679</v>
      </c>
      <c r="O12" t="s">
        <v>5275</v>
      </c>
    </row>
    <row r="13" spans="1:17">
      <c r="B13" t="s">
        <v>680</v>
      </c>
      <c r="C13" t="s">
        <v>650</v>
      </c>
      <c r="D13">
        <v>2.3827543367631101E-4</v>
      </c>
      <c r="E13" t="s">
        <v>94</v>
      </c>
      <c r="H13" t="s">
        <v>588</v>
      </c>
      <c r="I13">
        <v>2.3827543367631101E-4</v>
      </c>
      <c r="J13">
        <v>1.0247973619913604</v>
      </c>
      <c r="N13" t="s">
        <v>681</v>
      </c>
      <c r="O13" t="s">
        <v>5275</v>
      </c>
    </row>
    <row r="14" spans="1:17">
      <c r="B14" t="s">
        <v>682</v>
      </c>
      <c r="C14" t="s">
        <v>667</v>
      </c>
      <c r="D14">
        <v>3.01219996477809E-8</v>
      </c>
      <c r="E14" t="s">
        <v>94</v>
      </c>
      <c r="H14" t="s">
        <v>588</v>
      </c>
      <c r="I14">
        <v>3.01219996477809E-8</v>
      </c>
      <c r="J14">
        <v>1.0247973619913604</v>
      </c>
      <c r="N14" t="s">
        <v>683</v>
      </c>
      <c r="O14" t="s">
        <v>5275</v>
      </c>
    </row>
    <row r="15" spans="1:17">
      <c r="B15" t="s">
        <v>688</v>
      </c>
      <c r="C15" t="s">
        <v>667</v>
      </c>
      <c r="D15">
        <v>3.01219996477809E-8</v>
      </c>
      <c r="E15" t="s">
        <v>94</v>
      </c>
      <c r="H15" t="s">
        <v>588</v>
      </c>
      <c r="I15">
        <v>3.01219996477809E-8</v>
      </c>
      <c r="J15">
        <v>1.0247973619913604</v>
      </c>
      <c r="N15" t="s">
        <v>689</v>
      </c>
      <c r="O15" t="s">
        <v>5275</v>
      </c>
    </row>
    <row r="16" spans="1:17">
      <c r="B16" t="s">
        <v>690</v>
      </c>
      <c r="C16" t="s">
        <v>691</v>
      </c>
      <c r="D16">
        <v>4.0418269103350501E-2</v>
      </c>
      <c r="E16" t="s">
        <v>94</v>
      </c>
      <c r="N16" t="s">
        <v>5276</v>
      </c>
      <c r="Q16" t="s">
        <v>5277</v>
      </c>
    </row>
    <row r="17" spans="1:17">
      <c r="B17" t="s">
        <v>690</v>
      </c>
      <c r="C17" t="s">
        <v>691</v>
      </c>
      <c r="D17">
        <v>6.3485767599059301E-2</v>
      </c>
      <c r="E17" t="s">
        <v>94</v>
      </c>
      <c r="H17" t="s">
        <v>588</v>
      </c>
      <c r="I17">
        <v>6.3485767599059301E-2</v>
      </c>
      <c r="J17">
        <v>1.0247973619913604</v>
      </c>
      <c r="N17" t="s">
        <v>692</v>
      </c>
      <c r="O17" t="s">
        <v>5275</v>
      </c>
      <c r="Q17" t="s">
        <v>5278</v>
      </c>
    </row>
    <row r="18" spans="1:17">
      <c r="B18" t="s">
        <v>690</v>
      </c>
      <c r="C18" t="s">
        <v>691</v>
      </c>
      <c r="D18">
        <v>0.89903068050231805</v>
      </c>
      <c r="E18" t="s">
        <v>94</v>
      </c>
      <c r="N18" t="s">
        <v>5279</v>
      </c>
      <c r="Q18" t="s">
        <v>5277</v>
      </c>
    </row>
    <row r="19" spans="1:17">
      <c r="B19" t="s">
        <v>693</v>
      </c>
      <c r="C19" t="s">
        <v>615</v>
      </c>
      <c r="D19">
        <v>5.4701962359235897E-12</v>
      </c>
      <c r="E19" t="s">
        <v>616</v>
      </c>
      <c r="H19" t="s">
        <v>588</v>
      </c>
      <c r="I19">
        <v>5.4701962359235897E-12</v>
      </c>
      <c r="J19">
        <v>1.7293101253499219</v>
      </c>
      <c r="N19" t="s">
        <v>694</v>
      </c>
      <c r="O19" t="s">
        <v>5275</v>
      </c>
    </row>
    <row r="20" spans="1:17">
      <c r="B20" t="s">
        <v>696</v>
      </c>
      <c r="C20" t="s">
        <v>667</v>
      </c>
      <c r="D20">
        <v>4.51829994716715E-10</v>
      </c>
      <c r="E20" t="s">
        <v>94</v>
      </c>
      <c r="H20" t="s">
        <v>588</v>
      </c>
      <c r="I20">
        <v>4.51829994716715E-10</v>
      </c>
      <c r="J20">
        <v>1.0247973619913604</v>
      </c>
      <c r="N20" t="s">
        <v>697</v>
      </c>
      <c r="O20" t="s">
        <v>5275</v>
      </c>
    </row>
    <row r="21" spans="1:17">
      <c r="B21" t="s">
        <v>698</v>
      </c>
      <c r="C21" t="s">
        <v>650</v>
      </c>
      <c r="D21">
        <v>5.3278978958678303E-5</v>
      </c>
      <c r="E21" t="s">
        <v>94</v>
      </c>
      <c r="H21" t="s">
        <v>588</v>
      </c>
      <c r="I21">
        <v>5.3278978958678303E-5</v>
      </c>
      <c r="J21">
        <v>1.0247973619913604</v>
      </c>
      <c r="N21" t="s">
        <v>699</v>
      </c>
      <c r="O21" t="s">
        <v>5275</v>
      </c>
    </row>
    <row r="22" spans="1:17">
      <c r="B22" t="s">
        <v>700</v>
      </c>
      <c r="C22" t="s">
        <v>701</v>
      </c>
      <c r="D22">
        <v>3.0121999647781201E-7</v>
      </c>
      <c r="E22" t="s">
        <v>94</v>
      </c>
      <c r="H22" t="s">
        <v>588</v>
      </c>
      <c r="I22">
        <v>3.0121999647781201E-7</v>
      </c>
      <c r="J22">
        <v>1.0247973619913604</v>
      </c>
      <c r="N22" t="s">
        <v>702</v>
      </c>
      <c r="O22" t="s">
        <v>5275</v>
      </c>
    </row>
    <row r="23" spans="1:17">
      <c r="B23" t="s">
        <v>703</v>
      </c>
      <c r="C23" t="s">
        <v>673</v>
      </c>
      <c r="D23">
        <v>7.2550290397381897E-5</v>
      </c>
      <c r="E23" t="s">
        <v>94</v>
      </c>
      <c r="H23" t="s">
        <v>588</v>
      </c>
      <c r="I23">
        <v>7.2550290397381897E-5</v>
      </c>
      <c r="J23">
        <v>1.0247973619913604</v>
      </c>
      <c r="N23" t="s">
        <v>704</v>
      </c>
      <c r="O23" t="s">
        <v>5275</v>
      </c>
    </row>
    <row r="24" spans="1:17">
      <c r="B24" t="s">
        <v>5280</v>
      </c>
      <c r="C24" t="s">
        <v>639</v>
      </c>
      <c r="D24">
        <v>6.3525344958433204E-3</v>
      </c>
      <c r="E24" t="s">
        <v>640</v>
      </c>
      <c r="H24" t="s">
        <v>588</v>
      </c>
      <c r="I24">
        <v>6.3525344958433204E-3</v>
      </c>
      <c r="J24">
        <v>1.0247973619913604</v>
      </c>
      <c r="O24" t="s">
        <v>5275</v>
      </c>
    </row>
    <row r="25" spans="1:17">
      <c r="B25" t="s">
        <v>5281</v>
      </c>
      <c r="C25" t="s">
        <v>639</v>
      </c>
      <c r="D25">
        <v>6.3956183025010702E-4</v>
      </c>
      <c r="E25" t="s">
        <v>640</v>
      </c>
      <c r="H25" t="s">
        <v>588</v>
      </c>
      <c r="I25">
        <v>6.3956183025010702E-4</v>
      </c>
      <c r="J25">
        <v>1.0247973619913604</v>
      </c>
      <c r="O25" t="s">
        <v>5275</v>
      </c>
    </row>
    <row r="26" spans="1:17">
      <c r="B26" t="s">
        <v>707</v>
      </c>
      <c r="C26" t="s">
        <v>708</v>
      </c>
      <c r="D26">
        <v>8.4341599013786798E-7</v>
      </c>
      <c r="E26" t="s">
        <v>94</v>
      </c>
      <c r="H26" t="s">
        <v>588</v>
      </c>
      <c r="I26">
        <v>8.4341599013786798E-7</v>
      </c>
      <c r="J26">
        <v>1.0247973619913604</v>
      </c>
      <c r="N26" t="s">
        <v>709</v>
      </c>
      <c r="O26" t="s">
        <v>5275</v>
      </c>
    </row>
    <row r="28" spans="1:17">
      <c r="A28" t="s">
        <v>710</v>
      </c>
    </row>
    <row r="29" spans="1:17">
      <c r="A29" s="421" t="s">
        <v>570</v>
      </c>
      <c r="B29" s="421" t="s">
        <v>571</v>
      </c>
      <c r="C29" s="421" t="s">
        <v>568</v>
      </c>
      <c r="D29" s="421" t="s">
        <v>572</v>
      </c>
      <c r="E29" s="421" t="s">
        <v>573</v>
      </c>
      <c r="F29" s="421" t="s">
        <v>574</v>
      </c>
      <c r="G29" s="421" t="s">
        <v>575</v>
      </c>
      <c r="H29" s="421" t="s">
        <v>576</v>
      </c>
      <c r="I29" s="421" t="s">
        <v>577</v>
      </c>
      <c r="J29" s="421" t="s">
        <v>578</v>
      </c>
      <c r="K29" s="421" t="s">
        <v>579</v>
      </c>
      <c r="L29" s="421" t="s">
        <v>580</v>
      </c>
      <c r="M29" s="421" t="s">
        <v>581</v>
      </c>
      <c r="N29" s="421" t="s">
        <v>582</v>
      </c>
      <c r="O29" s="421" t="s">
        <v>583</v>
      </c>
      <c r="P29" s="421" t="s">
        <v>584</v>
      </c>
      <c r="Q29" s="421" t="s">
        <v>585</v>
      </c>
    </row>
    <row r="30" spans="1:17">
      <c r="B30" t="s">
        <v>711</v>
      </c>
      <c r="C30" t="s">
        <v>712</v>
      </c>
      <c r="D30">
        <v>5.1647138759762901E-8</v>
      </c>
      <c r="E30" t="s">
        <v>94</v>
      </c>
      <c r="H30" t="s">
        <v>588</v>
      </c>
      <c r="I30">
        <v>5.1647138759762901E-8</v>
      </c>
      <c r="J30">
        <v>1.2214027581601699</v>
      </c>
      <c r="O30" t="s">
        <v>5275</v>
      </c>
    </row>
    <row r="31" spans="1:17">
      <c r="B31" t="s">
        <v>285</v>
      </c>
      <c r="C31" t="s">
        <v>654</v>
      </c>
      <c r="D31">
        <v>7.7365511961941595E-9</v>
      </c>
      <c r="E31" t="s">
        <v>94</v>
      </c>
      <c r="H31" t="s">
        <v>588</v>
      </c>
      <c r="I31">
        <v>7.7365511961941595E-9</v>
      </c>
      <c r="J31">
        <v>1.2214027581601699</v>
      </c>
      <c r="O31" t="s">
        <v>5275</v>
      </c>
    </row>
    <row r="32" spans="1:17">
      <c r="B32" t="s">
        <v>713</v>
      </c>
      <c r="C32" t="s">
        <v>712</v>
      </c>
      <c r="D32">
        <v>1.2839199521954099E-6</v>
      </c>
      <c r="E32" t="s">
        <v>94</v>
      </c>
      <c r="H32" t="s">
        <v>588</v>
      </c>
      <c r="I32">
        <v>1.2839199521954099E-6</v>
      </c>
      <c r="J32">
        <v>1.2214027581601699</v>
      </c>
      <c r="O32" t="s">
        <v>5275</v>
      </c>
    </row>
    <row r="33" spans="2:15">
      <c r="B33" t="s">
        <v>714</v>
      </c>
      <c r="C33" t="s">
        <v>654</v>
      </c>
      <c r="D33">
        <v>1.1139695381728099E-8</v>
      </c>
      <c r="E33" t="s">
        <v>94</v>
      </c>
      <c r="H33" t="s">
        <v>588</v>
      </c>
      <c r="I33">
        <v>1.1139695381728099E-8</v>
      </c>
      <c r="J33">
        <v>1.2214027581601699</v>
      </c>
      <c r="O33" t="s">
        <v>5275</v>
      </c>
    </row>
    <row r="34" spans="2:15">
      <c r="B34" t="s">
        <v>715</v>
      </c>
      <c r="C34" t="s">
        <v>712</v>
      </c>
      <c r="D34">
        <v>1.2227809068527601E-7</v>
      </c>
      <c r="E34" t="s">
        <v>94</v>
      </c>
      <c r="H34" t="s">
        <v>588</v>
      </c>
      <c r="I34">
        <v>1.2227809068527601E-7</v>
      </c>
      <c r="J34">
        <v>1.2214027581601699</v>
      </c>
      <c r="O34" t="s">
        <v>5275</v>
      </c>
    </row>
    <row r="35" spans="2:15">
      <c r="B35" t="s">
        <v>716</v>
      </c>
      <c r="C35" t="s">
        <v>654</v>
      </c>
      <c r="D35">
        <v>1.5764718630276699E-8</v>
      </c>
      <c r="E35" t="s">
        <v>94</v>
      </c>
      <c r="H35" t="s">
        <v>588</v>
      </c>
      <c r="I35">
        <v>1.5764718630276699E-8</v>
      </c>
      <c r="J35">
        <v>1.2214027581601699</v>
      </c>
      <c r="O35" t="s">
        <v>5275</v>
      </c>
    </row>
    <row r="36" spans="2:15">
      <c r="B36" t="s">
        <v>717</v>
      </c>
      <c r="C36" t="s">
        <v>712</v>
      </c>
      <c r="D36">
        <v>1.83417136027915E-9</v>
      </c>
      <c r="E36" t="s">
        <v>94</v>
      </c>
      <c r="H36" t="s">
        <v>588</v>
      </c>
      <c r="I36">
        <v>1.83417136027915E-9</v>
      </c>
      <c r="J36">
        <v>1.2214027581601699</v>
      </c>
      <c r="O36" t="s">
        <v>5275</v>
      </c>
    </row>
    <row r="37" spans="2:15">
      <c r="B37" t="s">
        <v>718</v>
      </c>
      <c r="C37" t="s">
        <v>712</v>
      </c>
      <c r="D37">
        <v>1.2283643813132799E-7</v>
      </c>
      <c r="E37" t="s">
        <v>94</v>
      </c>
      <c r="H37" t="s">
        <v>588</v>
      </c>
      <c r="I37">
        <v>1.2283643813132799E-7</v>
      </c>
      <c r="J37">
        <v>1.2214027581601699</v>
      </c>
      <c r="O37" t="s">
        <v>5275</v>
      </c>
    </row>
    <row r="38" spans="2:15">
      <c r="B38" t="s">
        <v>719</v>
      </c>
      <c r="C38" t="s">
        <v>654</v>
      </c>
      <c r="D38">
        <v>3.1001869884752801E-6</v>
      </c>
      <c r="E38" t="s">
        <v>94</v>
      </c>
      <c r="H38" t="s">
        <v>588</v>
      </c>
      <c r="I38">
        <v>3.1001869884752801E-6</v>
      </c>
      <c r="J38">
        <v>1.2214027581601699</v>
      </c>
      <c r="O38" t="s">
        <v>5275</v>
      </c>
    </row>
    <row r="39" spans="2:15">
      <c r="B39" t="s">
        <v>719</v>
      </c>
      <c r="C39" t="s">
        <v>712</v>
      </c>
      <c r="D39">
        <v>6.11390453426382E-10</v>
      </c>
      <c r="E39" t="s">
        <v>94</v>
      </c>
      <c r="H39" t="s">
        <v>588</v>
      </c>
      <c r="I39">
        <v>6.11390453426382E-10</v>
      </c>
      <c r="J39">
        <v>1.2214027581601699</v>
      </c>
      <c r="O39" t="s">
        <v>5275</v>
      </c>
    </row>
    <row r="40" spans="2:15">
      <c r="B40" t="s">
        <v>720</v>
      </c>
      <c r="C40" t="s">
        <v>654</v>
      </c>
      <c r="D40">
        <v>7.6946555315008005E-11</v>
      </c>
      <c r="E40" t="s">
        <v>94</v>
      </c>
      <c r="H40" t="s">
        <v>588</v>
      </c>
      <c r="I40">
        <v>7.6946555315008005E-11</v>
      </c>
      <c r="J40">
        <v>1.2214027581601699</v>
      </c>
      <c r="O40" t="s">
        <v>5275</v>
      </c>
    </row>
    <row r="41" spans="2:15">
      <c r="B41" t="s">
        <v>721</v>
      </c>
      <c r="C41" t="s">
        <v>654</v>
      </c>
      <c r="D41">
        <v>2.2797946382756601E-10</v>
      </c>
      <c r="E41" t="s">
        <v>94</v>
      </c>
      <c r="H41" t="s">
        <v>588</v>
      </c>
      <c r="I41">
        <v>2.2797946382756601E-10</v>
      </c>
      <c r="J41">
        <v>1.2214027581601699</v>
      </c>
      <c r="O41" t="s">
        <v>5275</v>
      </c>
    </row>
    <row r="42" spans="2:15">
      <c r="B42" t="s">
        <v>722</v>
      </c>
      <c r="C42" t="s">
        <v>712</v>
      </c>
      <c r="D42">
        <v>6.11390453426382E-6</v>
      </c>
      <c r="E42" t="s">
        <v>94</v>
      </c>
      <c r="H42" t="s">
        <v>588</v>
      </c>
      <c r="I42">
        <v>6.11390453426382E-6</v>
      </c>
      <c r="J42">
        <v>1.2214027581601699</v>
      </c>
      <c r="O42" t="s">
        <v>5275</v>
      </c>
    </row>
    <row r="43" spans="2:15">
      <c r="B43" t="s">
        <v>723</v>
      </c>
      <c r="C43" t="s">
        <v>712</v>
      </c>
      <c r="D43">
        <v>2.4455618137055302E-7</v>
      </c>
      <c r="E43" t="s">
        <v>94</v>
      </c>
      <c r="H43" t="s">
        <v>588</v>
      </c>
      <c r="I43">
        <v>2.4455618137055302E-7</v>
      </c>
      <c r="J43">
        <v>1.2214027581601699</v>
      </c>
      <c r="O43" t="s">
        <v>5275</v>
      </c>
    </row>
    <row r="44" spans="2:15">
      <c r="B44" t="s">
        <v>724</v>
      </c>
      <c r="C44" t="s">
        <v>654</v>
      </c>
      <c r="D44">
        <v>1.90533200664546E-8</v>
      </c>
      <c r="E44" t="s">
        <v>94</v>
      </c>
      <c r="H44" t="s">
        <v>588</v>
      </c>
      <c r="I44">
        <v>1.90533200664546E-8</v>
      </c>
      <c r="J44">
        <v>2.2394398661220611</v>
      </c>
      <c r="O44" t="s">
        <v>5275</v>
      </c>
    </row>
    <row r="45" spans="2:15">
      <c r="B45" t="s">
        <v>725</v>
      </c>
      <c r="C45" t="s">
        <v>712</v>
      </c>
      <c r="D45">
        <v>6.11390453426382E-10</v>
      </c>
      <c r="E45" t="s">
        <v>94</v>
      </c>
      <c r="H45" t="s">
        <v>588</v>
      </c>
      <c r="I45">
        <v>6.11390453426382E-10</v>
      </c>
      <c r="J45">
        <v>1.2214027581601699</v>
      </c>
      <c r="O45" t="s">
        <v>5275</v>
      </c>
    </row>
    <row r="46" spans="2:15">
      <c r="B46" t="s">
        <v>726</v>
      </c>
      <c r="C46" t="s">
        <v>654</v>
      </c>
      <c r="D46">
        <v>0.16095027553545799</v>
      </c>
      <c r="E46" t="s">
        <v>94</v>
      </c>
      <c r="H46" t="s">
        <v>588</v>
      </c>
      <c r="I46">
        <v>0.16095027553545799</v>
      </c>
      <c r="J46">
        <v>1.0247973619913604</v>
      </c>
      <c r="O46" t="s">
        <v>5275</v>
      </c>
    </row>
    <row r="47" spans="2:15">
      <c r="B47" t="s">
        <v>727</v>
      </c>
      <c r="C47" t="s">
        <v>654</v>
      </c>
      <c r="D47">
        <v>1.39054723261649E-4</v>
      </c>
      <c r="E47" t="s">
        <v>94</v>
      </c>
      <c r="H47" t="s">
        <v>588</v>
      </c>
      <c r="I47">
        <v>1.39054723261649E-4</v>
      </c>
      <c r="J47">
        <v>1.0247973619913604</v>
      </c>
      <c r="O47" t="s">
        <v>5275</v>
      </c>
    </row>
    <row r="48" spans="2:15">
      <c r="B48" t="s">
        <v>728</v>
      </c>
      <c r="C48" t="s">
        <v>654</v>
      </c>
      <c r="D48">
        <v>4.4609188548258101E-5</v>
      </c>
      <c r="E48" t="s">
        <v>94</v>
      </c>
      <c r="H48" t="s">
        <v>588</v>
      </c>
      <c r="I48">
        <v>4.4609188548258101E-5</v>
      </c>
      <c r="J48">
        <v>2.2394398661220611</v>
      </c>
      <c r="O48" t="s">
        <v>5275</v>
      </c>
    </row>
    <row r="49" spans="2:17">
      <c r="B49" t="s">
        <v>729</v>
      </c>
      <c r="C49" t="s">
        <v>712</v>
      </c>
      <c r="D49">
        <v>3.8969353287142497E-4</v>
      </c>
      <c r="E49" t="s">
        <v>94</v>
      </c>
      <c r="H49" t="s">
        <v>588</v>
      </c>
      <c r="I49">
        <v>3.8969353287142497E-4</v>
      </c>
      <c r="J49">
        <v>1.2214027581601699</v>
      </c>
      <c r="O49" t="s">
        <v>5275</v>
      </c>
    </row>
    <row r="50" spans="2:17">
      <c r="B50" t="s">
        <v>730</v>
      </c>
      <c r="C50" t="s">
        <v>654</v>
      </c>
      <c r="D50">
        <v>2.2377759193368701E-8</v>
      </c>
      <c r="E50" t="s">
        <v>94</v>
      </c>
      <c r="H50" t="s">
        <v>588</v>
      </c>
      <c r="I50">
        <v>2.2377759193368701E-8</v>
      </c>
      <c r="J50">
        <v>2.2394398661220611</v>
      </c>
      <c r="O50" t="s">
        <v>5275</v>
      </c>
    </row>
    <row r="51" spans="2:17">
      <c r="B51" t="s">
        <v>731</v>
      </c>
      <c r="C51" t="s">
        <v>712</v>
      </c>
      <c r="D51">
        <v>1.2227809068527601E-9</v>
      </c>
      <c r="E51" t="s">
        <v>94</v>
      </c>
      <c r="H51" t="s">
        <v>588</v>
      </c>
      <c r="I51">
        <v>1.2227809068527601E-9</v>
      </c>
      <c r="J51">
        <v>2.2394398661220611</v>
      </c>
      <c r="O51" t="s">
        <v>5275</v>
      </c>
    </row>
    <row r="52" spans="2:17">
      <c r="B52" t="s">
        <v>732</v>
      </c>
      <c r="C52" t="s">
        <v>712</v>
      </c>
      <c r="D52">
        <v>6.11390453426382E-10</v>
      </c>
      <c r="E52" t="s">
        <v>94</v>
      </c>
      <c r="H52" t="s">
        <v>588</v>
      </c>
      <c r="I52">
        <v>6.11390453426382E-10</v>
      </c>
      <c r="J52">
        <v>2.2394398661220611</v>
      </c>
      <c r="O52" t="s">
        <v>5275</v>
      </c>
    </row>
    <row r="53" spans="2:17">
      <c r="B53" t="s">
        <v>733</v>
      </c>
      <c r="C53" t="s">
        <v>712</v>
      </c>
      <c r="D53">
        <v>6.11390453426382E-10</v>
      </c>
      <c r="E53" t="s">
        <v>94</v>
      </c>
      <c r="H53" t="s">
        <v>588</v>
      </c>
      <c r="I53">
        <v>6.11390453426382E-10</v>
      </c>
      <c r="J53">
        <v>1.2214027581601699</v>
      </c>
      <c r="O53" t="s">
        <v>5275</v>
      </c>
    </row>
    <row r="54" spans="2:17">
      <c r="B54" t="s">
        <v>733</v>
      </c>
      <c r="C54" t="s">
        <v>654</v>
      </c>
      <c r="D54">
        <v>4.4755518386737402E-8</v>
      </c>
      <c r="E54" t="s">
        <v>94</v>
      </c>
      <c r="H54" t="s">
        <v>588</v>
      </c>
      <c r="I54">
        <v>4.4755518386737402E-8</v>
      </c>
      <c r="J54">
        <v>2.2394398661220611</v>
      </c>
      <c r="O54" t="s">
        <v>5275</v>
      </c>
    </row>
    <row r="55" spans="2:17">
      <c r="B55" t="s">
        <v>734</v>
      </c>
      <c r="C55" t="s">
        <v>712</v>
      </c>
      <c r="D55">
        <v>4.03517699261412E-5</v>
      </c>
      <c r="E55" t="s">
        <v>94</v>
      </c>
      <c r="H55" t="s">
        <v>588</v>
      </c>
      <c r="I55">
        <v>4.03517699261412E-5</v>
      </c>
      <c r="J55">
        <v>2.2394398661220611</v>
      </c>
      <c r="O55" t="s">
        <v>5275</v>
      </c>
    </row>
    <row r="56" spans="2:17">
      <c r="B56" t="s">
        <v>735</v>
      </c>
      <c r="C56" t="s">
        <v>654</v>
      </c>
      <c r="D56">
        <v>6.7669879194348395E-8</v>
      </c>
      <c r="E56" t="s">
        <v>94</v>
      </c>
      <c r="H56" t="s">
        <v>588</v>
      </c>
      <c r="I56">
        <v>6.7669879194348395E-8</v>
      </c>
      <c r="J56">
        <v>2.2394398661220611</v>
      </c>
      <c r="O56" t="s">
        <v>5275</v>
      </c>
    </row>
    <row r="57" spans="2:17">
      <c r="B57" t="s">
        <v>736</v>
      </c>
      <c r="C57" t="s">
        <v>712</v>
      </c>
      <c r="D57">
        <v>3.0569522671319299E-8</v>
      </c>
      <c r="E57" t="s">
        <v>94</v>
      </c>
      <c r="H57" t="s">
        <v>588</v>
      </c>
      <c r="I57">
        <v>3.0569522671319299E-8</v>
      </c>
      <c r="J57">
        <v>1.2214027581601699</v>
      </c>
      <c r="O57" t="s">
        <v>5275</v>
      </c>
    </row>
    <row r="58" spans="2:17">
      <c r="B58" t="s">
        <v>737</v>
      </c>
      <c r="C58" t="s">
        <v>712</v>
      </c>
      <c r="D58">
        <v>9.1708568013957504E-9</v>
      </c>
      <c r="E58" t="s">
        <v>94</v>
      </c>
      <c r="H58" t="s">
        <v>588</v>
      </c>
      <c r="I58">
        <v>9.1708568013957504E-9</v>
      </c>
      <c r="J58">
        <v>1.2214027581601699</v>
      </c>
      <c r="O58" t="s">
        <v>5275</v>
      </c>
    </row>
    <row r="59" spans="2:17">
      <c r="B59" t="s">
        <v>738</v>
      </c>
      <c r="C59" t="s">
        <v>654</v>
      </c>
      <c r="D59">
        <v>5.9904900485234197E-6</v>
      </c>
      <c r="E59" t="s">
        <v>94</v>
      </c>
      <c r="H59" t="s">
        <v>588</v>
      </c>
      <c r="I59">
        <v>5.9904900485234197E-6</v>
      </c>
      <c r="J59">
        <v>1.2214027581601699</v>
      </c>
      <c r="O59" t="s">
        <v>5275</v>
      </c>
    </row>
    <row r="60" spans="2:17">
      <c r="B60" t="s">
        <v>739</v>
      </c>
      <c r="C60" t="s">
        <v>654</v>
      </c>
      <c r="D60">
        <v>4.2031894471059798E-15</v>
      </c>
      <c r="E60" t="s">
        <v>94</v>
      </c>
      <c r="H60" t="s">
        <v>588</v>
      </c>
      <c r="I60">
        <v>4.2031894471059798E-15</v>
      </c>
      <c r="J60">
        <v>1.2214027581601699</v>
      </c>
      <c r="O60" t="s">
        <v>5275</v>
      </c>
    </row>
    <row r="61" spans="2:17">
      <c r="B61" t="s">
        <v>740</v>
      </c>
      <c r="C61" t="s">
        <v>712</v>
      </c>
      <c r="D61">
        <v>8.3882770210099706E-6</v>
      </c>
      <c r="E61" t="s">
        <v>94</v>
      </c>
      <c r="H61" t="s">
        <v>588</v>
      </c>
      <c r="I61">
        <v>8.3882770210099706E-6</v>
      </c>
      <c r="J61">
        <v>1.2214027581601699</v>
      </c>
      <c r="O61" t="s">
        <v>5275</v>
      </c>
      <c r="Q61" t="s">
        <v>5282</v>
      </c>
    </row>
    <row r="62" spans="2:17">
      <c r="B62" t="s">
        <v>741</v>
      </c>
      <c r="C62" t="s">
        <v>712</v>
      </c>
      <c r="D62">
        <v>4.8911236274110603E-7</v>
      </c>
      <c r="E62" t="s">
        <v>94</v>
      </c>
      <c r="H62" t="s">
        <v>588</v>
      </c>
      <c r="I62">
        <v>4.8911236274110603E-7</v>
      </c>
      <c r="J62">
        <v>1.2214027581601699</v>
      </c>
      <c r="O62" t="s">
        <v>5275</v>
      </c>
    </row>
    <row r="63" spans="2:17">
      <c r="B63" t="s">
        <v>742</v>
      </c>
      <c r="C63" t="s">
        <v>654</v>
      </c>
      <c r="D63">
        <v>8.2953135961833902E-7</v>
      </c>
      <c r="E63" t="s">
        <v>94</v>
      </c>
      <c r="H63" t="s">
        <v>588</v>
      </c>
      <c r="I63">
        <v>8.2953135961833902E-7</v>
      </c>
      <c r="J63">
        <v>1.2214027581601699</v>
      </c>
      <c r="O63" t="s">
        <v>5275</v>
      </c>
    </row>
    <row r="64" spans="2:17">
      <c r="B64" t="s">
        <v>743</v>
      </c>
      <c r="C64" t="s">
        <v>744</v>
      </c>
      <c r="D64">
        <v>2.79463892318072E-4</v>
      </c>
      <c r="E64" t="s">
        <v>94</v>
      </c>
      <c r="N64" t="s">
        <v>745</v>
      </c>
    </row>
    <row r="65" spans="2:15">
      <c r="B65" t="s">
        <v>746</v>
      </c>
      <c r="C65" t="s">
        <v>744</v>
      </c>
      <c r="D65">
        <v>2.9419047241187501E-6</v>
      </c>
      <c r="E65" t="s">
        <v>94</v>
      </c>
      <c r="N65" t="s">
        <v>747</v>
      </c>
    </row>
    <row r="66" spans="2:15">
      <c r="B66" t="s">
        <v>748</v>
      </c>
      <c r="C66" t="s">
        <v>654</v>
      </c>
      <c r="D66">
        <v>0.50352599235522399</v>
      </c>
      <c r="E66" t="s">
        <v>607</v>
      </c>
      <c r="H66" t="s">
        <v>588</v>
      </c>
      <c r="I66">
        <v>0.50352599235522399</v>
      </c>
      <c r="J66">
        <v>1.2214027581601699</v>
      </c>
      <c r="O66" t="s">
        <v>5275</v>
      </c>
    </row>
    <row r="67" spans="2:15">
      <c r="B67" t="s">
        <v>748</v>
      </c>
      <c r="C67" t="s">
        <v>712</v>
      </c>
      <c r="D67">
        <v>6.1386630978556699E-2</v>
      </c>
      <c r="E67" t="s">
        <v>607</v>
      </c>
    </row>
    <row r="68" spans="2:15">
      <c r="B68" t="s">
        <v>749</v>
      </c>
      <c r="C68" t="s">
        <v>712</v>
      </c>
      <c r="D68">
        <v>9.1708568013957495E-7</v>
      </c>
      <c r="E68" t="s">
        <v>94</v>
      </c>
      <c r="H68" t="s">
        <v>588</v>
      </c>
      <c r="I68">
        <v>9.1708568013957495E-7</v>
      </c>
      <c r="J68">
        <v>1.7293101253499219</v>
      </c>
      <c r="O68" t="s">
        <v>5275</v>
      </c>
    </row>
    <row r="69" spans="2:15">
      <c r="B69" t="s">
        <v>4567</v>
      </c>
      <c r="C69" t="s">
        <v>654</v>
      </c>
      <c r="D69">
        <v>2.6918686643863599E-6</v>
      </c>
      <c r="E69" t="s">
        <v>94</v>
      </c>
      <c r="H69" t="s">
        <v>588</v>
      </c>
      <c r="I69">
        <v>2.6918686643863599E-6</v>
      </c>
      <c r="J69">
        <v>1.2214027581601699</v>
      </c>
      <c r="O69" t="s">
        <v>5275</v>
      </c>
    </row>
    <row r="70" spans="2:15">
      <c r="B70" t="s">
        <v>243</v>
      </c>
      <c r="C70" t="s">
        <v>654</v>
      </c>
      <c r="D70">
        <v>2.6805592023098398E-7</v>
      </c>
      <c r="E70" t="s">
        <v>94</v>
      </c>
      <c r="H70" t="s">
        <v>588</v>
      </c>
      <c r="I70">
        <v>2.6805592023098398E-7</v>
      </c>
      <c r="J70">
        <v>1.2214027581601699</v>
      </c>
      <c r="O70" t="s">
        <v>5275</v>
      </c>
    </row>
    <row r="71" spans="2:15">
      <c r="B71" t="s">
        <v>750</v>
      </c>
      <c r="C71" t="s">
        <v>654</v>
      </c>
      <c r="D71">
        <v>3.0806085507285902E-7</v>
      </c>
      <c r="E71" t="s">
        <v>94</v>
      </c>
      <c r="H71" t="s">
        <v>588</v>
      </c>
      <c r="I71">
        <v>3.0806085507285902E-7</v>
      </c>
      <c r="J71">
        <v>1.2214027581601699</v>
      </c>
      <c r="O71" t="s">
        <v>5275</v>
      </c>
    </row>
    <row r="72" spans="2:15">
      <c r="B72" t="s">
        <v>751</v>
      </c>
      <c r="C72" t="s">
        <v>712</v>
      </c>
      <c r="D72">
        <v>2.4455618137055302E-7</v>
      </c>
      <c r="E72" t="s">
        <v>94</v>
      </c>
      <c r="H72" t="s">
        <v>588</v>
      </c>
      <c r="I72">
        <v>2.4455618137055302E-7</v>
      </c>
      <c r="J72">
        <v>1.2214027581601699</v>
      </c>
      <c r="O72" t="s">
        <v>5275</v>
      </c>
    </row>
    <row r="73" spans="2:15">
      <c r="B73" t="s">
        <v>752</v>
      </c>
      <c r="C73" t="s">
        <v>712</v>
      </c>
      <c r="D73">
        <v>6.11390453426382E-10</v>
      </c>
      <c r="E73" t="s">
        <v>94</v>
      </c>
      <c r="H73" t="s">
        <v>588</v>
      </c>
      <c r="I73">
        <v>6.11390453426382E-10</v>
      </c>
      <c r="J73">
        <v>2.2394398661220611</v>
      </c>
      <c r="O73" t="s">
        <v>5275</v>
      </c>
    </row>
    <row r="74" spans="2:15">
      <c r="B74" t="s">
        <v>752</v>
      </c>
      <c r="C74" t="s">
        <v>654</v>
      </c>
      <c r="D74">
        <v>8.8053600277895198E-8</v>
      </c>
      <c r="E74" t="s">
        <v>94</v>
      </c>
      <c r="H74" t="s">
        <v>588</v>
      </c>
      <c r="I74">
        <v>8.8053600277895198E-8</v>
      </c>
      <c r="J74">
        <v>2.2394398661220611</v>
      </c>
      <c r="O74" t="s">
        <v>5275</v>
      </c>
    </row>
    <row r="75" spans="2:15">
      <c r="B75" t="s">
        <v>753</v>
      </c>
      <c r="C75" t="s">
        <v>654</v>
      </c>
      <c r="D75">
        <v>1.1186514970965299E-8</v>
      </c>
      <c r="E75" t="s">
        <v>94</v>
      </c>
      <c r="H75" t="s">
        <v>588</v>
      </c>
      <c r="I75">
        <v>1.1186514970965299E-8</v>
      </c>
      <c r="J75">
        <v>2.2394398661220611</v>
      </c>
      <c r="O75" t="s">
        <v>5275</v>
      </c>
    </row>
    <row r="76" spans="2:15">
      <c r="B76" t="s">
        <v>753</v>
      </c>
      <c r="C76" t="s">
        <v>712</v>
      </c>
      <c r="D76">
        <v>4.8911236274110598E-8</v>
      </c>
      <c r="E76" t="s">
        <v>94</v>
      </c>
      <c r="H76" t="s">
        <v>588</v>
      </c>
      <c r="I76">
        <v>4.8911236274110598E-8</v>
      </c>
      <c r="J76">
        <v>2.2394398661220611</v>
      </c>
      <c r="O76" t="s">
        <v>5275</v>
      </c>
    </row>
    <row r="77" spans="2:15">
      <c r="B77" t="s">
        <v>754</v>
      </c>
      <c r="C77" t="s">
        <v>654</v>
      </c>
      <c r="D77">
        <v>1.74719464844469E-9</v>
      </c>
      <c r="E77" t="s">
        <v>94</v>
      </c>
      <c r="H77" t="s">
        <v>588</v>
      </c>
      <c r="I77">
        <v>1.74719464844469E-9</v>
      </c>
      <c r="J77">
        <v>2.2394398661220611</v>
      </c>
      <c r="O77" t="s">
        <v>5275</v>
      </c>
    </row>
    <row r="78" spans="2:15">
      <c r="B78" t="s">
        <v>754</v>
      </c>
      <c r="C78" t="s">
        <v>712</v>
      </c>
      <c r="D78">
        <v>1.2227809068527699E-10</v>
      </c>
      <c r="E78" t="s">
        <v>94</v>
      </c>
      <c r="H78" t="s">
        <v>588</v>
      </c>
      <c r="I78">
        <v>1.2227809068527699E-10</v>
      </c>
      <c r="J78">
        <v>2.2394398661220611</v>
      </c>
      <c r="O78" t="s">
        <v>5275</v>
      </c>
    </row>
    <row r="79" spans="2:15">
      <c r="B79" t="s">
        <v>755</v>
      </c>
      <c r="C79" t="s">
        <v>654</v>
      </c>
      <c r="D79">
        <v>1.29468853160137E-5</v>
      </c>
      <c r="E79" t="s">
        <v>94</v>
      </c>
      <c r="H79" t="s">
        <v>588</v>
      </c>
      <c r="I79">
        <v>1.29468853160137E-5</v>
      </c>
      <c r="J79">
        <v>1.2214027581601699</v>
      </c>
      <c r="O79" t="s">
        <v>5275</v>
      </c>
    </row>
    <row r="80" spans="2:15">
      <c r="B80" t="s">
        <v>756</v>
      </c>
      <c r="C80" t="s">
        <v>712</v>
      </c>
      <c r="D80">
        <v>6.1139045342638198E-9</v>
      </c>
      <c r="E80" t="s">
        <v>94</v>
      </c>
      <c r="H80" t="s">
        <v>588</v>
      </c>
      <c r="I80">
        <v>6.1139045342638198E-9</v>
      </c>
      <c r="J80">
        <v>2.2394398661220611</v>
      </c>
      <c r="O80" t="s">
        <v>5275</v>
      </c>
    </row>
    <row r="81" spans="1:17">
      <c r="B81" t="s">
        <v>757</v>
      </c>
      <c r="C81" t="s">
        <v>654</v>
      </c>
      <c r="D81">
        <v>9.02265055924647E-7</v>
      </c>
      <c r="E81" t="s">
        <v>94</v>
      </c>
      <c r="H81" t="s">
        <v>588</v>
      </c>
      <c r="I81">
        <v>9.02265055924647E-7</v>
      </c>
      <c r="J81">
        <v>2.2394398661220611</v>
      </c>
      <c r="O81" t="s">
        <v>5275</v>
      </c>
    </row>
    <row r="82" spans="1:17">
      <c r="B82" t="s">
        <v>758</v>
      </c>
      <c r="C82" t="s">
        <v>712</v>
      </c>
      <c r="D82">
        <v>6.1139045342638198E-9</v>
      </c>
      <c r="E82" t="s">
        <v>94</v>
      </c>
      <c r="H82" t="s">
        <v>588</v>
      </c>
      <c r="I82">
        <v>6.1139045342638198E-9</v>
      </c>
      <c r="J82">
        <v>2.2394398661220611</v>
      </c>
      <c r="O82" t="s">
        <v>5275</v>
      </c>
    </row>
    <row r="83" spans="1:17">
      <c r="B83" t="s">
        <v>759</v>
      </c>
      <c r="C83" t="s">
        <v>712</v>
      </c>
      <c r="D83">
        <v>2.3469504502496699E-7</v>
      </c>
      <c r="E83" t="s">
        <v>94</v>
      </c>
      <c r="H83" t="s">
        <v>588</v>
      </c>
      <c r="I83">
        <v>2.3469504502496699E-7</v>
      </c>
      <c r="J83">
        <v>1.2214027581601699</v>
      </c>
      <c r="O83" t="s">
        <v>5275</v>
      </c>
    </row>
    <row r="84" spans="1:17">
      <c r="B84" t="s">
        <v>760</v>
      </c>
      <c r="C84" t="s">
        <v>712</v>
      </c>
      <c r="D84">
        <v>3.7215071078127499E-8</v>
      </c>
      <c r="E84" t="s">
        <v>94</v>
      </c>
      <c r="H84" t="s">
        <v>588</v>
      </c>
      <c r="I84">
        <v>3.7215071078127499E-8</v>
      </c>
      <c r="J84">
        <v>1.2214027581601699</v>
      </c>
      <c r="O84" t="s">
        <v>5275</v>
      </c>
    </row>
    <row r="85" spans="1:17">
      <c r="B85" t="s">
        <v>260</v>
      </c>
      <c r="C85" t="s">
        <v>712</v>
      </c>
      <c r="D85">
        <v>3.3352935591125699E-6</v>
      </c>
      <c r="E85" t="s">
        <v>94</v>
      </c>
      <c r="H85" t="s">
        <v>588</v>
      </c>
      <c r="I85">
        <v>3.3352935591125699E-6</v>
      </c>
      <c r="J85">
        <v>1.2214027581601699</v>
      </c>
      <c r="O85" t="s">
        <v>5275</v>
      </c>
    </row>
    <row r="86" spans="1:17">
      <c r="B86" t="s">
        <v>761</v>
      </c>
      <c r="C86" t="s">
        <v>654</v>
      </c>
      <c r="D86">
        <v>1.8974705727684799E-4</v>
      </c>
      <c r="E86" t="s">
        <v>94</v>
      </c>
      <c r="H86" t="s">
        <v>588</v>
      </c>
      <c r="I86">
        <v>1.8974705727684799E-4</v>
      </c>
      <c r="J86">
        <v>1.2214027581601699</v>
      </c>
      <c r="O86" t="s">
        <v>5275</v>
      </c>
    </row>
    <row r="87" spans="1:17">
      <c r="B87" t="s">
        <v>762</v>
      </c>
      <c r="C87" t="s">
        <v>654</v>
      </c>
      <c r="D87">
        <v>2.10764174546695E-4</v>
      </c>
      <c r="E87" t="s">
        <v>94</v>
      </c>
      <c r="H87" t="s">
        <v>588</v>
      </c>
      <c r="I87">
        <v>2.10764174546695E-4</v>
      </c>
      <c r="J87">
        <v>1.2214027581601699</v>
      </c>
      <c r="O87" t="s">
        <v>5275</v>
      </c>
    </row>
    <row r="88" spans="1:17">
      <c r="B88" t="s">
        <v>763</v>
      </c>
      <c r="C88" t="s">
        <v>712</v>
      </c>
      <c r="D88">
        <v>4.2797331739846902E-10</v>
      </c>
      <c r="E88" t="s">
        <v>94</v>
      </c>
      <c r="H88" t="s">
        <v>588</v>
      </c>
      <c r="I88">
        <v>4.2797331739846902E-10</v>
      </c>
      <c r="J88">
        <v>1.7293101253499219</v>
      </c>
      <c r="O88" t="s">
        <v>5275</v>
      </c>
    </row>
    <row r="89" spans="1:17">
      <c r="B89" t="s">
        <v>763</v>
      </c>
      <c r="C89" t="s">
        <v>654</v>
      </c>
      <c r="D89">
        <v>1.04224411411571E-8</v>
      </c>
      <c r="E89" t="s">
        <v>94</v>
      </c>
      <c r="H89" t="s">
        <v>588</v>
      </c>
      <c r="I89">
        <v>1.04224411411571E-8</v>
      </c>
      <c r="J89">
        <v>1.7293101253499219</v>
      </c>
      <c r="O89" t="s">
        <v>5275</v>
      </c>
    </row>
    <row r="90" spans="1:17">
      <c r="B90" t="s">
        <v>764</v>
      </c>
      <c r="C90" t="s">
        <v>654</v>
      </c>
      <c r="D90">
        <v>2.23257374275496E-10</v>
      </c>
      <c r="E90" t="s">
        <v>94</v>
      </c>
      <c r="H90" t="s">
        <v>588</v>
      </c>
      <c r="I90">
        <v>2.23257374275496E-10</v>
      </c>
      <c r="J90">
        <v>2.2394398661220611</v>
      </c>
      <c r="O90" t="s">
        <v>5275</v>
      </c>
    </row>
    <row r="91" spans="1:17">
      <c r="B91" t="s">
        <v>653</v>
      </c>
      <c r="C91" t="s">
        <v>654</v>
      </c>
      <c r="D91">
        <v>2.8240391514448402E-5</v>
      </c>
      <c r="E91" t="s">
        <v>94</v>
      </c>
      <c r="H91" t="s">
        <v>588</v>
      </c>
      <c r="I91">
        <v>2.8240391514448402E-5</v>
      </c>
      <c r="J91">
        <v>1.7293101253499219</v>
      </c>
      <c r="O91" t="s">
        <v>5275</v>
      </c>
    </row>
    <row r="92" spans="1:17">
      <c r="B92" t="s">
        <v>656</v>
      </c>
      <c r="C92" t="s">
        <v>654</v>
      </c>
      <c r="D92">
        <v>1.8482873978291201E-4</v>
      </c>
      <c r="E92" t="s">
        <v>94</v>
      </c>
      <c r="H92" t="s">
        <v>588</v>
      </c>
      <c r="I92">
        <v>1.8482873978291201E-4</v>
      </c>
      <c r="J92">
        <v>1.2214027581601699</v>
      </c>
      <c r="O92" t="s">
        <v>5275</v>
      </c>
    </row>
    <row r="93" spans="1:17">
      <c r="B93" t="s">
        <v>657</v>
      </c>
      <c r="C93" t="s">
        <v>654</v>
      </c>
      <c r="D93">
        <v>4.1760240888121501E-6</v>
      </c>
      <c r="E93" t="s">
        <v>94</v>
      </c>
      <c r="H93" t="s">
        <v>588</v>
      </c>
      <c r="I93">
        <v>4.1760240888121501E-6</v>
      </c>
      <c r="J93">
        <v>1.4139824580805163</v>
      </c>
      <c r="O93" t="s">
        <v>5275</v>
      </c>
    </row>
    <row r="94" spans="1:17">
      <c r="B94" t="s">
        <v>765</v>
      </c>
      <c r="C94" t="s">
        <v>712</v>
      </c>
      <c r="D94">
        <v>6.1139045342638201E-8</v>
      </c>
      <c r="E94" t="s">
        <v>94</v>
      </c>
      <c r="H94" t="s">
        <v>588</v>
      </c>
      <c r="I94">
        <v>6.1139045342638201E-8</v>
      </c>
      <c r="J94">
        <v>1.2214027581601699</v>
      </c>
      <c r="O94" t="s">
        <v>5275</v>
      </c>
    </row>
    <row r="95" spans="1:17">
      <c r="B95" t="s">
        <v>766</v>
      </c>
      <c r="C95" t="s">
        <v>712</v>
      </c>
      <c r="D95">
        <v>3.6683427205583E-7</v>
      </c>
      <c r="E95" t="s">
        <v>94</v>
      </c>
      <c r="H95" t="s">
        <v>588</v>
      </c>
      <c r="I95">
        <v>3.6683427205583E-7</v>
      </c>
      <c r="J95">
        <v>1.2214027581601699</v>
      </c>
      <c r="O95" t="s">
        <v>5275</v>
      </c>
    </row>
    <row r="96" spans="1:17">
      <c r="A96" s="421" t="s">
        <v>645</v>
      </c>
      <c r="B96" s="421" t="s">
        <v>767</v>
      </c>
      <c r="C96" s="421" t="s">
        <v>664</v>
      </c>
      <c r="D96" s="421">
        <v>1</v>
      </c>
      <c r="E96" s="421" t="s">
        <v>94</v>
      </c>
      <c r="F96" s="421">
        <v>0.23300000000000001</v>
      </c>
      <c r="G96" s="421" t="s">
        <v>647</v>
      </c>
      <c r="M96" s="421"/>
      <c r="O96" s="421"/>
      <c r="P96" s="421"/>
      <c r="Q96" s="421"/>
    </row>
    <row r="97" spans="2:15">
      <c r="B97" t="s">
        <v>768</v>
      </c>
      <c r="C97" t="s">
        <v>654</v>
      </c>
      <c r="D97">
        <v>2.23257374275496E-10</v>
      </c>
      <c r="E97" t="s">
        <v>94</v>
      </c>
      <c r="H97" t="s">
        <v>588</v>
      </c>
      <c r="I97">
        <v>2.23257374275496E-10</v>
      </c>
      <c r="J97">
        <v>2.2394398661220611</v>
      </c>
      <c r="O97" t="s">
        <v>5275</v>
      </c>
    </row>
    <row r="98" spans="2:15">
      <c r="B98" t="s">
        <v>769</v>
      </c>
      <c r="C98" t="s">
        <v>744</v>
      </c>
      <c r="D98">
        <v>1.0247233852262599E-3</v>
      </c>
      <c r="E98" t="s">
        <v>94</v>
      </c>
      <c r="N98" t="s">
        <v>770</v>
      </c>
    </row>
    <row r="99" spans="2:15">
      <c r="B99" t="s">
        <v>771</v>
      </c>
      <c r="C99" t="s">
        <v>654</v>
      </c>
      <c r="D99">
        <v>2.23257374275496E-10</v>
      </c>
      <c r="E99" t="s">
        <v>94</v>
      </c>
      <c r="H99" t="s">
        <v>588</v>
      </c>
      <c r="I99">
        <v>2.23257374275496E-10</v>
      </c>
      <c r="J99">
        <v>2.2394398661220611</v>
      </c>
      <c r="O99" t="s">
        <v>5275</v>
      </c>
    </row>
    <row r="100" spans="2:15">
      <c r="B100" t="s">
        <v>772</v>
      </c>
      <c r="C100" t="s">
        <v>712</v>
      </c>
      <c r="D100">
        <v>2.4455618137055299E-8</v>
      </c>
      <c r="E100" t="s">
        <v>94</v>
      </c>
      <c r="H100" t="s">
        <v>588</v>
      </c>
      <c r="I100">
        <v>2.4455618137055299E-8</v>
      </c>
      <c r="J100">
        <v>2.2394398661220611</v>
      </c>
      <c r="O100" t="s">
        <v>5275</v>
      </c>
    </row>
    <row r="101" spans="2:15">
      <c r="B101" t="s">
        <v>772</v>
      </c>
      <c r="C101" t="s">
        <v>654</v>
      </c>
      <c r="D101">
        <v>1.9432101937478699E-8</v>
      </c>
      <c r="E101" t="s">
        <v>94</v>
      </c>
      <c r="H101" t="s">
        <v>588</v>
      </c>
      <c r="I101">
        <v>1.9432101937478699E-8</v>
      </c>
      <c r="J101">
        <v>1.2214027581601699</v>
      </c>
      <c r="O101" t="s">
        <v>5275</v>
      </c>
    </row>
    <row r="102" spans="2:15">
      <c r="B102" t="s">
        <v>773</v>
      </c>
      <c r="C102" t="s">
        <v>712</v>
      </c>
      <c r="D102">
        <v>4.1700875129953798E-5</v>
      </c>
      <c r="E102" t="s">
        <v>94</v>
      </c>
      <c r="H102" t="s">
        <v>588</v>
      </c>
      <c r="I102">
        <v>4.1700875129953798E-5</v>
      </c>
      <c r="J102">
        <v>1.2214027581601699</v>
      </c>
      <c r="O102" t="s">
        <v>5275</v>
      </c>
    </row>
    <row r="103" spans="2:15">
      <c r="B103" t="s">
        <v>774</v>
      </c>
      <c r="C103" t="s">
        <v>712</v>
      </c>
      <c r="D103">
        <v>3.1867680483388898E-4</v>
      </c>
      <c r="E103" t="s">
        <v>94</v>
      </c>
      <c r="H103" t="s">
        <v>588</v>
      </c>
      <c r="I103">
        <v>3.1867680483388898E-4</v>
      </c>
      <c r="J103">
        <v>1.2214027581601699</v>
      </c>
      <c r="O103" t="s">
        <v>5275</v>
      </c>
    </row>
    <row r="104" spans="2:15">
      <c r="B104" t="s">
        <v>775</v>
      </c>
      <c r="C104" t="s">
        <v>712</v>
      </c>
      <c r="D104">
        <v>3.0569522671319299E-8</v>
      </c>
      <c r="E104" t="s">
        <v>94</v>
      </c>
      <c r="H104" t="s">
        <v>588</v>
      </c>
      <c r="I104">
        <v>3.0569522671319299E-8</v>
      </c>
      <c r="J104">
        <v>1.2214027581601699</v>
      </c>
      <c r="O104" t="s">
        <v>5275</v>
      </c>
    </row>
    <row r="105" spans="2:15">
      <c r="B105" t="s">
        <v>776</v>
      </c>
      <c r="C105" t="s">
        <v>654</v>
      </c>
      <c r="D105">
        <v>5.8029147482949401E-4</v>
      </c>
      <c r="E105" t="s">
        <v>94</v>
      </c>
      <c r="H105" t="s">
        <v>588</v>
      </c>
      <c r="I105">
        <v>5.8029147482949401E-4</v>
      </c>
      <c r="J105">
        <v>1.0805386501323246</v>
      </c>
      <c r="O105" t="s">
        <v>5275</v>
      </c>
    </row>
    <row r="106" spans="2:15">
      <c r="B106" t="s">
        <v>777</v>
      </c>
      <c r="C106" t="s">
        <v>712</v>
      </c>
      <c r="D106">
        <v>9.1708568013957508E-6</v>
      </c>
      <c r="E106" t="s">
        <v>94</v>
      </c>
      <c r="H106" t="s">
        <v>588</v>
      </c>
      <c r="I106">
        <v>9.1708568013957508E-6</v>
      </c>
      <c r="J106">
        <v>1.2214027581601699</v>
      </c>
      <c r="O106" t="s">
        <v>5275</v>
      </c>
    </row>
    <row r="107" spans="2:15">
      <c r="B107" t="s">
        <v>778</v>
      </c>
      <c r="C107" t="s">
        <v>712</v>
      </c>
      <c r="D107">
        <v>1.22278090685276E-8</v>
      </c>
      <c r="E107" t="s">
        <v>94</v>
      </c>
      <c r="H107" t="s">
        <v>588</v>
      </c>
      <c r="I107">
        <v>1.22278090685276E-8</v>
      </c>
      <c r="J107">
        <v>1.2214027581601699</v>
      </c>
      <c r="O107" t="s">
        <v>5275</v>
      </c>
    </row>
    <row r="108" spans="2:15">
      <c r="B108" t="s">
        <v>779</v>
      </c>
      <c r="C108" t="s">
        <v>654</v>
      </c>
      <c r="D108">
        <v>2.59094692499717E-10</v>
      </c>
      <c r="E108" t="s">
        <v>94</v>
      </c>
      <c r="H108" t="s">
        <v>588</v>
      </c>
      <c r="I108">
        <v>2.59094692499717E-10</v>
      </c>
      <c r="J108">
        <v>1.2214027581601699</v>
      </c>
      <c r="O108" t="s">
        <v>5275</v>
      </c>
    </row>
    <row r="109" spans="2:15">
      <c r="B109" t="s">
        <v>780</v>
      </c>
      <c r="C109" t="s">
        <v>654</v>
      </c>
      <c r="D109">
        <v>6.56698185348654E-9</v>
      </c>
      <c r="E109" t="s">
        <v>94</v>
      </c>
      <c r="H109" t="s">
        <v>588</v>
      </c>
      <c r="I109">
        <v>6.56698185348654E-9</v>
      </c>
      <c r="J109">
        <v>2.2394398661220611</v>
      </c>
      <c r="O109" t="s">
        <v>5275</v>
      </c>
    </row>
    <row r="110" spans="2:15">
      <c r="B110" t="s">
        <v>781</v>
      </c>
      <c r="C110" t="s">
        <v>654</v>
      </c>
      <c r="D110">
        <v>2.2662909809458801E-8</v>
      </c>
      <c r="E110" t="s">
        <v>94</v>
      </c>
      <c r="H110" t="s">
        <v>588</v>
      </c>
      <c r="I110">
        <v>2.2662909809458801E-8</v>
      </c>
      <c r="J110">
        <v>2.2394398661220611</v>
      </c>
      <c r="O110" t="s">
        <v>5275</v>
      </c>
    </row>
    <row r="111" spans="2:15">
      <c r="B111" t="s">
        <v>782</v>
      </c>
      <c r="C111" t="s">
        <v>712</v>
      </c>
      <c r="D111">
        <v>6.1139045342638198E-9</v>
      </c>
      <c r="E111" t="s">
        <v>94</v>
      </c>
      <c r="H111" t="s">
        <v>588</v>
      </c>
      <c r="I111">
        <v>6.1139045342638198E-9</v>
      </c>
      <c r="J111">
        <v>2.2394398661220611</v>
      </c>
      <c r="O111" t="s">
        <v>5275</v>
      </c>
    </row>
    <row r="112" spans="2:15">
      <c r="B112" t="s">
        <v>783</v>
      </c>
      <c r="C112" t="s">
        <v>712</v>
      </c>
      <c r="D112">
        <v>8.5594663479693699E-6</v>
      </c>
      <c r="E112" t="s">
        <v>94</v>
      </c>
      <c r="H112" t="s">
        <v>588</v>
      </c>
      <c r="I112">
        <v>8.5594663479693699E-6</v>
      </c>
      <c r="J112">
        <v>1.2214027581601699</v>
      </c>
      <c r="O112" t="s">
        <v>5275</v>
      </c>
    </row>
    <row r="113" spans="2:15">
      <c r="B113" t="s">
        <v>833</v>
      </c>
      <c r="C113" t="s">
        <v>654</v>
      </c>
      <c r="D113">
        <v>2.9301358963073098E-6</v>
      </c>
      <c r="E113" t="s">
        <v>94</v>
      </c>
      <c r="H113" t="s">
        <v>588</v>
      </c>
      <c r="I113">
        <v>2.9301358963073098E-6</v>
      </c>
      <c r="J113">
        <v>1.2214027581601699</v>
      </c>
      <c r="O113" t="s">
        <v>5275</v>
      </c>
    </row>
    <row r="114" spans="2:15">
      <c r="B114" t="s">
        <v>833</v>
      </c>
      <c r="C114" t="s">
        <v>712</v>
      </c>
      <c r="D114">
        <v>1.83417136027915E-9</v>
      </c>
      <c r="E114" t="s">
        <v>94</v>
      </c>
      <c r="H114" t="s">
        <v>588</v>
      </c>
      <c r="I114">
        <v>1.83417136027915E-9</v>
      </c>
      <c r="J114">
        <v>1.2214027581601699</v>
      </c>
      <c r="O114" t="s">
        <v>5275</v>
      </c>
    </row>
    <row r="115" spans="2:15">
      <c r="B115" t="s">
        <v>784</v>
      </c>
      <c r="C115" t="s">
        <v>654</v>
      </c>
      <c r="D115">
        <v>2.17153706236658E-6</v>
      </c>
      <c r="E115" t="s">
        <v>94</v>
      </c>
      <c r="H115" t="s">
        <v>588</v>
      </c>
      <c r="I115">
        <v>2.17153706236658E-6</v>
      </c>
      <c r="J115">
        <v>2.2394398661220611</v>
      </c>
      <c r="O115" t="s">
        <v>5275</v>
      </c>
    </row>
    <row r="116" spans="2:15">
      <c r="B116" t="s">
        <v>785</v>
      </c>
      <c r="C116" t="s">
        <v>712</v>
      </c>
      <c r="D116">
        <v>1.22278090685276E-8</v>
      </c>
      <c r="E116" t="s">
        <v>94</v>
      </c>
      <c r="H116" t="s">
        <v>588</v>
      </c>
      <c r="I116">
        <v>1.22278090685276E-8</v>
      </c>
      <c r="J116">
        <v>2.2394398661220611</v>
      </c>
      <c r="O116" t="s">
        <v>5275</v>
      </c>
    </row>
    <row r="117" spans="2:15">
      <c r="B117" t="s">
        <v>786</v>
      </c>
      <c r="C117" t="s">
        <v>787</v>
      </c>
      <c r="D117">
        <v>1.91876090960456E-4</v>
      </c>
      <c r="E117" t="s">
        <v>94</v>
      </c>
      <c r="N117" t="s">
        <v>788</v>
      </c>
    </row>
    <row r="118" spans="2:15">
      <c r="B118" t="s">
        <v>251</v>
      </c>
      <c r="C118" t="s">
        <v>654</v>
      </c>
      <c r="D118">
        <v>2.1674916274327401E-4</v>
      </c>
      <c r="E118" t="s">
        <v>640</v>
      </c>
      <c r="H118" t="s">
        <v>588</v>
      </c>
      <c r="I118">
        <v>2.1674916274327401E-4</v>
      </c>
      <c r="J118">
        <v>1.2214027581601699</v>
      </c>
      <c r="O118" t="s">
        <v>5275</v>
      </c>
    </row>
    <row r="119" spans="2:15">
      <c r="B119" t="s">
        <v>5283</v>
      </c>
      <c r="C119" t="s">
        <v>883</v>
      </c>
      <c r="D119">
        <v>5.5596694355551602E-3</v>
      </c>
      <c r="E119" t="s">
        <v>640</v>
      </c>
      <c r="H119" t="s">
        <v>588</v>
      </c>
      <c r="I119">
        <v>5.5596694355551602E-3</v>
      </c>
      <c r="J119">
        <v>1.2214027581601699</v>
      </c>
      <c r="O119" t="s">
        <v>5275</v>
      </c>
    </row>
    <row r="120" spans="2:15">
      <c r="B120" t="s">
        <v>5283</v>
      </c>
      <c r="C120" t="s">
        <v>661</v>
      </c>
      <c r="D120">
        <v>1.3899173588887901E-3</v>
      </c>
      <c r="E120" t="s">
        <v>640</v>
      </c>
      <c r="H120" t="s">
        <v>588</v>
      </c>
      <c r="I120">
        <v>1.3899173588887901E-3</v>
      </c>
      <c r="J120">
        <v>1.2214027581601699</v>
      </c>
      <c r="O120" t="s">
        <v>5275</v>
      </c>
    </row>
    <row r="121" spans="2:15">
      <c r="B121" t="s">
        <v>790</v>
      </c>
      <c r="C121" t="s">
        <v>712</v>
      </c>
      <c r="D121">
        <v>6.11390453426382E-10</v>
      </c>
      <c r="E121" t="s">
        <v>94</v>
      </c>
      <c r="H121" t="s">
        <v>588</v>
      </c>
      <c r="I121">
        <v>6.11390453426382E-10</v>
      </c>
      <c r="J121">
        <v>2.2394398661220611</v>
      </c>
      <c r="O121" t="s">
        <v>5275</v>
      </c>
    </row>
    <row r="122" spans="2:15">
      <c r="B122" t="s">
        <v>790</v>
      </c>
      <c r="C122" t="s">
        <v>654</v>
      </c>
      <c r="D122">
        <v>3.8154118277264203E-6</v>
      </c>
      <c r="E122" t="s">
        <v>94</v>
      </c>
      <c r="H122" t="s">
        <v>588</v>
      </c>
      <c r="I122">
        <v>3.8154118277264203E-6</v>
      </c>
      <c r="J122">
        <v>1.2214027581601699</v>
      </c>
      <c r="O122" t="s">
        <v>5275</v>
      </c>
    </row>
    <row r="123" spans="2:15">
      <c r="B123" t="s">
        <v>791</v>
      </c>
      <c r="C123" t="s">
        <v>654</v>
      </c>
      <c r="D123">
        <v>5.5942033357702801E-8</v>
      </c>
      <c r="E123" t="s">
        <v>94</v>
      </c>
      <c r="H123" t="s">
        <v>588</v>
      </c>
      <c r="I123">
        <v>5.5942033357702801E-8</v>
      </c>
      <c r="J123">
        <v>1.2214027581601699</v>
      </c>
      <c r="O123" t="s">
        <v>5275</v>
      </c>
    </row>
    <row r="124" spans="2:15">
      <c r="B124" t="s">
        <v>792</v>
      </c>
      <c r="C124" t="s">
        <v>712</v>
      </c>
      <c r="D124">
        <v>1.8341713602791501E-8</v>
      </c>
      <c r="E124" t="s">
        <v>94</v>
      </c>
      <c r="H124" t="s">
        <v>588</v>
      </c>
      <c r="I124">
        <v>1.8341713602791501E-8</v>
      </c>
      <c r="J124">
        <v>2.2394398661220611</v>
      </c>
      <c r="O124" t="s">
        <v>5275</v>
      </c>
    </row>
    <row r="126" spans="2:15">
      <c r="B126" s="430" t="s">
        <v>690</v>
      </c>
      <c r="C126" s="430">
        <f>SUMIFS(D8:D27,B8:B27,B126)</f>
        <v>1.0029347172047278</v>
      </c>
      <c r="D126" s="431" t="s">
        <v>640</v>
      </c>
    </row>
    <row r="127" spans="2:15">
      <c r="B127" s="460" t="s">
        <v>127</v>
      </c>
      <c r="C127" s="460">
        <f>53.6*C126</f>
        <v>53.757300842173414</v>
      </c>
      <c r="D127" s="460" t="s">
        <v>607</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DE083-6D20-4AB1-B245-C5663802429F}">
  <sheetPr>
    <tabColor rgb="FF0070C0"/>
  </sheetPr>
  <dimension ref="A1:Q141"/>
  <sheetViews>
    <sheetView topLeftCell="A121" workbookViewId="0">
      <selection activeCell="F145" sqref="F145"/>
    </sheetView>
  </sheetViews>
  <sheetFormatPr defaultRowHeight="14.4"/>
  <cols>
    <col min="2" max="2" width="23.109375" customWidth="1"/>
    <col min="6" max="6" width="19.109375" customWidth="1"/>
  </cols>
  <sheetData>
    <row r="1" spans="1:17">
      <c r="A1" s="424" t="s">
        <v>564</v>
      </c>
    </row>
    <row r="2" spans="1:17">
      <c r="A2" s="423" t="s">
        <v>565</v>
      </c>
      <c r="B2" t="s">
        <v>793</v>
      </c>
    </row>
    <row r="3" spans="1:17">
      <c r="A3" s="423" t="s">
        <v>567</v>
      </c>
      <c r="B3" t="s">
        <v>794</v>
      </c>
    </row>
    <row r="4" spans="1:17">
      <c r="A4" s="423" t="s">
        <v>568</v>
      </c>
      <c r="B4" t="s">
        <v>795</v>
      </c>
    </row>
    <row r="5" spans="1:17">
      <c r="A5" s="423" t="s">
        <v>585</v>
      </c>
      <c r="B5" t="s">
        <v>796</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596</v>
      </c>
      <c r="C9" t="s">
        <v>597</v>
      </c>
      <c r="D9">
        <v>1.6033417701443099E-6</v>
      </c>
      <c r="E9" t="s">
        <v>598</v>
      </c>
      <c r="H9" t="s">
        <v>588</v>
      </c>
      <c r="I9">
        <v>1.6033417701443099E-6</v>
      </c>
      <c r="J9">
        <v>1.7293101253499219</v>
      </c>
      <c r="N9" t="s">
        <v>797</v>
      </c>
      <c r="O9" t="s">
        <v>798</v>
      </c>
      <c r="Q9" t="s">
        <v>600</v>
      </c>
    </row>
    <row r="10" spans="1:17">
      <c r="B10" t="s">
        <v>596</v>
      </c>
      <c r="C10" t="s">
        <v>597</v>
      </c>
      <c r="D10">
        <v>1.3153367494909199E-5</v>
      </c>
      <c r="E10" t="s">
        <v>598</v>
      </c>
      <c r="H10" t="s">
        <v>588</v>
      </c>
      <c r="I10">
        <v>1.3153367494909199E-5</v>
      </c>
      <c r="J10">
        <v>1.7293101253499219</v>
      </c>
      <c r="N10" t="s">
        <v>797</v>
      </c>
      <c r="O10" t="s">
        <v>798</v>
      </c>
      <c r="Q10" t="s">
        <v>600</v>
      </c>
    </row>
    <row r="11" spans="1:17">
      <c r="B11" t="s">
        <v>596</v>
      </c>
      <c r="C11" t="s">
        <v>597</v>
      </c>
      <c r="D11">
        <v>3.8344367349455398E-7</v>
      </c>
      <c r="E11" t="s">
        <v>598</v>
      </c>
      <c r="H11" t="s">
        <v>588</v>
      </c>
      <c r="I11">
        <v>3.8344367349455398E-7</v>
      </c>
      <c r="J11">
        <v>1.7293101253499219</v>
      </c>
      <c r="N11" t="s">
        <v>797</v>
      </c>
      <c r="O11" t="s">
        <v>798</v>
      </c>
      <c r="Q11" t="s">
        <v>600</v>
      </c>
    </row>
    <row r="12" spans="1:17">
      <c r="B12" t="s">
        <v>596</v>
      </c>
      <c r="C12" t="s">
        <v>597</v>
      </c>
      <c r="D12">
        <v>1.99533813040329E-6</v>
      </c>
      <c r="E12" t="s">
        <v>598</v>
      </c>
      <c r="H12" t="s">
        <v>588</v>
      </c>
      <c r="I12">
        <v>1.99533813040329E-6</v>
      </c>
      <c r="J12">
        <v>1.7293101253499219</v>
      </c>
      <c r="N12" t="s">
        <v>797</v>
      </c>
      <c r="O12" t="s">
        <v>798</v>
      </c>
      <c r="Q12" t="s">
        <v>600</v>
      </c>
    </row>
    <row r="13" spans="1:17">
      <c r="B13" t="s">
        <v>596</v>
      </c>
      <c r="C13" t="s">
        <v>597</v>
      </c>
      <c r="D13">
        <v>3.72073016815452E-6</v>
      </c>
      <c r="E13" t="s">
        <v>598</v>
      </c>
      <c r="H13" t="s">
        <v>588</v>
      </c>
      <c r="I13">
        <v>3.72073016815452E-6</v>
      </c>
      <c r="J13">
        <v>1.7293101253499219</v>
      </c>
      <c r="N13" t="s">
        <v>797</v>
      </c>
      <c r="O13" t="s">
        <v>798</v>
      </c>
      <c r="Q13" t="s">
        <v>600</v>
      </c>
    </row>
    <row r="14" spans="1:17">
      <c r="B14" t="s">
        <v>596</v>
      </c>
      <c r="C14" t="s">
        <v>597</v>
      </c>
      <c r="D14">
        <v>2.6868761446738502E-6</v>
      </c>
      <c r="E14" t="s">
        <v>598</v>
      </c>
      <c r="H14" t="s">
        <v>588</v>
      </c>
      <c r="I14">
        <v>2.6868761446738502E-6</v>
      </c>
      <c r="J14">
        <v>1.7293101253499219</v>
      </c>
      <c r="N14" t="s">
        <v>797</v>
      </c>
      <c r="O14" t="s">
        <v>798</v>
      </c>
      <c r="Q14" t="s">
        <v>600</v>
      </c>
    </row>
    <row r="15" spans="1:17">
      <c r="B15" t="s">
        <v>596</v>
      </c>
      <c r="C15" t="s">
        <v>597</v>
      </c>
      <c r="D15">
        <v>8.4338182365358001E-7</v>
      </c>
      <c r="E15" t="s">
        <v>598</v>
      </c>
      <c r="H15" t="s">
        <v>588</v>
      </c>
      <c r="I15">
        <v>8.4338182365358001E-7</v>
      </c>
      <c r="J15">
        <v>1.7293101253499219</v>
      </c>
      <c r="N15" t="s">
        <v>797</v>
      </c>
      <c r="O15" t="s">
        <v>798</v>
      </c>
      <c r="Q15" t="s">
        <v>600</v>
      </c>
    </row>
    <row r="16" spans="1:17">
      <c r="B16" t="s">
        <v>596</v>
      </c>
      <c r="C16" t="s">
        <v>597</v>
      </c>
      <c r="D16">
        <v>2.1910524327972E-4</v>
      </c>
      <c r="E16" t="s">
        <v>598</v>
      </c>
      <c r="H16" t="s">
        <v>588</v>
      </c>
      <c r="I16">
        <v>2.1910524327972E-4</v>
      </c>
      <c r="J16">
        <v>1.7293101253499219</v>
      </c>
      <c r="N16" t="s">
        <v>599</v>
      </c>
      <c r="O16" t="s">
        <v>798</v>
      </c>
      <c r="Q16" t="s">
        <v>600</v>
      </c>
    </row>
    <row r="17" spans="2:17">
      <c r="B17" t="s">
        <v>596</v>
      </c>
      <c r="C17" t="s">
        <v>597</v>
      </c>
      <c r="D17">
        <v>3.6794853100749099E-6</v>
      </c>
      <c r="E17" t="s">
        <v>598</v>
      </c>
      <c r="H17" t="s">
        <v>588</v>
      </c>
      <c r="I17">
        <v>3.6794853100749099E-6</v>
      </c>
      <c r="J17">
        <v>1.7293101253499219</v>
      </c>
      <c r="N17" t="s">
        <v>797</v>
      </c>
      <c r="O17" t="s">
        <v>798</v>
      </c>
      <c r="Q17" t="s">
        <v>600</v>
      </c>
    </row>
    <row r="18" spans="2:17">
      <c r="B18" t="s">
        <v>596</v>
      </c>
      <c r="C18" t="s">
        <v>597</v>
      </c>
      <c r="D18">
        <v>6.2174621288505803E-6</v>
      </c>
      <c r="E18" t="s">
        <v>598</v>
      </c>
      <c r="H18" t="s">
        <v>588</v>
      </c>
      <c r="I18">
        <v>6.2174621288505803E-6</v>
      </c>
      <c r="J18">
        <v>1.7293101253499219</v>
      </c>
      <c r="N18" t="s">
        <v>797</v>
      </c>
      <c r="O18" t="s">
        <v>798</v>
      </c>
      <c r="Q18" t="s">
        <v>600</v>
      </c>
    </row>
    <row r="19" spans="2:17">
      <c r="B19" t="s">
        <v>596</v>
      </c>
      <c r="C19" t="s">
        <v>597</v>
      </c>
      <c r="D19">
        <v>2.1691515111571801E-5</v>
      </c>
      <c r="E19" t="s">
        <v>598</v>
      </c>
      <c r="H19" t="s">
        <v>588</v>
      </c>
      <c r="I19">
        <v>2.1691515111571801E-5</v>
      </c>
      <c r="J19">
        <v>1.7293101253499219</v>
      </c>
      <c r="N19" t="s">
        <v>797</v>
      </c>
      <c r="O19" t="s">
        <v>798</v>
      </c>
      <c r="Q19" t="s">
        <v>600</v>
      </c>
    </row>
    <row r="20" spans="2:17">
      <c r="B20" t="s">
        <v>596</v>
      </c>
      <c r="C20" t="s">
        <v>597</v>
      </c>
      <c r="D20">
        <v>1.0732680458562701E-5</v>
      </c>
      <c r="E20" t="s">
        <v>598</v>
      </c>
      <c r="H20" t="s">
        <v>588</v>
      </c>
      <c r="I20">
        <v>1.0732680458562701E-5</v>
      </c>
      <c r="J20">
        <v>1.7293101253499219</v>
      </c>
      <c r="N20" t="s">
        <v>797</v>
      </c>
      <c r="O20" t="s">
        <v>798</v>
      </c>
      <c r="Q20" t="s">
        <v>600</v>
      </c>
    </row>
    <row r="21" spans="2:17">
      <c r="B21" t="s">
        <v>596</v>
      </c>
      <c r="C21" t="s">
        <v>597</v>
      </c>
      <c r="D21">
        <v>1.01901364694548E-5</v>
      </c>
      <c r="E21" t="s">
        <v>598</v>
      </c>
      <c r="H21" t="s">
        <v>588</v>
      </c>
      <c r="I21">
        <v>1.01901364694548E-5</v>
      </c>
      <c r="J21">
        <v>1.7293101253499219</v>
      </c>
      <c r="N21" t="s">
        <v>797</v>
      </c>
      <c r="O21" t="s">
        <v>798</v>
      </c>
      <c r="Q21" t="s">
        <v>600</v>
      </c>
    </row>
    <row r="22" spans="2:17">
      <c r="B22" t="s">
        <v>596</v>
      </c>
      <c r="C22" t="s">
        <v>597</v>
      </c>
      <c r="D22">
        <v>4.4025724206599703E-6</v>
      </c>
      <c r="E22" t="s">
        <v>598</v>
      </c>
      <c r="H22" t="s">
        <v>588</v>
      </c>
      <c r="I22">
        <v>4.4025724206599703E-6</v>
      </c>
      <c r="J22">
        <v>1.7293101253499219</v>
      </c>
      <c r="N22" t="s">
        <v>797</v>
      </c>
      <c r="O22" t="s">
        <v>798</v>
      </c>
      <c r="Q22" t="s">
        <v>600</v>
      </c>
    </row>
    <row r="23" spans="2:17">
      <c r="B23" t="s">
        <v>596</v>
      </c>
      <c r="C23" t="s">
        <v>597</v>
      </c>
      <c r="D23">
        <v>1.3171717756086701E-5</v>
      </c>
      <c r="E23" t="s">
        <v>598</v>
      </c>
      <c r="H23" t="s">
        <v>588</v>
      </c>
      <c r="I23">
        <v>1.3171717756086701E-5</v>
      </c>
      <c r="J23">
        <v>1.7293101253499219</v>
      </c>
      <c r="N23" t="s">
        <v>797</v>
      </c>
      <c r="O23" t="s">
        <v>798</v>
      </c>
      <c r="Q23" t="s">
        <v>600</v>
      </c>
    </row>
    <row r="24" spans="2:17">
      <c r="B24" t="s">
        <v>596</v>
      </c>
      <c r="C24" t="s">
        <v>597</v>
      </c>
      <c r="D24">
        <v>9.6029331536649108E-9</v>
      </c>
      <c r="E24" t="s">
        <v>598</v>
      </c>
      <c r="H24" t="s">
        <v>588</v>
      </c>
      <c r="I24">
        <v>9.6029331536649108E-9</v>
      </c>
      <c r="J24">
        <v>1.7293101253499219</v>
      </c>
      <c r="N24" t="s">
        <v>797</v>
      </c>
      <c r="O24" t="s">
        <v>798</v>
      </c>
      <c r="Q24" t="s">
        <v>600</v>
      </c>
    </row>
    <row r="25" spans="2:17">
      <c r="B25" t="s">
        <v>596</v>
      </c>
      <c r="C25" t="s">
        <v>597</v>
      </c>
      <c r="D25">
        <v>2.3290442043578501E-6</v>
      </c>
      <c r="E25" t="s">
        <v>598</v>
      </c>
      <c r="H25" t="s">
        <v>588</v>
      </c>
      <c r="I25">
        <v>2.3290442043578501E-6</v>
      </c>
      <c r="J25">
        <v>1.7293101253499219</v>
      </c>
      <c r="N25" t="s">
        <v>797</v>
      </c>
      <c r="O25" t="s">
        <v>798</v>
      </c>
      <c r="Q25" t="s">
        <v>600</v>
      </c>
    </row>
    <row r="26" spans="2:17">
      <c r="B26" t="s">
        <v>596</v>
      </c>
      <c r="C26" t="s">
        <v>597</v>
      </c>
      <c r="D26">
        <v>3.8547084367560402E-7</v>
      </c>
      <c r="E26" t="s">
        <v>598</v>
      </c>
      <c r="H26" t="s">
        <v>588</v>
      </c>
      <c r="I26">
        <v>3.8547084367560402E-7</v>
      </c>
      <c r="J26">
        <v>1.7293101253499219</v>
      </c>
      <c r="N26" t="s">
        <v>797</v>
      </c>
      <c r="O26" t="s">
        <v>798</v>
      </c>
      <c r="Q26" t="s">
        <v>600</v>
      </c>
    </row>
    <row r="27" spans="2:17">
      <c r="B27" t="s">
        <v>596</v>
      </c>
      <c r="C27" t="s">
        <v>597</v>
      </c>
      <c r="D27">
        <v>1.47559508393817E-6</v>
      </c>
      <c r="E27" t="s">
        <v>598</v>
      </c>
      <c r="H27" t="s">
        <v>588</v>
      </c>
      <c r="I27">
        <v>1.47559508393817E-6</v>
      </c>
      <c r="J27">
        <v>1.7293101253499219</v>
      </c>
      <c r="N27" t="s">
        <v>797</v>
      </c>
      <c r="O27" t="s">
        <v>798</v>
      </c>
      <c r="Q27" t="s">
        <v>600</v>
      </c>
    </row>
    <row r="28" spans="2:17">
      <c r="B28" t="s">
        <v>596</v>
      </c>
      <c r="C28" t="s">
        <v>597</v>
      </c>
      <c r="D28">
        <v>1.0647876104075E-7</v>
      </c>
      <c r="E28" t="s">
        <v>598</v>
      </c>
      <c r="H28" t="s">
        <v>588</v>
      </c>
      <c r="I28">
        <v>1.0647876104075E-7</v>
      </c>
      <c r="J28">
        <v>1.7293101253499219</v>
      </c>
      <c r="N28" t="s">
        <v>797</v>
      </c>
      <c r="O28" t="s">
        <v>798</v>
      </c>
      <c r="Q28" t="s">
        <v>600</v>
      </c>
    </row>
    <row r="29" spans="2:17">
      <c r="B29" t="s">
        <v>596</v>
      </c>
      <c r="C29" t="s">
        <v>597</v>
      </c>
      <c r="D29">
        <v>1.31820586166062E-6</v>
      </c>
      <c r="E29" t="s">
        <v>598</v>
      </c>
      <c r="H29" t="s">
        <v>588</v>
      </c>
      <c r="I29">
        <v>1.31820586166062E-6</v>
      </c>
      <c r="J29">
        <v>1.7293101253499219</v>
      </c>
      <c r="N29" t="s">
        <v>797</v>
      </c>
      <c r="O29" t="s">
        <v>798</v>
      </c>
      <c r="Q29" t="s">
        <v>600</v>
      </c>
    </row>
    <row r="30" spans="2:17">
      <c r="B30" t="s">
        <v>596</v>
      </c>
      <c r="C30" t="s">
        <v>597</v>
      </c>
      <c r="D30">
        <v>6.5484120278057998E-6</v>
      </c>
      <c r="E30" t="s">
        <v>598</v>
      </c>
      <c r="H30" t="s">
        <v>588</v>
      </c>
      <c r="I30">
        <v>6.5484120278057998E-6</v>
      </c>
      <c r="J30">
        <v>1.7293101253499219</v>
      </c>
      <c r="N30" t="s">
        <v>797</v>
      </c>
      <c r="O30" t="s">
        <v>798</v>
      </c>
      <c r="Q30" t="s">
        <v>600</v>
      </c>
    </row>
    <row r="31" spans="2:17">
      <c r="B31" t="s">
        <v>596</v>
      </c>
      <c r="C31" t="s">
        <v>597</v>
      </c>
      <c r="D31">
        <v>5.7714869592422304E-7</v>
      </c>
      <c r="E31" t="s">
        <v>598</v>
      </c>
      <c r="H31" t="s">
        <v>588</v>
      </c>
      <c r="I31">
        <v>5.7714869592422304E-7</v>
      </c>
      <c r="J31">
        <v>1.7293101253499219</v>
      </c>
      <c r="N31" t="s">
        <v>797</v>
      </c>
      <c r="O31" t="s">
        <v>798</v>
      </c>
      <c r="Q31" t="s">
        <v>600</v>
      </c>
    </row>
    <row r="32" spans="2:17">
      <c r="B32" t="s">
        <v>596</v>
      </c>
      <c r="C32" t="s">
        <v>597</v>
      </c>
      <c r="D32">
        <v>3.2804095177605699E-5</v>
      </c>
      <c r="E32" t="s">
        <v>598</v>
      </c>
      <c r="H32" t="s">
        <v>588</v>
      </c>
      <c r="I32">
        <v>3.2804095177605699E-5</v>
      </c>
      <c r="J32">
        <v>1.7293101253499219</v>
      </c>
      <c r="N32" t="s">
        <v>599</v>
      </c>
      <c r="O32" t="s">
        <v>798</v>
      </c>
      <c r="Q32" t="s">
        <v>600</v>
      </c>
    </row>
    <row r="33" spans="2:17">
      <c r="B33" t="s">
        <v>596</v>
      </c>
      <c r="C33" t="s">
        <v>597</v>
      </c>
      <c r="D33">
        <v>2.5799206537934902E-7</v>
      </c>
      <c r="E33" t="s">
        <v>598</v>
      </c>
      <c r="H33" t="s">
        <v>588</v>
      </c>
      <c r="I33">
        <v>2.5799206537934902E-7</v>
      </c>
      <c r="J33">
        <v>1.7293101253499219</v>
      </c>
      <c r="N33" t="s">
        <v>797</v>
      </c>
      <c r="O33" t="s">
        <v>798</v>
      </c>
      <c r="Q33" t="s">
        <v>600</v>
      </c>
    </row>
    <row r="34" spans="2:17">
      <c r="B34" t="s">
        <v>596</v>
      </c>
      <c r="C34" t="s">
        <v>597</v>
      </c>
      <c r="D34">
        <v>9.1918694112233303E-7</v>
      </c>
      <c r="E34" t="s">
        <v>598</v>
      </c>
      <c r="H34" t="s">
        <v>588</v>
      </c>
      <c r="I34">
        <v>9.1918694112233303E-7</v>
      </c>
      <c r="J34">
        <v>1.7293101253499219</v>
      </c>
      <c r="N34" t="s">
        <v>797</v>
      </c>
      <c r="O34" t="s">
        <v>798</v>
      </c>
      <c r="Q34" t="s">
        <v>600</v>
      </c>
    </row>
    <row r="35" spans="2:17">
      <c r="B35" t="s">
        <v>596</v>
      </c>
      <c r="C35" t="s">
        <v>597</v>
      </c>
      <c r="D35">
        <v>7.0067577925553899E-6</v>
      </c>
      <c r="E35" t="s">
        <v>598</v>
      </c>
      <c r="H35" t="s">
        <v>588</v>
      </c>
      <c r="I35">
        <v>7.0067577925553899E-6</v>
      </c>
      <c r="J35">
        <v>1.7293101253499219</v>
      </c>
      <c r="N35" t="s">
        <v>797</v>
      </c>
      <c r="O35" t="s">
        <v>798</v>
      </c>
      <c r="Q35" t="s">
        <v>600</v>
      </c>
    </row>
    <row r="36" spans="2:17">
      <c r="B36" t="s">
        <v>596</v>
      </c>
      <c r="C36" t="s">
        <v>597</v>
      </c>
      <c r="D36">
        <v>6.4014147327299297E-6</v>
      </c>
      <c r="E36" t="s">
        <v>598</v>
      </c>
      <c r="H36" t="s">
        <v>588</v>
      </c>
      <c r="I36">
        <v>6.4014147327299297E-6</v>
      </c>
      <c r="J36">
        <v>1.7293101253499219</v>
      </c>
      <c r="N36" t="s">
        <v>797</v>
      </c>
      <c r="O36" t="s">
        <v>798</v>
      </c>
      <c r="Q36" t="s">
        <v>600</v>
      </c>
    </row>
    <row r="37" spans="2:17">
      <c r="B37" t="s">
        <v>596</v>
      </c>
      <c r="C37" t="s">
        <v>597</v>
      </c>
      <c r="D37">
        <v>6.7042692326195501E-7</v>
      </c>
      <c r="E37" t="s">
        <v>598</v>
      </c>
      <c r="H37" t="s">
        <v>588</v>
      </c>
      <c r="I37">
        <v>6.7042692326195501E-7</v>
      </c>
      <c r="J37">
        <v>1.7293101253499219</v>
      </c>
      <c r="N37" t="s">
        <v>797</v>
      </c>
      <c r="O37" t="s">
        <v>798</v>
      </c>
      <c r="Q37" t="s">
        <v>600</v>
      </c>
    </row>
    <row r="38" spans="2:17">
      <c r="B38" t="s">
        <v>596</v>
      </c>
      <c r="C38" t="s">
        <v>597</v>
      </c>
      <c r="D38">
        <v>4.7710622535291502E-4</v>
      </c>
      <c r="E38" t="s">
        <v>598</v>
      </c>
      <c r="H38" t="s">
        <v>588</v>
      </c>
      <c r="I38">
        <v>4.7710622535291502E-4</v>
      </c>
      <c r="J38">
        <v>1.7293101253499219</v>
      </c>
      <c r="N38" t="s">
        <v>599</v>
      </c>
      <c r="O38" t="s">
        <v>798</v>
      </c>
      <c r="Q38" t="s">
        <v>600</v>
      </c>
    </row>
    <row r="39" spans="2:17">
      <c r="B39" t="s">
        <v>596</v>
      </c>
      <c r="C39" t="s">
        <v>597</v>
      </c>
      <c r="D39">
        <v>6.1096368841973696E-7</v>
      </c>
      <c r="E39" t="s">
        <v>598</v>
      </c>
      <c r="H39" t="s">
        <v>588</v>
      </c>
      <c r="I39">
        <v>6.1096368841973696E-7</v>
      </c>
      <c r="J39">
        <v>1.7293101253499219</v>
      </c>
      <c r="N39" t="s">
        <v>797</v>
      </c>
      <c r="O39" t="s">
        <v>798</v>
      </c>
      <c r="Q39" t="s">
        <v>600</v>
      </c>
    </row>
    <row r="40" spans="2:17">
      <c r="B40" t="s">
        <v>596</v>
      </c>
      <c r="C40" t="s">
        <v>597</v>
      </c>
      <c r="D40">
        <v>4.4867598084186698E-5</v>
      </c>
      <c r="E40" t="s">
        <v>598</v>
      </c>
      <c r="H40" t="s">
        <v>588</v>
      </c>
      <c r="I40">
        <v>4.4867598084186698E-5</v>
      </c>
      <c r="J40">
        <v>1.7293101253499219</v>
      </c>
      <c r="N40" t="s">
        <v>797</v>
      </c>
      <c r="O40" t="s">
        <v>798</v>
      </c>
      <c r="Q40" t="s">
        <v>600</v>
      </c>
    </row>
    <row r="41" spans="2:17">
      <c r="B41" t="s">
        <v>596</v>
      </c>
      <c r="C41" t="s">
        <v>597</v>
      </c>
      <c r="D41">
        <v>1.9540296400001802E-6</v>
      </c>
      <c r="E41" t="s">
        <v>598</v>
      </c>
      <c r="H41" t="s">
        <v>588</v>
      </c>
      <c r="I41">
        <v>1.9540296400001802E-6</v>
      </c>
      <c r="J41">
        <v>1.7293101253499219</v>
      </c>
      <c r="N41" t="s">
        <v>797</v>
      </c>
      <c r="O41" t="s">
        <v>798</v>
      </c>
      <c r="Q41" t="s">
        <v>600</v>
      </c>
    </row>
    <row r="42" spans="2:17">
      <c r="B42" t="s">
        <v>596</v>
      </c>
      <c r="C42" t="s">
        <v>597</v>
      </c>
      <c r="D42">
        <v>1.64704764010446E-6</v>
      </c>
      <c r="E42" t="s">
        <v>598</v>
      </c>
      <c r="H42" t="s">
        <v>588</v>
      </c>
      <c r="I42">
        <v>1.64704764010446E-6</v>
      </c>
      <c r="J42">
        <v>1.7293101253499219</v>
      </c>
      <c r="N42" t="s">
        <v>797</v>
      </c>
      <c r="O42" t="s">
        <v>798</v>
      </c>
      <c r="Q42" t="s">
        <v>600</v>
      </c>
    </row>
    <row r="43" spans="2:17">
      <c r="B43" t="s">
        <v>596</v>
      </c>
      <c r="C43" t="s">
        <v>597</v>
      </c>
      <c r="D43">
        <v>4.1862021179107302E-7</v>
      </c>
      <c r="E43" t="s">
        <v>598</v>
      </c>
      <c r="H43" t="s">
        <v>588</v>
      </c>
      <c r="I43">
        <v>4.1862021179107302E-7</v>
      </c>
      <c r="J43">
        <v>1.7293101253499219</v>
      </c>
      <c r="N43" t="s">
        <v>797</v>
      </c>
      <c r="O43" t="s">
        <v>798</v>
      </c>
      <c r="Q43" t="s">
        <v>600</v>
      </c>
    </row>
    <row r="44" spans="2:17">
      <c r="B44" t="s">
        <v>596</v>
      </c>
      <c r="C44" t="s">
        <v>597</v>
      </c>
      <c r="D44">
        <v>2.6617594231623101E-6</v>
      </c>
      <c r="E44" t="s">
        <v>598</v>
      </c>
      <c r="H44" t="s">
        <v>588</v>
      </c>
      <c r="I44">
        <v>2.6617594231623101E-6</v>
      </c>
      <c r="J44">
        <v>1.7293101253499219</v>
      </c>
      <c r="N44" t="s">
        <v>797</v>
      </c>
      <c r="O44" t="s">
        <v>798</v>
      </c>
      <c r="Q44" t="s">
        <v>600</v>
      </c>
    </row>
    <row r="45" spans="2:17">
      <c r="B45" t="s">
        <v>596</v>
      </c>
      <c r="C45" t="s">
        <v>597</v>
      </c>
      <c r="D45">
        <v>2.7488665007440202E-7</v>
      </c>
      <c r="E45" t="s">
        <v>598</v>
      </c>
      <c r="H45" t="s">
        <v>588</v>
      </c>
      <c r="I45">
        <v>2.7488665007440202E-7</v>
      </c>
      <c r="J45">
        <v>1.7293101253499219</v>
      </c>
      <c r="N45" t="s">
        <v>797</v>
      </c>
      <c r="O45" t="s">
        <v>798</v>
      </c>
      <c r="Q45" t="s">
        <v>600</v>
      </c>
    </row>
    <row r="46" spans="2:17">
      <c r="B46" t="s">
        <v>596</v>
      </c>
      <c r="C46" t="s">
        <v>597</v>
      </c>
      <c r="D46">
        <v>2.3513851335173502E-6</v>
      </c>
      <c r="E46" t="s">
        <v>598</v>
      </c>
      <c r="H46" t="s">
        <v>588</v>
      </c>
      <c r="I46">
        <v>2.3513851335173502E-6</v>
      </c>
      <c r="J46">
        <v>1.7293101253499219</v>
      </c>
      <c r="N46" t="s">
        <v>797</v>
      </c>
      <c r="O46" t="s">
        <v>798</v>
      </c>
      <c r="Q46" t="s">
        <v>600</v>
      </c>
    </row>
    <row r="47" spans="2:17">
      <c r="B47" t="s">
        <v>596</v>
      </c>
      <c r="C47" t="s">
        <v>597</v>
      </c>
      <c r="D47">
        <v>3.245567553489E-6</v>
      </c>
      <c r="E47" t="s">
        <v>598</v>
      </c>
      <c r="H47" t="s">
        <v>588</v>
      </c>
      <c r="I47">
        <v>3.245567553489E-6</v>
      </c>
      <c r="J47">
        <v>1.7293101253499219</v>
      </c>
      <c r="N47" t="s">
        <v>797</v>
      </c>
      <c r="O47" t="s">
        <v>798</v>
      </c>
      <c r="Q47" t="s">
        <v>600</v>
      </c>
    </row>
    <row r="48" spans="2:17">
      <c r="B48" t="s">
        <v>596</v>
      </c>
      <c r="C48" t="s">
        <v>597</v>
      </c>
      <c r="D48">
        <v>6.7248352550425801E-5</v>
      </c>
      <c r="E48" t="s">
        <v>598</v>
      </c>
      <c r="H48" t="s">
        <v>588</v>
      </c>
      <c r="I48">
        <v>6.7248352550425801E-5</v>
      </c>
      <c r="J48">
        <v>1.7293101253499219</v>
      </c>
      <c r="N48" t="s">
        <v>599</v>
      </c>
      <c r="O48" t="s">
        <v>798</v>
      </c>
      <c r="Q48" t="s">
        <v>600</v>
      </c>
    </row>
    <row r="49" spans="2:17">
      <c r="B49" t="s">
        <v>596</v>
      </c>
      <c r="C49" t="s">
        <v>597</v>
      </c>
      <c r="D49">
        <v>3.2411850455907498E-7</v>
      </c>
      <c r="E49" t="s">
        <v>598</v>
      </c>
      <c r="H49" t="s">
        <v>588</v>
      </c>
      <c r="I49">
        <v>3.2411850455907498E-7</v>
      </c>
      <c r="J49">
        <v>1.7293101253499219</v>
      </c>
      <c r="N49" t="s">
        <v>797</v>
      </c>
      <c r="O49" t="s">
        <v>798</v>
      </c>
      <c r="Q49" t="s">
        <v>600</v>
      </c>
    </row>
    <row r="50" spans="2:17">
      <c r="B50" t="s">
        <v>596</v>
      </c>
      <c r="C50" t="s">
        <v>597</v>
      </c>
      <c r="D50">
        <v>3.8487376242104501E-7</v>
      </c>
      <c r="E50" t="s">
        <v>598</v>
      </c>
      <c r="H50" t="s">
        <v>588</v>
      </c>
      <c r="I50">
        <v>3.8487376242104501E-7</v>
      </c>
      <c r="J50">
        <v>1.7293101253499219</v>
      </c>
      <c r="N50" t="s">
        <v>797</v>
      </c>
      <c r="O50" t="s">
        <v>798</v>
      </c>
      <c r="Q50" t="s">
        <v>600</v>
      </c>
    </row>
    <row r="51" spans="2:17">
      <c r="B51" t="s">
        <v>596</v>
      </c>
      <c r="C51" t="s">
        <v>597</v>
      </c>
      <c r="D51">
        <v>2.17641603978678E-6</v>
      </c>
      <c r="E51" t="s">
        <v>598</v>
      </c>
      <c r="H51" t="s">
        <v>588</v>
      </c>
      <c r="I51">
        <v>2.17641603978678E-6</v>
      </c>
      <c r="J51">
        <v>1.7293101253499219</v>
      </c>
      <c r="N51" t="s">
        <v>797</v>
      </c>
      <c r="O51" t="s">
        <v>798</v>
      </c>
      <c r="Q51" t="s">
        <v>600</v>
      </c>
    </row>
    <row r="52" spans="2:17">
      <c r="B52" t="s">
        <v>596</v>
      </c>
      <c r="C52" t="s">
        <v>597</v>
      </c>
      <c r="D52">
        <v>1.21705878659862E-6</v>
      </c>
      <c r="E52" t="s">
        <v>598</v>
      </c>
      <c r="H52" t="s">
        <v>588</v>
      </c>
      <c r="I52">
        <v>1.21705878659862E-6</v>
      </c>
      <c r="J52">
        <v>1.7293101253499219</v>
      </c>
      <c r="N52" t="s">
        <v>797</v>
      </c>
      <c r="O52" t="s">
        <v>798</v>
      </c>
      <c r="Q52" t="s">
        <v>600</v>
      </c>
    </row>
    <row r="53" spans="2:17">
      <c r="B53" t="s">
        <v>596</v>
      </c>
      <c r="C53" t="s">
        <v>597</v>
      </c>
      <c r="D53">
        <v>2.5024506844601601E-7</v>
      </c>
      <c r="E53" t="s">
        <v>598</v>
      </c>
      <c r="H53" t="s">
        <v>588</v>
      </c>
      <c r="I53">
        <v>2.5024506844601601E-7</v>
      </c>
      <c r="J53">
        <v>1.7293101253499219</v>
      </c>
      <c r="N53" t="s">
        <v>797</v>
      </c>
      <c r="O53" t="s">
        <v>798</v>
      </c>
      <c r="Q53" t="s">
        <v>600</v>
      </c>
    </row>
    <row r="54" spans="2:17">
      <c r="B54" t="s">
        <v>596</v>
      </c>
      <c r="C54" t="s">
        <v>597</v>
      </c>
      <c r="D54">
        <v>1.4799112040536E-6</v>
      </c>
      <c r="E54" t="s">
        <v>598</v>
      </c>
      <c r="H54" t="s">
        <v>588</v>
      </c>
      <c r="I54">
        <v>1.4799112040536E-6</v>
      </c>
      <c r="J54">
        <v>1.7293101253499219</v>
      </c>
      <c r="N54" t="s">
        <v>797</v>
      </c>
      <c r="O54" t="s">
        <v>798</v>
      </c>
      <c r="Q54" t="s">
        <v>600</v>
      </c>
    </row>
    <row r="55" spans="2:17">
      <c r="B55" t="s">
        <v>799</v>
      </c>
      <c r="C55" t="s">
        <v>800</v>
      </c>
      <c r="D55">
        <v>1.7790741650222301E-3</v>
      </c>
      <c r="E55" t="s">
        <v>94</v>
      </c>
      <c r="H55" t="s">
        <v>588</v>
      </c>
      <c r="I55">
        <v>1.7790741650222301E-3</v>
      </c>
      <c r="J55">
        <v>1</v>
      </c>
      <c r="N55" t="s">
        <v>801</v>
      </c>
      <c r="O55" t="s">
        <v>798</v>
      </c>
      <c r="Q55" t="s">
        <v>802</v>
      </c>
    </row>
    <row r="56" spans="2:17">
      <c r="B56" t="s">
        <v>799</v>
      </c>
      <c r="C56" t="s">
        <v>800</v>
      </c>
      <c r="D56">
        <v>3.8448221126458999E-3</v>
      </c>
      <c r="E56" t="s">
        <v>94</v>
      </c>
      <c r="H56" t="s">
        <v>588</v>
      </c>
      <c r="I56">
        <v>3.8448221126458999E-3</v>
      </c>
      <c r="J56">
        <v>1</v>
      </c>
      <c r="N56" t="s">
        <v>801</v>
      </c>
      <c r="O56" t="s">
        <v>798</v>
      </c>
      <c r="Q56" t="s">
        <v>802</v>
      </c>
    </row>
    <row r="57" spans="2:17">
      <c r="B57" t="s">
        <v>799</v>
      </c>
      <c r="C57" t="s">
        <v>800</v>
      </c>
      <c r="D57">
        <v>2.8976323944539298E-3</v>
      </c>
      <c r="E57" t="s">
        <v>94</v>
      </c>
      <c r="H57" t="s">
        <v>588</v>
      </c>
      <c r="I57">
        <v>2.8976323944539298E-3</v>
      </c>
      <c r="J57">
        <v>1</v>
      </c>
      <c r="N57" t="s">
        <v>801</v>
      </c>
      <c r="O57" t="s">
        <v>798</v>
      </c>
      <c r="Q57" t="s">
        <v>802</v>
      </c>
    </row>
    <row r="58" spans="2:17">
      <c r="B58" t="s">
        <v>799</v>
      </c>
      <c r="C58" t="s">
        <v>800</v>
      </c>
      <c r="D58">
        <v>1.35737031466032E-3</v>
      </c>
      <c r="E58" t="s">
        <v>94</v>
      </c>
      <c r="H58" t="s">
        <v>588</v>
      </c>
      <c r="I58">
        <v>1.35737031466032E-3</v>
      </c>
      <c r="J58">
        <v>1</v>
      </c>
      <c r="N58" t="s">
        <v>801</v>
      </c>
      <c r="O58" t="s">
        <v>798</v>
      </c>
      <c r="Q58" t="s">
        <v>802</v>
      </c>
    </row>
    <row r="59" spans="2:17">
      <c r="B59" t="s">
        <v>799</v>
      </c>
      <c r="C59" t="s">
        <v>800</v>
      </c>
      <c r="D59">
        <v>4.1369041675948102E-4</v>
      </c>
      <c r="E59" t="s">
        <v>94</v>
      </c>
      <c r="H59" t="s">
        <v>588</v>
      </c>
      <c r="I59">
        <v>4.1369041675948102E-4</v>
      </c>
      <c r="J59">
        <v>1</v>
      </c>
      <c r="N59" t="s">
        <v>801</v>
      </c>
      <c r="O59" t="s">
        <v>798</v>
      </c>
      <c r="Q59" t="s">
        <v>802</v>
      </c>
    </row>
    <row r="60" spans="2:17">
      <c r="B60" t="s">
        <v>799</v>
      </c>
      <c r="C60" t="s">
        <v>800</v>
      </c>
      <c r="D60">
        <v>7.5657034300780199E-4</v>
      </c>
      <c r="E60" t="s">
        <v>94</v>
      </c>
      <c r="H60" t="s">
        <v>588</v>
      </c>
      <c r="I60">
        <v>7.5657034300780199E-4</v>
      </c>
      <c r="J60">
        <v>1</v>
      </c>
      <c r="N60" t="s">
        <v>801</v>
      </c>
      <c r="O60" t="s">
        <v>798</v>
      </c>
      <c r="Q60" t="s">
        <v>802</v>
      </c>
    </row>
    <row r="61" spans="2:17">
      <c r="B61" t="s">
        <v>799</v>
      </c>
      <c r="C61" t="s">
        <v>800</v>
      </c>
      <c r="D61">
        <v>2.5991697375554799E-3</v>
      </c>
      <c r="E61" t="s">
        <v>94</v>
      </c>
      <c r="H61" t="s">
        <v>588</v>
      </c>
      <c r="I61">
        <v>2.5991697375554799E-3</v>
      </c>
      <c r="J61">
        <v>1</v>
      </c>
      <c r="N61" t="s">
        <v>801</v>
      </c>
      <c r="O61" t="s">
        <v>798</v>
      </c>
      <c r="Q61" t="s">
        <v>802</v>
      </c>
    </row>
    <row r="62" spans="2:17">
      <c r="B62" t="s">
        <v>799</v>
      </c>
      <c r="C62" t="s">
        <v>800</v>
      </c>
      <c r="D62">
        <v>1.23382849371811E-2</v>
      </c>
      <c r="E62" t="s">
        <v>94</v>
      </c>
      <c r="H62" t="s">
        <v>588</v>
      </c>
      <c r="I62">
        <v>1.23382849371811E-2</v>
      </c>
      <c r="J62">
        <v>1</v>
      </c>
      <c r="N62" t="s">
        <v>801</v>
      </c>
      <c r="O62" t="s">
        <v>798</v>
      </c>
      <c r="Q62" t="s">
        <v>802</v>
      </c>
    </row>
    <row r="63" spans="2:17">
      <c r="B63" t="s">
        <v>799</v>
      </c>
      <c r="C63" t="s">
        <v>800</v>
      </c>
      <c r="D63">
        <v>1.74337603271037E-3</v>
      </c>
      <c r="E63" t="s">
        <v>94</v>
      </c>
      <c r="H63" t="s">
        <v>588</v>
      </c>
      <c r="I63">
        <v>1.74337603271037E-3</v>
      </c>
      <c r="J63">
        <v>1</v>
      </c>
      <c r="N63" t="s">
        <v>801</v>
      </c>
      <c r="O63" t="s">
        <v>798</v>
      </c>
      <c r="Q63" t="s">
        <v>802</v>
      </c>
    </row>
    <row r="64" spans="2:17">
      <c r="B64" t="s">
        <v>803</v>
      </c>
      <c r="C64" t="s">
        <v>615</v>
      </c>
      <c r="D64">
        <v>3.4160133167966902E-13</v>
      </c>
      <c r="E64" t="s">
        <v>616</v>
      </c>
      <c r="H64" t="s">
        <v>588</v>
      </c>
      <c r="I64">
        <v>3.4160133167966902E-13</v>
      </c>
      <c r="J64">
        <v>1.2214027581601699</v>
      </c>
      <c r="N64" t="s">
        <v>804</v>
      </c>
      <c r="O64" t="s">
        <v>798</v>
      </c>
      <c r="Q64" t="s">
        <v>805</v>
      </c>
    </row>
    <row r="65" spans="2:17">
      <c r="B65" t="s">
        <v>806</v>
      </c>
      <c r="C65" t="s">
        <v>673</v>
      </c>
      <c r="D65">
        <v>1.4668763066244599E-6</v>
      </c>
      <c r="E65" t="s">
        <v>94</v>
      </c>
      <c r="H65" t="s">
        <v>588</v>
      </c>
      <c r="I65">
        <v>1.4668763066244599E-6</v>
      </c>
      <c r="J65">
        <v>1.7293101253499219</v>
      </c>
      <c r="N65" t="s">
        <v>807</v>
      </c>
      <c r="O65" t="s">
        <v>798</v>
      </c>
      <c r="Q65" t="s">
        <v>595</v>
      </c>
    </row>
    <row r="66" spans="2:17">
      <c r="B66" t="s">
        <v>808</v>
      </c>
      <c r="C66" t="s">
        <v>809</v>
      </c>
      <c r="D66">
        <v>2.9337526132489198E-6</v>
      </c>
      <c r="E66" t="s">
        <v>94</v>
      </c>
      <c r="H66" t="s">
        <v>588</v>
      </c>
      <c r="I66">
        <v>2.9337526132489198E-6</v>
      </c>
      <c r="J66">
        <v>1.7293101253499219</v>
      </c>
      <c r="N66" t="s">
        <v>810</v>
      </c>
      <c r="O66" t="s">
        <v>798</v>
      </c>
      <c r="Q66" t="s">
        <v>811</v>
      </c>
    </row>
    <row r="67" spans="2:17">
      <c r="B67" t="s">
        <v>703</v>
      </c>
      <c r="C67" t="s">
        <v>673</v>
      </c>
      <c r="D67">
        <v>4.09921598015603E-5</v>
      </c>
      <c r="E67" t="s">
        <v>94</v>
      </c>
      <c r="H67" t="s">
        <v>588</v>
      </c>
      <c r="I67">
        <v>4.09921598015603E-5</v>
      </c>
      <c r="J67">
        <v>1.7293101253499219</v>
      </c>
      <c r="N67" t="s">
        <v>704</v>
      </c>
      <c r="O67" t="s">
        <v>798</v>
      </c>
      <c r="Q67" t="s">
        <v>805</v>
      </c>
    </row>
    <row r="68" spans="2:17">
      <c r="B68" t="s">
        <v>812</v>
      </c>
      <c r="C68" t="s">
        <v>813</v>
      </c>
      <c r="D68">
        <v>5.6319087369729201E-4</v>
      </c>
      <c r="E68" t="s">
        <v>94</v>
      </c>
      <c r="H68" t="s">
        <v>588</v>
      </c>
      <c r="I68">
        <v>5.6319087369729201E-4</v>
      </c>
      <c r="J68">
        <v>1.7293101253499219</v>
      </c>
      <c r="N68" t="s">
        <v>814</v>
      </c>
      <c r="O68" t="s">
        <v>798</v>
      </c>
      <c r="Q68" t="s">
        <v>595</v>
      </c>
    </row>
    <row r="69" spans="2:17">
      <c r="B69" t="s">
        <v>812</v>
      </c>
      <c r="C69" t="s">
        <v>813</v>
      </c>
      <c r="D69">
        <v>1.4654207939140301E-3</v>
      </c>
      <c r="E69" t="s">
        <v>94</v>
      </c>
      <c r="H69" t="s">
        <v>588</v>
      </c>
      <c r="I69">
        <v>1.4654207939140301E-3</v>
      </c>
      <c r="J69">
        <v>1.7293101253499219</v>
      </c>
      <c r="N69" t="s">
        <v>814</v>
      </c>
      <c r="O69" t="s">
        <v>798</v>
      </c>
      <c r="Q69" t="s">
        <v>595</v>
      </c>
    </row>
    <row r="70" spans="2:17">
      <c r="B70" t="s">
        <v>812</v>
      </c>
      <c r="C70" t="s">
        <v>813</v>
      </c>
      <c r="D70">
        <v>5.2817130125058501E-5</v>
      </c>
      <c r="E70" t="s">
        <v>94</v>
      </c>
      <c r="H70" t="s">
        <v>588</v>
      </c>
      <c r="I70">
        <v>5.2817130125058501E-5</v>
      </c>
      <c r="J70">
        <v>1.7293101253499219</v>
      </c>
      <c r="N70" t="s">
        <v>814</v>
      </c>
      <c r="O70" t="s">
        <v>798</v>
      </c>
      <c r="Q70" t="s">
        <v>595</v>
      </c>
    </row>
    <row r="71" spans="2:17">
      <c r="B71" t="s">
        <v>812</v>
      </c>
      <c r="C71" t="s">
        <v>813</v>
      </c>
      <c r="D71">
        <v>1.0997296834085899E-2</v>
      </c>
      <c r="E71" t="s">
        <v>94</v>
      </c>
      <c r="H71" t="s">
        <v>588</v>
      </c>
      <c r="I71">
        <v>1.0997296834085899E-2</v>
      </c>
      <c r="J71">
        <v>1.7293101253499219</v>
      </c>
      <c r="N71" t="s">
        <v>814</v>
      </c>
      <c r="O71" t="s">
        <v>798</v>
      </c>
      <c r="Q71" t="s">
        <v>595</v>
      </c>
    </row>
    <row r="72" spans="2:17">
      <c r="B72" t="s">
        <v>812</v>
      </c>
      <c r="C72" t="s">
        <v>813</v>
      </c>
      <c r="D72">
        <v>9.3352319036576602E-3</v>
      </c>
      <c r="E72" t="s">
        <v>94</v>
      </c>
      <c r="H72" t="s">
        <v>588</v>
      </c>
      <c r="I72">
        <v>9.3352319036576602E-3</v>
      </c>
      <c r="J72">
        <v>1.7293101253499219</v>
      </c>
      <c r="N72" t="s">
        <v>814</v>
      </c>
      <c r="O72" t="s">
        <v>798</v>
      </c>
      <c r="Q72" t="s">
        <v>595</v>
      </c>
    </row>
    <row r="73" spans="2:17">
      <c r="B73" t="s">
        <v>812</v>
      </c>
      <c r="C73" t="s">
        <v>813</v>
      </c>
      <c r="D73">
        <v>7.1942863749555804E-5</v>
      </c>
      <c r="E73" t="s">
        <v>94</v>
      </c>
      <c r="H73" t="s">
        <v>588</v>
      </c>
      <c r="I73">
        <v>7.1942863749555804E-5</v>
      </c>
      <c r="J73">
        <v>1.7293101253499219</v>
      </c>
      <c r="N73" t="s">
        <v>814</v>
      </c>
      <c r="O73" t="s">
        <v>798</v>
      </c>
      <c r="Q73" t="s">
        <v>595</v>
      </c>
    </row>
    <row r="74" spans="2:17">
      <c r="B74" t="s">
        <v>812</v>
      </c>
      <c r="C74" t="s">
        <v>813</v>
      </c>
      <c r="D74">
        <v>1.75319224891225E-3</v>
      </c>
      <c r="E74" t="s">
        <v>94</v>
      </c>
      <c r="H74" t="s">
        <v>588</v>
      </c>
      <c r="I74">
        <v>1.75319224891225E-3</v>
      </c>
      <c r="J74">
        <v>1.7293101253499219</v>
      </c>
      <c r="N74" t="s">
        <v>814</v>
      </c>
      <c r="O74" t="s">
        <v>798</v>
      </c>
      <c r="Q74" t="s">
        <v>595</v>
      </c>
    </row>
    <row r="75" spans="2:17">
      <c r="B75" t="s">
        <v>812</v>
      </c>
      <c r="C75" t="s">
        <v>813</v>
      </c>
      <c r="D75">
        <v>9.5672940654024702E-4</v>
      </c>
      <c r="E75" t="s">
        <v>94</v>
      </c>
      <c r="H75" t="s">
        <v>588</v>
      </c>
      <c r="I75">
        <v>9.5672940654024702E-4</v>
      </c>
      <c r="J75">
        <v>1.7293101253499219</v>
      </c>
      <c r="N75" t="s">
        <v>814</v>
      </c>
      <c r="O75" t="s">
        <v>798</v>
      </c>
      <c r="Q75" t="s">
        <v>595</v>
      </c>
    </row>
    <row r="76" spans="2:17">
      <c r="B76" t="s">
        <v>812</v>
      </c>
      <c r="C76" t="s">
        <v>813</v>
      </c>
      <c r="D76">
        <v>2.9095907726897299E-4</v>
      </c>
      <c r="E76" t="s">
        <v>94</v>
      </c>
      <c r="H76" t="s">
        <v>588</v>
      </c>
      <c r="I76">
        <v>2.9095907726897299E-4</v>
      </c>
      <c r="J76">
        <v>1.7293101253499219</v>
      </c>
      <c r="N76" t="s">
        <v>814</v>
      </c>
      <c r="O76" t="s">
        <v>798</v>
      </c>
      <c r="Q76" t="s">
        <v>595</v>
      </c>
    </row>
    <row r="77" spans="2:17">
      <c r="B77" t="s">
        <v>812</v>
      </c>
      <c r="C77" t="s">
        <v>813</v>
      </c>
      <c r="D77">
        <v>5.9103829603481201E-3</v>
      </c>
      <c r="E77" t="s">
        <v>94</v>
      </c>
      <c r="H77" t="s">
        <v>588</v>
      </c>
      <c r="I77">
        <v>5.9103829603481201E-3</v>
      </c>
      <c r="J77">
        <v>1.7293101253499219</v>
      </c>
      <c r="N77" t="s">
        <v>814</v>
      </c>
      <c r="O77" t="s">
        <v>798</v>
      </c>
      <c r="Q77" t="s">
        <v>595</v>
      </c>
    </row>
    <row r="78" spans="2:17">
      <c r="B78" t="s">
        <v>812</v>
      </c>
      <c r="C78" t="s">
        <v>813</v>
      </c>
      <c r="D78">
        <v>7.5263303614919903E-4</v>
      </c>
      <c r="E78" t="s">
        <v>94</v>
      </c>
      <c r="H78" t="s">
        <v>588</v>
      </c>
      <c r="I78">
        <v>7.5263303614919903E-4</v>
      </c>
      <c r="J78">
        <v>1.7293101253499219</v>
      </c>
      <c r="N78" t="s">
        <v>814</v>
      </c>
      <c r="O78" t="s">
        <v>798</v>
      </c>
      <c r="Q78" t="s">
        <v>595</v>
      </c>
    </row>
    <row r="79" spans="2:17">
      <c r="B79" t="s">
        <v>812</v>
      </c>
      <c r="C79" t="s">
        <v>813</v>
      </c>
      <c r="D79">
        <v>9.1644140284049605E-7</v>
      </c>
      <c r="E79" t="s">
        <v>94</v>
      </c>
      <c r="H79" t="s">
        <v>588</v>
      </c>
      <c r="I79">
        <v>9.1644140284049605E-7</v>
      </c>
      <c r="J79">
        <v>1.7293101253499219</v>
      </c>
      <c r="N79" t="s">
        <v>814</v>
      </c>
      <c r="O79" t="s">
        <v>798</v>
      </c>
      <c r="Q79" t="s">
        <v>595</v>
      </c>
    </row>
    <row r="81" spans="1:17">
      <c r="A81" t="s">
        <v>710</v>
      </c>
    </row>
    <row r="82" spans="1:17">
      <c r="A82" s="424" t="s">
        <v>570</v>
      </c>
      <c r="B82" s="424" t="s">
        <v>571</v>
      </c>
      <c r="C82" s="424" t="s">
        <v>568</v>
      </c>
      <c r="D82" s="424" t="s">
        <v>572</v>
      </c>
      <c r="E82" s="424" t="s">
        <v>573</v>
      </c>
      <c r="F82" s="424" t="s">
        <v>574</v>
      </c>
      <c r="G82" s="424" t="s">
        <v>575</v>
      </c>
      <c r="H82" s="424" t="s">
        <v>576</v>
      </c>
      <c r="I82" s="424" t="s">
        <v>577</v>
      </c>
      <c r="J82" s="424" t="s">
        <v>578</v>
      </c>
      <c r="K82" s="424" t="s">
        <v>579</v>
      </c>
      <c r="L82" s="424" t="s">
        <v>580</v>
      </c>
      <c r="M82" s="424" t="s">
        <v>581</v>
      </c>
      <c r="N82" s="424" t="s">
        <v>582</v>
      </c>
      <c r="O82" s="424" t="s">
        <v>583</v>
      </c>
      <c r="P82" s="424" t="s">
        <v>584</v>
      </c>
      <c r="Q82" s="424" t="s">
        <v>585</v>
      </c>
    </row>
    <row r="83" spans="1:17">
      <c r="B83" t="s">
        <v>815</v>
      </c>
      <c r="C83" t="s">
        <v>658</v>
      </c>
      <c r="D83">
        <v>8.4998449000294098E-7</v>
      </c>
      <c r="E83" t="s">
        <v>94</v>
      </c>
      <c r="H83" t="s">
        <v>588</v>
      </c>
      <c r="I83">
        <v>8.4998449000294098E-7</v>
      </c>
      <c r="J83">
        <v>1.7293101253499219</v>
      </c>
      <c r="O83" t="s">
        <v>798</v>
      </c>
      <c r="Q83" t="s">
        <v>805</v>
      </c>
    </row>
    <row r="84" spans="1:17">
      <c r="B84" t="s">
        <v>816</v>
      </c>
      <c r="C84" t="s">
        <v>658</v>
      </c>
      <c r="D84">
        <v>1.0489170302164001E-9</v>
      </c>
      <c r="E84" t="s">
        <v>94</v>
      </c>
      <c r="H84" t="s">
        <v>588</v>
      </c>
      <c r="I84">
        <v>1.0489170302164001E-9</v>
      </c>
      <c r="J84">
        <v>1.7293101253499219</v>
      </c>
      <c r="O84" t="s">
        <v>798</v>
      </c>
      <c r="Q84" t="s">
        <v>805</v>
      </c>
    </row>
    <row r="85" spans="1:17">
      <c r="B85" t="s">
        <v>285</v>
      </c>
      <c r="C85" t="s">
        <v>658</v>
      </c>
      <c r="D85">
        <v>1.23177421364492E-7</v>
      </c>
      <c r="E85" t="s">
        <v>94</v>
      </c>
      <c r="H85" t="s">
        <v>588</v>
      </c>
      <c r="I85">
        <v>1.23177421364492E-7</v>
      </c>
      <c r="J85">
        <v>3.168493566955497</v>
      </c>
      <c r="O85" t="s">
        <v>798</v>
      </c>
      <c r="Q85" t="s">
        <v>805</v>
      </c>
    </row>
    <row r="86" spans="1:17">
      <c r="B86" t="s">
        <v>713</v>
      </c>
      <c r="C86" t="s">
        <v>661</v>
      </c>
      <c r="D86">
        <v>3.6571436685705702E-7</v>
      </c>
      <c r="E86" t="s">
        <v>94</v>
      </c>
      <c r="H86" t="s">
        <v>588</v>
      </c>
      <c r="I86">
        <v>3.6571436685705702E-7</v>
      </c>
      <c r="J86">
        <v>1.7293101253499219</v>
      </c>
      <c r="O86" t="s">
        <v>798</v>
      </c>
      <c r="Q86" t="s">
        <v>805</v>
      </c>
    </row>
    <row r="87" spans="1:17">
      <c r="B87" t="s">
        <v>714</v>
      </c>
      <c r="C87" t="s">
        <v>658</v>
      </c>
      <c r="D87">
        <v>1.4447726910451899E-11</v>
      </c>
      <c r="E87" t="s">
        <v>94</v>
      </c>
      <c r="H87" t="s">
        <v>588</v>
      </c>
      <c r="I87">
        <v>1.4447726910451899E-11</v>
      </c>
      <c r="J87">
        <v>2.2394398661220611</v>
      </c>
      <c r="O87" t="s">
        <v>798</v>
      </c>
      <c r="Q87" t="s">
        <v>805</v>
      </c>
    </row>
    <row r="88" spans="1:17">
      <c r="B88" t="s">
        <v>716</v>
      </c>
      <c r="C88" t="s">
        <v>658</v>
      </c>
      <c r="D88">
        <v>3.9585566082879301E-10</v>
      </c>
      <c r="E88" t="s">
        <v>94</v>
      </c>
      <c r="H88" t="s">
        <v>588</v>
      </c>
      <c r="I88">
        <v>3.9585566082879301E-10</v>
      </c>
      <c r="J88">
        <v>1.2214027581601699</v>
      </c>
      <c r="O88" t="s">
        <v>798</v>
      </c>
      <c r="Q88" t="s">
        <v>805</v>
      </c>
    </row>
    <row r="89" spans="1:17">
      <c r="B89" t="s">
        <v>718</v>
      </c>
      <c r="C89" t="s">
        <v>658</v>
      </c>
      <c r="D89">
        <v>4.5010998997791698E-10</v>
      </c>
      <c r="E89" t="s">
        <v>94</v>
      </c>
      <c r="H89" t="s">
        <v>588</v>
      </c>
      <c r="I89">
        <v>4.5010998997791698E-10</v>
      </c>
      <c r="J89">
        <v>2.2394398661220611</v>
      </c>
      <c r="O89" t="s">
        <v>798</v>
      </c>
      <c r="Q89" t="s">
        <v>805</v>
      </c>
    </row>
    <row r="90" spans="1:17">
      <c r="B90" t="s">
        <v>719</v>
      </c>
      <c r="C90" t="s">
        <v>658</v>
      </c>
      <c r="D90">
        <v>2.1701731659649599E-5</v>
      </c>
      <c r="E90" t="s">
        <v>94</v>
      </c>
      <c r="H90" t="s">
        <v>588</v>
      </c>
      <c r="I90">
        <v>2.1701731659649599E-5</v>
      </c>
      <c r="J90">
        <v>3.168493566955497</v>
      </c>
      <c r="O90" t="s">
        <v>798</v>
      </c>
      <c r="Q90" t="s">
        <v>805</v>
      </c>
    </row>
    <row r="91" spans="1:17">
      <c r="B91" t="s">
        <v>720</v>
      </c>
      <c r="C91" t="s">
        <v>658</v>
      </c>
      <c r="D91">
        <v>1.56935670612836E-7</v>
      </c>
      <c r="E91" t="s">
        <v>94</v>
      </c>
      <c r="H91" t="s">
        <v>588</v>
      </c>
      <c r="I91">
        <v>1.56935670612836E-7</v>
      </c>
      <c r="J91">
        <v>1.2214027581601699</v>
      </c>
      <c r="O91" t="s">
        <v>798</v>
      </c>
      <c r="Q91" t="s">
        <v>805</v>
      </c>
    </row>
    <row r="92" spans="1:17">
      <c r="B92" t="s">
        <v>721</v>
      </c>
      <c r="C92" t="s">
        <v>658</v>
      </c>
      <c r="D92">
        <v>7.2138163572353597E-12</v>
      </c>
      <c r="E92" t="s">
        <v>94</v>
      </c>
      <c r="H92" t="s">
        <v>588</v>
      </c>
      <c r="I92">
        <v>7.2138163572353597E-12</v>
      </c>
      <c r="J92">
        <v>2.2394398661220611</v>
      </c>
      <c r="O92" t="s">
        <v>798</v>
      </c>
      <c r="Q92" t="s">
        <v>805</v>
      </c>
    </row>
    <row r="93" spans="1:17">
      <c r="B93" t="s">
        <v>724</v>
      </c>
      <c r="C93" t="s">
        <v>658</v>
      </c>
      <c r="D93">
        <v>5.9679762064036296E-12</v>
      </c>
      <c r="E93" t="s">
        <v>94</v>
      </c>
      <c r="H93" t="s">
        <v>588</v>
      </c>
      <c r="I93">
        <v>5.9679762064036296E-12</v>
      </c>
      <c r="J93">
        <v>1.2214027581601699</v>
      </c>
      <c r="O93" t="s">
        <v>798</v>
      </c>
      <c r="Q93" t="s">
        <v>805</v>
      </c>
    </row>
    <row r="94" spans="1:17">
      <c r="B94" t="s">
        <v>726</v>
      </c>
      <c r="C94" t="s">
        <v>658</v>
      </c>
      <c r="D94">
        <v>3.2150713569851202E-3</v>
      </c>
      <c r="E94" t="s">
        <v>94</v>
      </c>
      <c r="H94" t="s">
        <v>588</v>
      </c>
      <c r="I94">
        <v>3.2150713569851202E-3</v>
      </c>
      <c r="J94">
        <v>1.1051709180756477</v>
      </c>
      <c r="O94" t="s">
        <v>798</v>
      </c>
      <c r="Q94" t="s">
        <v>805</v>
      </c>
    </row>
    <row r="95" spans="1:17">
      <c r="B95" t="s">
        <v>817</v>
      </c>
      <c r="C95" t="s">
        <v>658</v>
      </c>
      <c r="D95">
        <v>1.87679790464006E-8</v>
      </c>
      <c r="E95" t="s">
        <v>94</v>
      </c>
      <c r="H95" t="s">
        <v>588</v>
      </c>
      <c r="I95">
        <v>1.87679790464006E-8</v>
      </c>
      <c r="J95">
        <v>1.1051709180756477</v>
      </c>
      <c r="O95" t="s">
        <v>798</v>
      </c>
      <c r="Q95" t="s">
        <v>805</v>
      </c>
    </row>
    <row r="96" spans="1:17">
      <c r="B96" t="s">
        <v>728</v>
      </c>
      <c r="C96" t="s">
        <v>658</v>
      </c>
      <c r="D96">
        <v>3.41601331679669E-4</v>
      </c>
      <c r="E96" t="s">
        <v>94</v>
      </c>
      <c r="H96" t="s">
        <v>588</v>
      </c>
      <c r="I96">
        <v>3.41601331679669E-4</v>
      </c>
      <c r="J96">
        <v>1.7293101253499219</v>
      </c>
      <c r="O96" t="s">
        <v>798</v>
      </c>
      <c r="Q96" t="s">
        <v>805</v>
      </c>
    </row>
    <row r="97" spans="1:17">
      <c r="B97" t="s">
        <v>729</v>
      </c>
      <c r="C97" t="s">
        <v>661</v>
      </c>
      <c r="D97">
        <v>2.8533758293242901E-5</v>
      </c>
      <c r="E97" t="s">
        <v>94</v>
      </c>
      <c r="H97" t="s">
        <v>588</v>
      </c>
      <c r="I97">
        <v>2.8533758293242901E-5</v>
      </c>
      <c r="J97">
        <v>1.7293101253499219</v>
      </c>
      <c r="O97" t="s">
        <v>798</v>
      </c>
      <c r="Q97" t="s">
        <v>805</v>
      </c>
    </row>
    <row r="98" spans="1:17">
      <c r="B98" t="s">
        <v>730</v>
      </c>
      <c r="C98" t="s">
        <v>658</v>
      </c>
      <c r="D98">
        <v>1.9069391986117999E-10</v>
      </c>
      <c r="E98" t="s">
        <v>94</v>
      </c>
      <c r="H98" t="s">
        <v>588</v>
      </c>
      <c r="I98">
        <v>1.9069391986117999E-10</v>
      </c>
      <c r="J98">
        <v>2.2394398661220611</v>
      </c>
      <c r="O98" t="s">
        <v>798</v>
      </c>
      <c r="Q98" t="s">
        <v>805</v>
      </c>
    </row>
    <row r="99" spans="1:17">
      <c r="B99" t="s">
        <v>818</v>
      </c>
      <c r="C99" t="s">
        <v>597</v>
      </c>
      <c r="D99">
        <v>8.8012578397467706E-2</v>
      </c>
      <c r="E99" t="s">
        <v>607</v>
      </c>
      <c r="F99">
        <v>-1.3201886759620154E-3</v>
      </c>
      <c r="G99" t="s">
        <v>647</v>
      </c>
      <c r="N99" t="s">
        <v>819</v>
      </c>
      <c r="Q99" t="s">
        <v>811</v>
      </c>
    </row>
    <row r="100" spans="1:17">
      <c r="B100" t="s">
        <v>820</v>
      </c>
      <c r="C100" t="s">
        <v>821</v>
      </c>
      <c r="D100">
        <v>6.4301427139702402E-4</v>
      </c>
      <c r="E100" t="s">
        <v>94</v>
      </c>
      <c r="F100">
        <v>-1.2603079719381672E-4</v>
      </c>
      <c r="G100" t="s">
        <v>647</v>
      </c>
      <c r="N100" t="s">
        <v>822</v>
      </c>
      <c r="Q100" t="s">
        <v>811</v>
      </c>
    </row>
    <row r="101" spans="1:17">
      <c r="B101" t="s">
        <v>733</v>
      </c>
      <c r="C101" t="s">
        <v>658</v>
      </c>
      <c r="D101">
        <v>5.4656213068747097E-11</v>
      </c>
      <c r="E101" t="s">
        <v>94</v>
      </c>
      <c r="H101" t="s">
        <v>588</v>
      </c>
      <c r="I101">
        <v>5.4656213068747097E-11</v>
      </c>
      <c r="J101">
        <v>2.2394398661220611</v>
      </c>
      <c r="O101" t="s">
        <v>798</v>
      </c>
      <c r="Q101" t="s">
        <v>805</v>
      </c>
    </row>
    <row r="102" spans="1:17">
      <c r="A102" s="424" t="s">
        <v>645</v>
      </c>
      <c r="B102" s="424" t="s">
        <v>823</v>
      </c>
      <c r="C102" s="424" t="s">
        <v>795</v>
      </c>
      <c r="D102" s="424">
        <v>1</v>
      </c>
      <c r="E102" s="424" t="s">
        <v>607</v>
      </c>
      <c r="F102" s="424">
        <v>6.0000000000000001E-3</v>
      </c>
      <c r="G102" s="424" t="s">
        <v>647</v>
      </c>
      <c r="M102" s="424"/>
      <c r="O102" s="424"/>
      <c r="P102" s="424"/>
      <c r="Q102" s="424" t="s">
        <v>811</v>
      </c>
    </row>
    <row r="103" spans="1:17">
      <c r="B103" t="s">
        <v>735</v>
      </c>
      <c r="C103" t="s">
        <v>658</v>
      </c>
      <c r="D103">
        <v>2.3711151257765301E-10</v>
      </c>
      <c r="E103" t="s">
        <v>94</v>
      </c>
      <c r="H103" t="s">
        <v>588</v>
      </c>
      <c r="I103">
        <v>2.3711151257765301E-10</v>
      </c>
      <c r="J103">
        <v>2.2394398661220611</v>
      </c>
      <c r="O103" t="s">
        <v>798</v>
      </c>
      <c r="Q103" t="s">
        <v>805</v>
      </c>
    </row>
    <row r="104" spans="1:17">
      <c r="B104" t="s">
        <v>737</v>
      </c>
      <c r="C104" t="s">
        <v>658</v>
      </c>
      <c r="D104">
        <v>6.5908962818195002E-8</v>
      </c>
      <c r="E104" t="s">
        <v>94</v>
      </c>
      <c r="H104" t="s">
        <v>588</v>
      </c>
      <c r="I104">
        <v>6.5908962818195002E-8</v>
      </c>
      <c r="J104">
        <v>2.2394398661220611</v>
      </c>
      <c r="O104" t="s">
        <v>798</v>
      </c>
      <c r="Q104" t="s">
        <v>805</v>
      </c>
    </row>
    <row r="105" spans="1:17">
      <c r="B105" t="s">
        <v>824</v>
      </c>
      <c r="C105" t="s">
        <v>658</v>
      </c>
      <c r="D105">
        <v>5.7469400506108999E-6</v>
      </c>
      <c r="E105" t="s">
        <v>94</v>
      </c>
      <c r="H105" t="s">
        <v>588</v>
      </c>
      <c r="I105">
        <v>5.7469400506108999E-6</v>
      </c>
      <c r="J105">
        <v>2.2394398661220611</v>
      </c>
      <c r="O105" t="s">
        <v>798</v>
      </c>
      <c r="Q105" t="s">
        <v>805</v>
      </c>
    </row>
    <row r="106" spans="1:17">
      <c r="B106" t="s">
        <v>825</v>
      </c>
      <c r="C106" t="s">
        <v>658</v>
      </c>
      <c r="D106">
        <v>8.5802216839540398E-10</v>
      </c>
      <c r="E106" t="s">
        <v>94</v>
      </c>
      <c r="H106" t="s">
        <v>588</v>
      </c>
      <c r="I106">
        <v>8.5802216839540398E-10</v>
      </c>
      <c r="J106">
        <v>2.2394398661220611</v>
      </c>
      <c r="O106" t="s">
        <v>798</v>
      </c>
      <c r="Q106" t="s">
        <v>805</v>
      </c>
    </row>
    <row r="107" spans="1:17">
      <c r="B107" t="s">
        <v>750</v>
      </c>
      <c r="C107" t="s">
        <v>661</v>
      </c>
      <c r="D107">
        <v>5.8675052264978499E-8</v>
      </c>
      <c r="E107" t="s">
        <v>94</v>
      </c>
      <c r="H107" t="s">
        <v>588</v>
      </c>
      <c r="I107">
        <v>5.8675052264978499E-8</v>
      </c>
      <c r="J107">
        <v>1.7293101253499219</v>
      </c>
      <c r="O107" t="s">
        <v>798</v>
      </c>
      <c r="Q107" t="s">
        <v>805</v>
      </c>
    </row>
    <row r="108" spans="1:17">
      <c r="B108" t="s">
        <v>752</v>
      </c>
      <c r="C108" t="s">
        <v>658</v>
      </c>
      <c r="D108">
        <v>6.0885413822905703E-10</v>
      </c>
      <c r="E108" t="s">
        <v>94</v>
      </c>
      <c r="H108" t="s">
        <v>588</v>
      </c>
      <c r="I108">
        <v>6.0885413822905703E-10</v>
      </c>
      <c r="J108">
        <v>1.2214027581601699</v>
      </c>
      <c r="O108" t="s">
        <v>798</v>
      </c>
      <c r="Q108" t="s">
        <v>805</v>
      </c>
    </row>
    <row r="109" spans="1:17">
      <c r="B109" t="s">
        <v>753</v>
      </c>
      <c r="C109" t="s">
        <v>658</v>
      </c>
      <c r="D109">
        <v>3.3155423368909099E-10</v>
      </c>
      <c r="E109" t="s">
        <v>94</v>
      </c>
      <c r="H109" t="s">
        <v>588</v>
      </c>
      <c r="I109">
        <v>3.3155423368909099E-10</v>
      </c>
      <c r="J109">
        <v>2.2394398661220611</v>
      </c>
      <c r="O109" t="s">
        <v>798</v>
      </c>
      <c r="Q109" t="s">
        <v>805</v>
      </c>
    </row>
    <row r="110" spans="1:17">
      <c r="B110" t="s">
        <v>754</v>
      </c>
      <c r="C110" t="s">
        <v>658</v>
      </c>
      <c r="D110">
        <v>7.2339105532165202E-12</v>
      </c>
      <c r="E110" t="s">
        <v>94</v>
      </c>
      <c r="H110" t="s">
        <v>588</v>
      </c>
      <c r="I110">
        <v>7.2339105532165202E-12</v>
      </c>
      <c r="J110">
        <v>1.7293101253499219</v>
      </c>
      <c r="O110" t="s">
        <v>798</v>
      </c>
      <c r="Q110" t="s">
        <v>805</v>
      </c>
    </row>
    <row r="111" spans="1:17">
      <c r="B111" t="s">
        <v>826</v>
      </c>
      <c r="C111" t="s">
        <v>658</v>
      </c>
      <c r="D111">
        <v>6.5708020858383402E-8</v>
      </c>
      <c r="E111" t="s">
        <v>94</v>
      </c>
      <c r="H111" t="s">
        <v>588</v>
      </c>
      <c r="I111">
        <v>6.5708020858383402E-8</v>
      </c>
      <c r="J111">
        <v>1.7293101253499219</v>
      </c>
      <c r="O111" t="s">
        <v>798</v>
      </c>
      <c r="Q111" t="s">
        <v>805</v>
      </c>
    </row>
    <row r="112" spans="1:17">
      <c r="B112" t="s">
        <v>755</v>
      </c>
      <c r="C112" t="s">
        <v>658</v>
      </c>
      <c r="D112">
        <v>5.2847735430442901E-5</v>
      </c>
      <c r="E112" t="s">
        <v>94</v>
      </c>
      <c r="H112" t="s">
        <v>588</v>
      </c>
      <c r="I112">
        <v>5.2847735430442901E-5</v>
      </c>
      <c r="J112">
        <v>3.168493566955497</v>
      </c>
      <c r="O112" t="s">
        <v>798</v>
      </c>
      <c r="Q112" t="s">
        <v>805</v>
      </c>
    </row>
    <row r="113" spans="2:17">
      <c r="B113" t="s">
        <v>827</v>
      </c>
      <c r="C113" t="s">
        <v>658</v>
      </c>
      <c r="D113">
        <v>8.5802216839540404E-8</v>
      </c>
      <c r="E113" t="s">
        <v>94</v>
      </c>
      <c r="H113" t="s">
        <v>588</v>
      </c>
      <c r="I113">
        <v>8.5802216839540404E-8</v>
      </c>
      <c r="J113">
        <v>2.2394398661220611</v>
      </c>
      <c r="O113" t="s">
        <v>798</v>
      </c>
      <c r="Q113" t="s">
        <v>805</v>
      </c>
    </row>
    <row r="114" spans="2:17">
      <c r="B114" t="s">
        <v>757</v>
      </c>
      <c r="C114" t="s">
        <v>658</v>
      </c>
      <c r="D114">
        <v>4.3001579399676001E-10</v>
      </c>
      <c r="E114" t="s">
        <v>94</v>
      </c>
      <c r="H114" t="s">
        <v>588</v>
      </c>
      <c r="I114">
        <v>4.3001579399676001E-10</v>
      </c>
      <c r="J114">
        <v>2.2394398661220611</v>
      </c>
      <c r="O114" t="s">
        <v>798</v>
      </c>
      <c r="Q114" t="s">
        <v>805</v>
      </c>
    </row>
    <row r="115" spans="2:17">
      <c r="B115" t="s">
        <v>761</v>
      </c>
      <c r="C115" t="s">
        <v>658</v>
      </c>
      <c r="D115">
        <v>1.7019783996040001E-5</v>
      </c>
      <c r="E115" t="s">
        <v>94</v>
      </c>
      <c r="H115" t="s">
        <v>588</v>
      </c>
      <c r="I115">
        <v>1.7019783996040001E-5</v>
      </c>
      <c r="J115">
        <v>1.7293101253499219</v>
      </c>
      <c r="O115" t="s">
        <v>798</v>
      </c>
      <c r="Q115" t="s">
        <v>805</v>
      </c>
    </row>
    <row r="116" spans="2:17">
      <c r="B116" t="s">
        <v>762</v>
      </c>
      <c r="C116" t="s">
        <v>658</v>
      </c>
      <c r="D116">
        <v>2.1098905780214899E-4</v>
      </c>
      <c r="E116" t="s">
        <v>94</v>
      </c>
      <c r="H116" t="s">
        <v>588</v>
      </c>
      <c r="I116">
        <v>2.1098905780214899E-4</v>
      </c>
      <c r="J116">
        <v>2.2394398661220611</v>
      </c>
      <c r="O116" t="s">
        <v>798</v>
      </c>
      <c r="Q116" t="s">
        <v>805</v>
      </c>
    </row>
    <row r="117" spans="2:17">
      <c r="B117" t="s">
        <v>763</v>
      </c>
      <c r="C117" t="s">
        <v>658</v>
      </c>
      <c r="D117">
        <v>4.60157087968495E-8</v>
      </c>
      <c r="E117" t="s">
        <v>94</v>
      </c>
      <c r="H117" t="s">
        <v>588</v>
      </c>
      <c r="I117">
        <v>4.60157087968495E-8</v>
      </c>
      <c r="J117">
        <v>2.2394398661220611</v>
      </c>
      <c r="O117" t="s">
        <v>798</v>
      </c>
      <c r="Q117" t="s">
        <v>805</v>
      </c>
    </row>
    <row r="118" spans="2:17">
      <c r="B118" t="s">
        <v>763</v>
      </c>
      <c r="C118" t="s">
        <v>661</v>
      </c>
      <c r="D118">
        <v>4.40062891987338E-10</v>
      </c>
      <c r="E118" t="s">
        <v>94</v>
      </c>
      <c r="H118" t="s">
        <v>588</v>
      </c>
      <c r="I118">
        <v>4.40062891987338E-10</v>
      </c>
      <c r="J118">
        <v>1.7293101253499219</v>
      </c>
      <c r="O118" t="s">
        <v>798</v>
      </c>
      <c r="Q118" t="s">
        <v>805</v>
      </c>
    </row>
    <row r="119" spans="2:17">
      <c r="B119" t="s">
        <v>653</v>
      </c>
      <c r="C119" t="s">
        <v>658</v>
      </c>
      <c r="D119">
        <v>4.9632664073457799E-5</v>
      </c>
      <c r="E119" t="s">
        <v>94</v>
      </c>
      <c r="H119" t="s">
        <v>588</v>
      </c>
      <c r="I119">
        <v>4.9632664073457799E-5</v>
      </c>
      <c r="J119">
        <v>1.7293101253499219</v>
      </c>
      <c r="O119" t="s">
        <v>798</v>
      </c>
      <c r="Q119" t="s">
        <v>805</v>
      </c>
    </row>
    <row r="120" spans="2:17">
      <c r="B120" t="s">
        <v>656</v>
      </c>
      <c r="C120" t="s">
        <v>658</v>
      </c>
      <c r="D120">
        <v>8.3591855281613104E-5</v>
      </c>
      <c r="E120" t="s">
        <v>94</v>
      </c>
      <c r="H120" t="s">
        <v>588</v>
      </c>
      <c r="I120">
        <v>8.3591855281613104E-5</v>
      </c>
      <c r="J120">
        <v>1.7293101253499219</v>
      </c>
      <c r="O120" t="s">
        <v>798</v>
      </c>
      <c r="Q120" t="s">
        <v>805</v>
      </c>
    </row>
    <row r="121" spans="2:17">
      <c r="B121" t="s">
        <v>657</v>
      </c>
      <c r="C121" t="s">
        <v>658</v>
      </c>
      <c r="D121">
        <v>2.2706441458707401E-5</v>
      </c>
      <c r="E121" t="s">
        <v>94</v>
      </c>
      <c r="H121" t="s">
        <v>588</v>
      </c>
      <c r="I121">
        <v>2.2706441458707401E-5</v>
      </c>
      <c r="J121">
        <v>1.7293101253499219</v>
      </c>
      <c r="O121" t="s">
        <v>798</v>
      </c>
      <c r="Q121" t="s">
        <v>805</v>
      </c>
    </row>
    <row r="122" spans="2:17">
      <c r="B122" t="s">
        <v>828</v>
      </c>
      <c r="C122" t="s">
        <v>658</v>
      </c>
      <c r="D122">
        <v>6.9124034175180093E-8</v>
      </c>
      <c r="E122" t="s">
        <v>94</v>
      </c>
      <c r="H122" t="s">
        <v>588</v>
      </c>
      <c r="I122">
        <v>6.9124034175180093E-8</v>
      </c>
      <c r="J122">
        <v>1.7293101253499219</v>
      </c>
      <c r="O122" t="s">
        <v>798</v>
      </c>
      <c r="Q122" t="s">
        <v>805</v>
      </c>
    </row>
    <row r="123" spans="2:17">
      <c r="B123" t="s">
        <v>766</v>
      </c>
      <c r="C123" t="s">
        <v>658</v>
      </c>
      <c r="D123">
        <v>9.2433301513322203E-10</v>
      </c>
      <c r="E123" t="s">
        <v>94</v>
      </c>
      <c r="H123" t="s">
        <v>588</v>
      </c>
      <c r="I123">
        <v>9.2433301513322203E-10</v>
      </c>
      <c r="J123">
        <v>2.2394398661220611</v>
      </c>
      <c r="O123" t="s">
        <v>798</v>
      </c>
      <c r="Q123" t="s">
        <v>805</v>
      </c>
    </row>
    <row r="124" spans="2:17">
      <c r="B124" t="s">
        <v>829</v>
      </c>
      <c r="C124" t="s">
        <v>658</v>
      </c>
      <c r="D124">
        <v>5.7469400506109E-8</v>
      </c>
      <c r="E124" t="s">
        <v>94</v>
      </c>
      <c r="H124" t="s">
        <v>588</v>
      </c>
      <c r="I124">
        <v>5.7469400506109E-8</v>
      </c>
      <c r="J124">
        <v>2.2394398661220611</v>
      </c>
      <c r="O124" t="s">
        <v>798</v>
      </c>
      <c r="Q124" t="s">
        <v>805</v>
      </c>
    </row>
    <row r="125" spans="2:17">
      <c r="B125" t="s">
        <v>772</v>
      </c>
      <c r="C125" t="s">
        <v>658</v>
      </c>
      <c r="D125">
        <v>1.3201886759620201E-10</v>
      </c>
      <c r="E125" t="s">
        <v>94</v>
      </c>
      <c r="H125" t="s">
        <v>588</v>
      </c>
      <c r="I125">
        <v>1.3201886759620201E-10</v>
      </c>
      <c r="J125">
        <v>2.2394398661220611</v>
      </c>
      <c r="O125" t="s">
        <v>798</v>
      </c>
      <c r="Q125" t="s">
        <v>805</v>
      </c>
    </row>
    <row r="126" spans="2:17">
      <c r="B126" t="s">
        <v>830</v>
      </c>
      <c r="C126" t="s">
        <v>658</v>
      </c>
      <c r="D126">
        <v>2.61224547755041E-12</v>
      </c>
      <c r="E126" t="s">
        <v>94</v>
      </c>
      <c r="H126" t="s">
        <v>588</v>
      </c>
      <c r="I126">
        <v>2.61224547755041E-12</v>
      </c>
      <c r="J126">
        <v>2.2394398661220611</v>
      </c>
      <c r="O126" t="s">
        <v>798</v>
      </c>
      <c r="Q126" t="s">
        <v>805</v>
      </c>
    </row>
    <row r="127" spans="2:17">
      <c r="B127" t="s">
        <v>773</v>
      </c>
      <c r="C127" t="s">
        <v>661</v>
      </c>
      <c r="D127">
        <v>1.83460009307963E-5</v>
      </c>
      <c r="E127" t="s">
        <v>94</v>
      </c>
      <c r="H127" t="s">
        <v>588</v>
      </c>
      <c r="I127">
        <v>1.83460009307963E-5</v>
      </c>
      <c r="J127">
        <v>1.7293101253499219</v>
      </c>
      <c r="O127" t="s">
        <v>798</v>
      </c>
      <c r="Q127" t="s">
        <v>805</v>
      </c>
    </row>
    <row r="128" spans="2:17">
      <c r="B128" t="s">
        <v>831</v>
      </c>
      <c r="C128" t="s">
        <v>661</v>
      </c>
      <c r="D128">
        <v>1.6135639372869099E-5</v>
      </c>
      <c r="E128" t="s">
        <v>94</v>
      </c>
      <c r="H128" t="s">
        <v>588</v>
      </c>
      <c r="I128">
        <v>1.6135639372869099E-5</v>
      </c>
      <c r="J128">
        <v>1.7293101253499219</v>
      </c>
      <c r="O128" t="s">
        <v>798</v>
      </c>
      <c r="Q128" t="s">
        <v>805</v>
      </c>
    </row>
    <row r="129" spans="2:17">
      <c r="B129" t="s">
        <v>832</v>
      </c>
      <c r="C129" t="s">
        <v>658</v>
      </c>
      <c r="D129">
        <v>8.8012578397467704E-10</v>
      </c>
      <c r="E129" t="s">
        <v>94</v>
      </c>
      <c r="H129" t="s">
        <v>588</v>
      </c>
      <c r="I129">
        <v>8.8012578397467704E-10</v>
      </c>
      <c r="J129">
        <v>2.2394398661220611</v>
      </c>
      <c r="O129" t="s">
        <v>798</v>
      </c>
      <c r="Q129" t="s">
        <v>805</v>
      </c>
    </row>
    <row r="130" spans="2:17">
      <c r="B130" t="s">
        <v>776</v>
      </c>
      <c r="C130" t="s">
        <v>658</v>
      </c>
      <c r="D130">
        <v>3.2552597489474302E-5</v>
      </c>
      <c r="E130" t="s">
        <v>94</v>
      </c>
      <c r="H130" t="s">
        <v>588</v>
      </c>
      <c r="I130">
        <v>3.2552597489474302E-5</v>
      </c>
      <c r="J130">
        <v>1.7293101253499219</v>
      </c>
      <c r="O130" t="s">
        <v>798</v>
      </c>
      <c r="Q130" t="s">
        <v>805</v>
      </c>
    </row>
    <row r="131" spans="2:17">
      <c r="B131" t="s">
        <v>780</v>
      </c>
      <c r="C131" t="s">
        <v>658</v>
      </c>
      <c r="D131">
        <v>3.05431778913586E-11</v>
      </c>
      <c r="E131" t="s">
        <v>94</v>
      </c>
      <c r="H131" t="s">
        <v>588</v>
      </c>
      <c r="I131">
        <v>3.05431778913586E-11</v>
      </c>
      <c r="J131">
        <v>2.2394398661220611</v>
      </c>
      <c r="O131" t="s">
        <v>798</v>
      </c>
      <c r="Q131" t="s">
        <v>805</v>
      </c>
    </row>
    <row r="132" spans="2:17">
      <c r="B132" t="s">
        <v>833</v>
      </c>
      <c r="C132" t="s">
        <v>658</v>
      </c>
      <c r="D132">
        <v>6.8119324376122201E-8</v>
      </c>
      <c r="E132" t="s">
        <v>94</v>
      </c>
      <c r="H132" t="s">
        <v>588</v>
      </c>
      <c r="I132">
        <v>6.8119324376122201E-8</v>
      </c>
      <c r="J132">
        <v>2.2394398661220611</v>
      </c>
      <c r="O132" t="s">
        <v>798</v>
      </c>
      <c r="Q132" t="s">
        <v>805</v>
      </c>
    </row>
    <row r="133" spans="2:17">
      <c r="B133" t="s">
        <v>251</v>
      </c>
      <c r="C133" t="s">
        <v>654</v>
      </c>
      <c r="D133">
        <v>1.2458401508317299E-5</v>
      </c>
      <c r="E133" t="s">
        <v>640</v>
      </c>
      <c r="H133" t="s">
        <v>588</v>
      </c>
      <c r="I133">
        <v>1.2458401508317299E-5</v>
      </c>
      <c r="J133">
        <v>1.2214027581601699</v>
      </c>
      <c r="O133" t="s">
        <v>834</v>
      </c>
      <c r="Q133" t="s">
        <v>835</v>
      </c>
    </row>
    <row r="134" spans="2:17">
      <c r="B134" t="s">
        <v>789</v>
      </c>
      <c r="C134" t="s">
        <v>712</v>
      </c>
      <c r="D134">
        <v>1.9692312061533898E-5</v>
      </c>
      <c r="E134" t="s">
        <v>640</v>
      </c>
      <c r="H134" t="s">
        <v>588</v>
      </c>
      <c r="I134">
        <v>1.9692312061533898E-5</v>
      </c>
      <c r="J134">
        <v>1.2214027581601699</v>
      </c>
      <c r="O134" t="s">
        <v>834</v>
      </c>
      <c r="Q134" t="s">
        <v>835</v>
      </c>
    </row>
    <row r="135" spans="2:17">
      <c r="B135" t="s">
        <v>791</v>
      </c>
      <c r="C135" t="s">
        <v>658</v>
      </c>
      <c r="D135">
        <v>1.2096705980656499E-9</v>
      </c>
      <c r="E135" t="s">
        <v>94</v>
      </c>
      <c r="H135" t="s">
        <v>588</v>
      </c>
      <c r="I135">
        <v>1.2096705980656499E-9</v>
      </c>
      <c r="J135">
        <v>2.2394398661220611</v>
      </c>
      <c r="O135" t="s">
        <v>798</v>
      </c>
      <c r="Q135" t="s">
        <v>805</v>
      </c>
    </row>
    <row r="136" spans="2:17">
      <c r="B136" s="1043" t="s">
        <v>5218</v>
      </c>
      <c r="C136" s="1043"/>
      <c r="D136" s="1043"/>
      <c r="E136" s="1043"/>
      <c r="F136" s="1043"/>
      <c r="G136" s="444"/>
    </row>
    <row r="137" spans="2:17">
      <c r="B137" s="430" t="str">
        <f>B35</f>
        <v>electricity, medium voltage</v>
      </c>
      <c r="C137" s="430">
        <f>SUMIFS($D$9:$D$79,$B$9:$B$79,B137)</f>
        <v>9.826061834785774E-4</v>
      </c>
      <c r="D137" s="431" t="s">
        <v>598</v>
      </c>
      <c r="E137" s="433">
        <v>6.7306231300000005E-2</v>
      </c>
      <c r="F137" s="433" t="s">
        <v>5206</v>
      </c>
    </row>
    <row r="138" spans="2:17">
      <c r="B138" s="430" t="s">
        <v>5213</v>
      </c>
      <c r="C138" s="430">
        <f>SUMIFS($D$9:$D$79,$B$9:$B$79,B138)</f>
        <v>2.7729990453996614E-2</v>
      </c>
      <c r="D138" s="431" t="s">
        <v>94</v>
      </c>
      <c r="E138" s="433"/>
      <c r="F138" s="433"/>
    </row>
    <row r="139" spans="2:17">
      <c r="B139" s="433"/>
      <c r="C139" s="433"/>
      <c r="D139" s="431" t="s">
        <v>607</v>
      </c>
      <c r="E139" s="433">
        <v>38.532324209135197</v>
      </c>
      <c r="F139" s="433" t="s">
        <v>5207</v>
      </c>
    </row>
    <row r="140" spans="2:17">
      <c r="B140" s="433"/>
      <c r="C140" s="433"/>
      <c r="D140" s="431"/>
      <c r="E140" s="433"/>
      <c r="F140" s="433"/>
    </row>
    <row r="141" spans="2:17">
      <c r="B141" s="433" t="s">
        <v>127</v>
      </c>
      <c r="C141" s="433">
        <f>23.865*C138+3.6*C137</f>
        <v>0.66531360444515208</v>
      </c>
      <c r="D141" s="431" t="s">
        <v>607</v>
      </c>
      <c r="E141" s="433">
        <f>E139+3.6*E137</f>
        <v>38.774626641815196</v>
      </c>
      <c r="F141" s="433" t="s">
        <v>127</v>
      </c>
    </row>
  </sheetData>
  <mergeCells count="1">
    <mergeCell ref="B136:F136"/>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B68A2-85A2-4B47-B88D-B5101F1A7AFF}">
  <sheetPr>
    <tabColor rgb="FF0070C0"/>
  </sheetPr>
  <dimension ref="A1:Q136"/>
  <sheetViews>
    <sheetView topLeftCell="A119" workbookViewId="0">
      <selection activeCell="C138" sqref="C138"/>
    </sheetView>
  </sheetViews>
  <sheetFormatPr defaultRowHeight="14.4"/>
  <cols>
    <col min="2" max="2" width="40.33203125" customWidth="1"/>
    <col min="6" max="6" width="30.33203125" customWidth="1"/>
  </cols>
  <sheetData>
    <row r="1" spans="1:17">
      <c r="A1" s="424" t="s">
        <v>564</v>
      </c>
    </row>
    <row r="2" spans="1:17">
      <c r="A2" s="423" t="s">
        <v>565</v>
      </c>
      <c r="B2" t="s">
        <v>836</v>
      </c>
    </row>
    <row r="3" spans="1:17">
      <c r="A3" s="423" t="s">
        <v>567</v>
      </c>
      <c r="B3" t="s">
        <v>837</v>
      </c>
    </row>
    <row r="4" spans="1:17">
      <c r="A4" s="423" t="s">
        <v>568</v>
      </c>
      <c r="B4" t="s">
        <v>809</v>
      </c>
    </row>
    <row r="5" spans="1:17">
      <c r="A5" s="423" t="s">
        <v>585</v>
      </c>
      <c r="B5" t="s">
        <v>838</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839</v>
      </c>
      <c r="C9" t="s">
        <v>597</v>
      </c>
      <c r="D9">
        <v>1.54889096977674E-2</v>
      </c>
      <c r="E9" t="s">
        <v>598</v>
      </c>
      <c r="H9" t="s">
        <v>588</v>
      </c>
      <c r="I9">
        <v>1.54889096977674E-2</v>
      </c>
      <c r="J9">
        <v>1.0247973619913604</v>
      </c>
      <c r="N9" t="s">
        <v>840</v>
      </c>
      <c r="O9" t="s">
        <v>841</v>
      </c>
      <c r="Q9" t="s">
        <v>842</v>
      </c>
    </row>
    <row r="10" spans="1:17">
      <c r="B10" t="s">
        <v>839</v>
      </c>
      <c r="C10" t="s">
        <v>597</v>
      </c>
      <c r="D10">
        <v>3.4411078084860101E-4</v>
      </c>
      <c r="E10" t="s">
        <v>598</v>
      </c>
      <c r="H10" t="s">
        <v>588</v>
      </c>
      <c r="I10">
        <v>3.4411078084860101E-4</v>
      </c>
      <c r="J10">
        <v>1.0247973619913604</v>
      </c>
      <c r="N10" t="s">
        <v>843</v>
      </c>
      <c r="O10" t="s">
        <v>841</v>
      </c>
      <c r="Q10" t="s">
        <v>842</v>
      </c>
    </row>
    <row r="11" spans="1:17">
      <c r="B11" t="s">
        <v>839</v>
      </c>
      <c r="C11" t="s">
        <v>597</v>
      </c>
      <c r="D11">
        <v>6.2655989861021304E-5</v>
      </c>
      <c r="E11" t="s">
        <v>598</v>
      </c>
      <c r="H11" t="s">
        <v>588</v>
      </c>
      <c r="I11">
        <v>6.2655989861021304E-5</v>
      </c>
      <c r="J11">
        <v>1.0247973619913604</v>
      </c>
      <c r="N11" t="s">
        <v>843</v>
      </c>
      <c r="O11" t="s">
        <v>841</v>
      </c>
      <c r="Q11" t="s">
        <v>842</v>
      </c>
    </row>
    <row r="12" spans="1:17">
      <c r="B12" t="s">
        <v>839</v>
      </c>
      <c r="C12" t="s">
        <v>597</v>
      </c>
      <c r="D12">
        <v>2.5058333751669499E-3</v>
      </c>
      <c r="E12" t="s">
        <v>598</v>
      </c>
      <c r="H12" t="s">
        <v>588</v>
      </c>
      <c r="I12">
        <v>2.5058333751669499E-3</v>
      </c>
      <c r="J12">
        <v>1.0247973619913604</v>
      </c>
      <c r="N12" t="s">
        <v>840</v>
      </c>
      <c r="O12" t="s">
        <v>841</v>
      </c>
      <c r="Q12" t="s">
        <v>842</v>
      </c>
    </row>
    <row r="13" spans="1:17">
      <c r="B13" t="s">
        <v>596</v>
      </c>
      <c r="C13" t="s">
        <v>597</v>
      </c>
      <c r="D13">
        <v>9.6728372603393004E-5</v>
      </c>
      <c r="E13" t="s">
        <v>598</v>
      </c>
      <c r="H13" t="s">
        <v>588</v>
      </c>
      <c r="I13">
        <v>9.6728372603393004E-5</v>
      </c>
      <c r="J13">
        <v>1.1891099436471448</v>
      </c>
      <c r="N13" t="s">
        <v>797</v>
      </c>
      <c r="O13" t="s">
        <v>844</v>
      </c>
      <c r="Q13" t="s">
        <v>842</v>
      </c>
    </row>
    <row r="14" spans="1:17">
      <c r="B14" t="s">
        <v>596</v>
      </c>
      <c r="C14" t="s">
        <v>597</v>
      </c>
      <c r="D14">
        <v>1.8402731686821699E-4</v>
      </c>
      <c r="E14" t="s">
        <v>598</v>
      </c>
      <c r="H14" t="s">
        <v>588</v>
      </c>
      <c r="I14">
        <v>1.8402731686821699E-4</v>
      </c>
      <c r="J14">
        <v>1.1891099436471448</v>
      </c>
      <c r="N14" t="s">
        <v>797</v>
      </c>
      <c r="O14" t="s">
        <v>844</v>
      </c>
      <c r="Q14" t="s">
        <v>842</v>
      </c>
    </row>
    <row r="15" spans="1:17">
      <c r="B15" t="s">
        <v>596</v>
      </c>
      <c r="C15" t="s">
        <v>597</v>
      </c>
      <c r="D15">
        <v>6.8004414805904504E-5</v>
      </c>
      <c r="E15" t="s">
        <v>598</v>
      </c>
      <c r="H15" t="s">
        <v>588</v>
      </c>
      <c r="I15">
        <v>6.8004414805904504E-5</v>
      </c>
      <c r="J15">
        <v>1.1891099436471448</v>
      </c>
      <c r="N15" t="s">
        <v>797</v>
      </c>
      <c r="O15" t="s">
        <v>844</v>
      </c>
      <c r="Q15" t="s">
        <v>842</v>
      </c>
    </row>
    <row r="16" spans="1:17">
      <c r="B16" t="s">
        <v>596</v>
      </c>
      <c r="C16" t="s">
        <v>597</v>
      </c>
      <c r="D16">
        <v>7.1796716730594798E-5</v>
      </c>
      <c r="E16" t="s">
        <v>598</v>
      </c>
      <c r="H16" t="s">
        <v>588</v>
      </c>
      <c r="I16">
        <v>7.1796716730594798E-5</v>
      </c>
      <c r="J16">
        <v>1.1891099436471448</v>
      </c>
      <c r="N16" t="s">
        <v>797</v>
      </c>
      <c r="O16" t="s">
        <v>844</v>
      </c>
      <c r="Q16" t="s">
        <v>842</v>
      </c>
    </row>
    <row r="17" spans="2:17">
      <c r="B17" t="s">
        <v>596</v>
      </c>
      <c r="C17" t="s">
        <v>597</v>
      </c>
      <c r="D17">
        <v>3.2208545717297598E-5</v>
      </c>
      <c r="E17" t="s">
        <v>598</v>
      </c>
      <c r="H17" t="s">
        <v>588</v>
      </c>
      <c r="I17">
        <v>3.2208545717297598E-5</v>
      </c>
      <c r="J17">
        <v>1.1891099436471448</v>
      </c>
      <c r="N17" t="s">
        <v>797</v>
      </c>
      <c r="O17" t="s">
        <v>844</v>
      </c>
      <c r="Q17" t="s">
        <v>842</v>
      </c>
    </row>
    <row r="18" spans="2:17">
      <c r="B18" t="s">
        <v>596</v>
      </c>
      <c r="C18" t="s">
        <v>597</v>
      </c>
      <c r="D18">
        <v>5.8944671247884305E-4</v>
      </c>
      <c r="E18" t="s">
        <v>598</v>
      </c>
      <c r="H18" t="s">
        <v>588</v>
      </c>
      <c r="I18">
        <v>5.8944671247884305E-4</v>
      </c>
      <c r="J18">
        <v>1.1891099436471448</v>
      </c>
      <c r="N18" t="s">
        <v>797</v>
      </c>
      <c r="O18" t="s">
        <v>844</v>
      </c>
      <c r="Q18" t="s">
        <v>842</v>
      </c>
    </row>
    <row r="19" spans="2:17">
      <c r="B19" t="s">
        <v>596</v>
      </c>
      <c r="C19" t="s">
        <v>597</v>
      </c>
      <c r="D19">
        <v>4.2503153497245897E-3</v>
      </c>
      <c r="E19" t="s">
        <v>598</v>
      </c>
      <c r="H19" t="s">
        <v>588</v>
      </c>
      <c r="I19">
        <v>4.2503153497245897E-3</v>
      </c>
      <c r="J19">
        <v>1.1891099436471448</v>
      </c>
      <c r="N19" t="s">
        <v>797</v>
      </c>
      <c r="O19" t="s">
        <v>844</v>
      </c>
      <c r="Q19" t="s">
        <v>842</v>
      </c>
    </row>
    <row r="20" spans="2:17">
      <c r="B20" t="s">
        <v>596</v>
      </c>
      <c r="C20" t="s">
        <v>597</v>
      </c>
      <c r="D20">
        <v>7.6772787061349203E-6</v>
      </c>
      <c r="E20" t="s">
        <v>598</v>
      </c>
      <c r="H20" t="s">
        <v>588</v>
      </c>
      <c r="I20">
        <v>7.6772787061349203E-6</v>
      </c>
      <c r="J20">
        <v>1.1891099436471448</v>
      </c>
      <c r="N20" t="s">
        <v>797</v>
      </c>
      <c r="O20" t="s">
        <v>844</v>
      </c>
      <c r="Q20" t="s">
        <v>842</v>
      </c>
    </row>
    <row r="21" spans="2:17">
      <c r="B21" t="s">
        <v>596</v>
      </c>
      <c r="C21" t="s">
        <v>597</v>
      </c>
      <c r="D21">
        <v>1.2434180842265099E-3</v>
      </c>
      <c r="E21" t="s">
        <v>598</v>
      </c>
      <c r="H21" t="s">
        <v>588</v>
      </c>
      <c r="I21">
        <v>1.2434180842265099E-3</v>
      </c>
      <c r="J21">
        <v>1.1891099436471448</v>
      </c>
      <c r="N21" t="s">
        <v>797</v>
      </c>
      <c r="O21" t="s">
        <v>844</v>
      </c>
      <c r="Q21" t="s">
        <v>842</v>
      </c>
    </row>
    <row r="22" spans="2:17">
      <c r="B22" t="s">
        <v>596</v>
      </c>
      <c r="C22" t="s">
        <v>597</v>
      </c>
      <c r="D22">
        <v>3.35595999561855E-4</v>
      </c>
      <c r="E22" t="s">
        <v>598</v>
      </c>
      <c r="H22" t="s">
        <v>588</v>
      </c>
      <c r="I22">
        <v>3.35595999561855E-4</v>
      </c>
      <c r="J22">
        <v>1.1891099436471448</v>
      </c>
      <c r="N22" t="s">
        <v>797</v>
      </c>
      <c r="O22" t="s">
        <v>844</v>
      </c>
      <c r="Q22" t="s">
        <v>842</v>
      </c>
    </row>
    <row r="23" spans="2:17">
      <c r="B23" t="s">
        <v>596</v>
      </c>
      <c r="C23" t="s">
        <v>597</v>
      </c>
      <c r="D23">
        <v>4.1236839594889704E-3</v>
      </c>
      <c r="E23" t="s">
        <v>598</v>
      </c>
      <c r="H23" t="s">
        <v>588</v>
      </c>
      <c r="I23">
        <v>4.1236839594889704E-3</v>
      </c>
      <c r="J23">
        <v>1.1891099436471448</v>
      </c>
      <c r="N23" t="s">
        <v>797</v>
      </c>
      <c r="O23" t="s">
        <v>844</v>
      </c>
      <c r="Q23" t="s">
        <v>842</v>
      </c>
    </row>
    <row r="24" spans="2:17">
      <c r="B24" t="s">
        <v>596</v>
      </c>
      <c r="C24" t="s">
        <v>597</v>
      </c>
      <c r="D24">
        <v>5.2419579588153101E-4</v>
      </c>
      <c r="E24" t="s">
        <v>598</v>
      </c>
      <c r="H24" t="s">
        <v>588</v>
      </c>
      <c r="I24">
        <v>5.2419579588153101E-4</v>
      </c>
      <c r="J24">
        <v>1.1891099436471448</v>
      </c>
      <c r="N24" t="s">
        <v>797</v>
      </c>
      <c r="O24" t="s">
        <v>844</v>
      </c>
      <c r="Q24" t="s">
        <v>842</v>
      </c>
    </row>
    <row r="25" spans="2:17">
      <c r="B25" t="s">
        <v>596</v>
      </c>
      <c r="C25" t="s">
        <v>597</v>
      </c>
      <c r="D25">
        <v>2.02623697918008E-4</v>
      </c>
      <c r="E25" t="s">
        <v>598</v>
      </c>
      <c r="H25" t="s">
        <v>588</v>
      </c>
      <c r="I25">
        <v>2.02623697918008E-4</v>
      </c>
      <c r="J25">
        <v>1.1891099436471448</v>
      </c>
      <c r="N25" t="s">
        <v>797</v>
      </c>
      <c r="O25" t="s">
        <v>844</v>
      </c>
      <c r="Q25" t="s">
        <v>842</v>
      </c>
    </row>
    <row r="26" spans="2:17">
      <c r="B26" t="s">
        <v>596</v>
      </c>
      <c r="C26" t="s">
        <v>597</v>
      </c>
      <c r="D26">
        <v>2.8254837835278598E-4</v>
      </c>
      <c r="E26" t="s">
        <v>598</v>
      </c>
      <c r="H26" t="s">
        <v>588</v>
      </c>
      <c r="I26">
        <v>2.8254837835278598E-4</v>
      </c>
      <c r="J26">
        <v>1.1891099436471448</v>
      </c>
      <c r="N26" t="s">
        <v>797</v>
      </c>
      <c r="O26" t="s">
        <v>844</v>
      </c>
      <c r="Q26" t="s">
        <v>842</v>
      </c>
    </row>
    <row r="27" spans="2:17">
      <c r="B27" t="s">
        <v>596</v>
      </c>
      <c r="C27" t="s">
        <v>597</v>
      </c>
      <c r="D27">
        <v>2.8049350069603001E-2</v>
      </c>
      <c r="E27" t="s">
        <v>598</v>
      </c>
      <c r="H27" t="s">
        <v>588</v>
      </c>
      <c r="I27">
        <v>2.8049350069603001E-2</v>
      </c>
      <c r="J27">
        <v>1.1891099436471448</v>
      </c>
      <c r="N27" t="s">
        <v>599</v>
      </c>
      <c r="O27" t="s">
        <v>844</v>
      </c>
      <c r="Q27" t="s">
        <v>842</v>
      </c>
    </row>
    <row r="28" spans="2:17">
      <c r="B28" t="s">
        <v>596</v>
      </c>
      <c r="C28" t="s">
        <v>597</v>
      </c>
      <c r="D28">
        <v>1.28110262453612E-4</v>
      </c>
      <c r="E28" t="s">
        <v>598</v>
      </c>
      <c r="H28" t="s">
        <v>588</v>
      </c>
      <c r="I28">
        <v>1.28110262453612E-4</v>
      </c>
      <c r="J28">
        <v>1.1891099436471448</v>
      </c>
      <c r="N28" t="s">
        <v>797</v>
      </c>
      <c r="O28" t="s">
        <v>844</v>
      </c>
      <c r="Q28" t="s">
        <v>842</v>
      </c>
    </row>
    <row r="29" spans="2:17">
      <c r="B29" t="s">
        <v>596</v>
      </c>
      <c r="C29" t="s">
        <v>597</v>
      </c>
      <c r="D29">
        <v>2.5094608350008698E-5</v>
      </c>
      <c r="E29" t="s">
        <v>598</v>
      </c>
      <c r="H29" t="s">
        <v>588</v>
      </c>
      <c r="I29">
        <v>2.5094608350008698E-5</v>
      </c>
      <c r="J29">
        <v>1.1891099436471448</v>
      </c>
      <c r="N29" t="s">
        <v>797</v>
      </c>
      <c r="O29" t="s">
        <v>844</v>
      </c>
      <c r="Q29" t="s">
        <v>842</v>
      </c>
    </row>
    <row r="30" spans="2:17">
      <c r="B30" t="s">
        <v>596</v>
      </c>
      <c r="C30" t="s">
        <v>597</v>
      </c>
      <c r="D30">
        <v>4.3795918314475897E-5</v>
      </c>
      <c r="E30" t="s">
        <v>598</v>
      </c>
      <c r="H30" t="s">
        <v>588</v>
      </c>
      <c r="I30">
        <v>4.3795918314475897E-5</v>
      </c>
      <c r="J30">
        <v>1.1891099436471448</v>
      </c>
      <c r="N30" t="s">
        <v>797</v>
      </c>
      <c r="O30" t="s">
        <v>844</v>
      </c>
      <c r="Q30" t="s">
        <v>842</v>
      </c>
    </row>
    <row r="31" spans="2:17">
      <c r="B31" t="s">
        <v>596</v>
      </c>
      <c r="C31" t="s">
        <v>597</v>
      </c>
      <c r="D31">
        <v>8.1502757078914096E-4</v>
      </c>
      <c r="E31" t="s">
        <v>598</v>
      </c>
      <c r="H31" t="s">
        <v>588</v>
      </c>
      <c r="I31">
        <v>8.1502757078914096E-4</v>
      </c>
      <c r="J31">
        <v>1.1891099436471448</v>
      </c>
      <c r="N31" t="s">
        <v>797</v>
      </c>
      <c r="O31" t="s">
        <v>844</v>
      </c>
      <c r="Q31" t="s">
        <v>842</v>
      </c>
    </row>
    <row r="32" spans="2:17">
      <c r="B32" t="s">
        <v>596</v>
      </c>
      <c r="C32" t="s">
        <v>597</v>
      </c>
      <c r="D32">
        <v>2.12249119685303E-4</v>
      </c>
      <c r="E32" t="s">
        <v>598</v>
      </c>
      <c r="H32" t="s">
        <v>588</v>
      </c>
      <c r="I32">
        <v>2.12249119685303E-4</v>
      </c>
      <c r="J32">
        <v>1.1891099436471448</v>
      </c>
      <c r="N32" t="s">
        <v>797</v>
      </c>
      <c r="O32" t="s">
        <v>844</v>
      </c>
      <c r="Q32" t="s">
        <v>842</v>
      </c>
    </row>
    <row r="33" spans="2:17">
      <c r="B33" t="s">
        <v>596</v>
      </c>
      <c r="C33" t="s">
        <v>597</v>
      </c>
      <c r="D33">
        <v>1.00288758768139E-5</v>
      </c>
      <c r="E33" t="s">
        <v>598</v>
      </c>
      <c r="H33" t="s">
        <v>588</v>
      </c>
      <c r="I33">
        <v>1.00288758768139E-5</v>
      </c>
      <c r="J33">
        <v>1.1891099436471448</v>
      </c>
      <c r="N33" t="s">
        <v>797</v>
      </c>
      <c r="O33" t="s">
        <v>844</v>
      </c>
      <c r="Q33" t="s">
        <v>842</v>
      </c>
    </row>
    <row r="34" spans="2:17">
      <c r="B34" t="s">
        <v>596</v>
      </c>
      <c r="C34" t="s">
        <v>597</v>
      </c>
      <c r="D34">
        <v>2.7361952030462498E-5</v>
      </c>
      <c r="E34" t="s">
        <v>598</v>
      </c>
      <c r="H34" t="s">
        <v>588</v>
      </c>
      <c r="I34">
        <v>2.7361952030462498E-5</v>
      </c>
      <c r="J34">
        <v>1.1891099436471448</v>
      </c>
      <c r="N34" t="s">
        <v>797</v>
      </c>
      <c r="O34" t="s">
        <v>844</v>
      </c>
      <c r="Q34" t="s">
        <v>842</v>
      </c>
    </row>
    <row r="35" spans="2:17">
      <c r="B35" t="s">
        <v>596</v>
      </c>
      <c r="C35" t="s">
        <v>597</v>
      </c>
      <c r="D35">
        <v>0.19900144803214301</v>
      </c>
      <c r="E35" t="s">
        <v>598</v>
      </c>
      <c r="H35" t="s">
        <v>588</v>
      </c>
      <c r="I35">
        <v>0.19900144803214301</v>
      </c>
      <c r="J35">
        <v>1.1891099436471448</v>
      </c>
      <c r="N35" t="s">
        <v>599</v>
      </c>
      <c r="O35" t="s">
        <v>844</v>
      </c>
      <c r="Q35" t="s">
        <v>842</v>
      </c>
    </row>
    <row r="36" spans="2:17">
      <c r="B36" t="s">
        <v>596</v>
      </c>
      <c r="C36" t="s">
        <v>597</v>
      </c>
      <c r="D36">
        <v>2.6596642322887201E-5</v>
      </c>
      <c r="E36" t="s">
        <v>598</v>
      </c>
      <c r="H36" t="s">
        <v>588</v>
      </c>
      <c r="I36">
        <v>2.6596642322887201E-5</v>
      </c>
      <c r="J36">
        <v>1.1891099436471448</v>
      </c>
      <c r="N36" t="s">
        <v>797</v>
      </c>
      <c r="O36" t="s">
        <v>844</v>
      </c>
      <c r="Q36" t="s">
        <v>842</v>
      </c>
    </row>
    <row r="37" spans="2:17">
      <c r="B37" t="s">
        <v>596</v>
      </c>
      <c r="C37" t="s">
        <v>597</v>
      </c>
      <c r="D37">
        <v>1.5306452697705001E-4</v>
      </c>
      <c r="E37" t="s">
        <v>598</v>
      </c>
      <c r="H37" t="s">
        <v>588</v>
      </c>
      <c r="I37">
        <v>1.5306452697705001E-4</v>
      </c>
      <c r="J37">
        <v>1.1891099436471448</v>
      </c>
      <c r="N37" t="s">
        <v>797</v>
      </c>
      <c r="O37" t="s">
        <v>844</v>
      </c>
      <c r="Q37" t="s">
        <v>842</v>
      </c>
    </row>
    <row r="38" spans="2:17">
      <c r="B38" t="s">
        <v>596</v>
      </c>
      <c r="C38" t="s">
        <v>597</v>
      </c>
      <c r="D38">
        <v>2.00182931706775E-5</v>
      </c>
      <c r="E38" t="s">
        <v>598</v>
      </c>
      <c r="H38" t="s">
        <v>588</v>
      </c>
      <c r="I38">
        <v>2.00182931706775E-5</v>
      </c>
      <c r="J38">
        <v>1.1891099436471448</v>
      </c>
      <c r="N38" t="s">
        <v>797</v>
      </c>
      <c r="O38" t="s">
        <v>844</v>
      </c>
      <c r="Q38" t="s">
        <v>842</v>
      </c>
    </row>
    <row r="39" spans="2:17">
      <c r="B39" t="s">
        <v>596</v>
      </c>
      <c r="C39" t="s">
        <v>597</v>
      </c>
      <c r="D39">
        <v>2.1164708918825501E-4</v>
      </c>
      <c r="E39" t="s">
        <v>598</v>
      </c>
      <c r="H39" t="s">
        <v>588</v>
      </c>
      <c r="I39">
        <v>2.1164708918825501E-4</v>
      </c>
      <c r="J39">
        <v>1.1891099436471448</v>
      </c>
      <c r="N39" t="s">
        <v>797</v>
      </c>
      <c r="O39" t="s">
        <v>844</v>
      </c>
      <c r="Q39" t="s">
        <v>842</v>
      </c>
    </row>
    <row r="40" spans="2:17">
      <c r="B40" t="s">
        <v>596</v>
      </c>
      <c r="C40" t="s">
        <v>597</v>
      </c>
      <c r="D40">
        <v>1.97225162660418E-4</v>
      </c>
      <c r="E40" t="s">
        <v>598</v>
      </c>
      <c r="H40" t="s">
        <v>588</v>
      </c>
      <c r="I40">
        <v>1.97225162660418E-4</v>
      </c>
      <c r="J40">
        <v>1.1891099436471448</v>
      </c>
      <c r="N40" t="s">
        <v>797</v>
      </c>
      <c r="O40" t="s">
        <v>844</v>
      </c>
      <c r="Q40" t="s">
        <v>842</v>
      </c>
    </row>
    <row r="41" spans="2:17">
      <c r="B41" t="s">
        <v>596</v>
      </c>
      <c r="C41" t="s">
        <v>597</v>
      </c>
      <c r="D41">
        <v>1.90750990513445E-4</v>
      </c>
      <c r="E41" t="s">
        <v>598</v>
      </c>
      <c r="H41" t="s">
        <v>588</v>
      </c>
      <c r="I41">
        <v>1.90750990513445E-4</v>
      </c>
      <c r="J41">
        <v>1.1891099436471448</v>
      </c>
      <c r="N41" t="s">
        <v>797</v>
      </c>
      <c r="O41" t="s">
        <v>844</v>
      </c>
      <c r="Q41" t="s">
        <v>842</v>
      </c>
    </row>
    <row r="42" spans="2:17">
      <c r="B42" t="s">
        <v>596</v>
      </c>
      <c r="C42" t="s">
        <v>597</v>
      </c>
      <c r="D42">
        <v>2.7520456122612599E-4</v>
      </c>
      <c r="E42" t="s">
        <v>598</v>
      </c>
      <c r="H42" t="s">
        <v>588</v>
      </c>
      <c r="I42">
        <v>2.7520456122612599E-4</v>
      </c>
      <c r="J42">
        <v>1.1891099436471448</v>
      </c>
      <c r="N42" t="s">
        <v>797</v>
      </c>
      <c r="O42" t="s">
        <v>844</v>
      </c>
      <c r="Q42" t="s">
        <v>842</v>
      </c>
    </row>
    <row r="43" spans="2:17">
      <c r="B43" t="s">
        <v>596</v>
      </c>
      <c r="C43" t="s">
        <v>597</v>
      </c>
      <c r="D43">
        <v>2.9536225118879098E-4</v>
      </c>
      <c r="E43" t="s">
        <v>598</v>
      </c>
      <c r="H43" t="s">
        <v>588</v>
      </c>
      <c r="I43">
        <v>2.9536225118879098E-4</v>
      </c>
      <c r="J43">
        <v>1.1891099436471448</v>
      </c>
      <c r="N43" t="s">
        <v>797</v>
      </c>
      <c r="O43" t="s">
        <v>844</v>
      </c>
      <c r="Q43" t="s">
        <v>842</v>
      </c>
    </row>
    <row r="44" spans="2:17">
      <c r="B44" t="s">
        <v>596</v>
      </c>
      <c r="C44" t="s">
        <v>597</v>
      </c>
      <c r="D44">
        <v>8.7833916350181401E-5</v>
      </c>
      <c r="E44" t="s">
        <v>598</v>
      </c>
      <c r="H44" t="s">
        <v>588</v>
      </c>
      <c r="I44">
        <v>8.7833916350181401E-5</v>
      </c>
      <c r="J44">
        <v>1.1891099436471448</v>
      </c>
      <c r="N44" t="s">
        <v>797</v>
      </c>
      <c r="O44" t="s">
        <v>844</v>
      </c>
      <c r="Q44" t="s">
        <v>842</v>
      </c>
    </row>
    <row r="45" spans="2:17">
      <c r="B45" t="s">
        <v>596</v>
      </c>
      <c r="C45" t="s">
        <v>597</v>
      </c>
      <c r="D45">
        <v>3.3464223029257101E-3</v>
      </c>
      <c r="E45" t="s">
        <v>598</v>
      </c>
      <c r="H45" t="s">
        <v>588</v>
      </c>
      <c r="I45">
        <v>3.3464223029257101E-3</v>
      </c>
      <c r="J45">
        <v>1.1891099436471448</v>
      </c>
      <c r="N45" t="s">
        <v>797</v>
      </c>
      <c r="O45" t="s">
        <v>844</v>
      </c>
      <c r="Q45" t="s">
        <v>842</v>
      </c>
    </row>
    <row r="46" spans="2:17">
      <c r="B46" t="s">
        <v>845</v>
      </c>
      <c r="C46" t="s">
        <v>597</v>
      </c>
      <c r="D46">
        <v>7.7003831236282902</v>
      </c>
      <c r="E46" t="s">
        <v>607</v>
      </c>
      <c r="H46" t="s">
        <v>588</v>
      </c>
      <c r="I46">
        <v>7.7003831236282902</v>
      </c>
      <c r="J46">
        <v>1.1051709180756477</v>
      </c>
      <c r="N46" t="s">
        <v>846</v>
      </c>
      <c r="O46" t="s">
        <v>847</v>
      </c>
      <c r="Q46" t="s">
        <v>842</v>
      </c>
    </row>
    <row r="47" spans="2:17">
      <c r="B47" t="s">
        <v>605</v>
      </c>
      <c r="C47" t="s">
        <v>606</v>
      </c>
      <c r="D47">
        <v>1.3085618380021899</v>
      </c>
      <c r="E47" t="s">
        <v>607</v>
      </c>
      <c r="H47" t="s">
        <v>588</v>
      </c>
      <c r="I47">
        <v>1.3085618380021899</v>
      </c>
      <c r="J47">
        <v>1.1051709180756477</v>
      </c>
      <c r="N47" t="s">
        <v>848</v>
      </c>
      <c r="O47" t="s">
        <v>847</v>
      </c>
      <c r="Q47" t="s">
        <v>842</v>
      </c>
    </row>
    <row r="48" spans="2:17">
      <c r="B48" t="s">
        <v>849</v>
      </c>
      <c r="C48" t="s">
        <v>621</v>
      </c>
      <c r="D48">
        <v>1.2008428633442101</v>
      </c>
      <c r="E48" t="s">
        <v>622</v>
      </c>
      <c r="H48" t="s">
        <v>588</v>
      </c>
      <c r="I48">
        <v>1.2008428633442101</v>
      </c>
      <c r="J48">
        <v>1.2214027581601699</v>
      </c>
      <c r="O48" t="s">
        <v>841</v>
      </c>
      <c r="Q48" t="s">
        <v>842</v>
      </c>
    </row>
    <row r="49" spans="2:17">
      <c r="B49" t="s">
        <v>850</v>
      </c>
      <c r="C49" t="s">
        <v>621</v>
      </c>
      <c r="D49">
        <v>1.27546619962438E-4</v>
      </c>
      <c r="E49" t="s">
        <v>622</v>
      </c>
      <c r="H49" t="s">
        <v>588</v>
      </c>
      <c r="I49">
        <v>1.27546619962438E-4</v>
      </c>
      <c r="J49">
        <v>1.615400885732484</v>
      </c>
      <c r="O49" t="s">
        <v>851</v>
      </c>
      <c r="Q49" t="s">
        <v>842</v>
      </c>
    </row>
    <row r="50" spans="2:17">
      <c r="B50" t="s">
        <v>852</v>
      </c>
      <c r="C50" t="s">
        <v>853</v>
      </c>
      <c r="D50">
        <v>4.6218995945185899</v>
      </c>
      <c r="E50" t="s">
        <v>94</v>
      </c>
      <c r="H50" t="s">
        <v>588</v>
      </c>
      <c r="I50">
        <v>4.6218995945185899</v>
      </c>
      <c r="J50">
        <v>1.0247973619913604</v>
      </c>
      <c r="N50" t="s">
        <v>854</v>
      </c>
      <c r="O50" t="s">
        <v>855</v>
      </c>
      <c r="Q50" t="s">
        <v>842</v>
      </c>
    </row>
    <row r="51" spans="2:17">
      <c r="B51" t="s">
        <v>856</v>
      </c>
      <c r="C51" t="s">
        <v>857</v>
      </c>
      <c r="D51">
        <v>8.2323086634869202E-10</v>
      </c>
      <c r="E51" t="s">
        <v>616</v>
      </c>
      <c r="H51" t="s">
        <v>588</v>
      </c>
      <c r="I51">
        <v>8.2323086634869202E-10</v>
      </c>
      <c r="J51">
        <v>1.8068915230828115</v>
      </c>
      <c r="N51" t="s">
        <v>858</v>
      </c>
      <c r="O51" t="s">
        <v>859</v>
      </c>
      <c r="Q51" t="s">
        <v>842</v>
      </c>
    </row>
    <row r="52" spans="2:17">
      <c r="B52" t="s">
        <v>860</v>
      </c>
      <c r="C52" t="s">
        <v>650</v>
      </c>
      <c r="D52">
        <v>0.218621725620923</v>
      </c>
      <c r="E52" t="s">
        <v>94</v>
      </c>
      <c r="H52" t="s">
        <v>588</v>
      </c>
      <c r="I52">
        <v>0.218621725620923</v>
      </c>
      <c r="J52">
        <v>1.151909910168909</v>
      </c>
      <c r="N52" t="s">
        <v>861</v>
      </c>
      <c r="O52" t="s">
        <v>862</v>
      </c>
      <c r="Q52" t="s">
        <v>842</v>
      </c>
    </row>
    <row r="53" spans="2:17">
      <c r="B53" t="s">
        <v>863</v>
      </c>
      <c r="C53" t="s">
        <v>673</v>
      </c>
      <c r="D53">
        <v>0.21701090919055999</v>
      </c>
      <c r="E53" t="s">
        <v>94</v>
      </c>
      <c r="H53" t="s">
        <v>588</v>
      </c>
      <c r="I53">
        <v>0.21701090919055999</v>
      </c>
      <c r="J53">
        <v>1.0247973619913604</v>
      </c>
      <c r="N53" t="s">
        <v>864</v>
      </c>
      <c r="O53" t="s">
        <v>841</v>
      </c>
      <c r="Q53" t="s">
        <v>842</v>
      </c>
    </row>
    <row r="54" spans="2:17">
      <c r="B54" t="s">
        <v>865</v>
      </c>
      <c r="C54" t="s">
        <v>809</v>
      </c>
      <c r="D54">
        <v>3.8948343225804098</v>
      </c>
      <c r="E54" t="s">
        <v>94</v>
      </c>
      <c r="H54" t="s">
        <v>588</v>
      </c>
      <c r="I54">
        <v>3.8948343225804098</v>
      </c>
      <c r="J54">
        <v>1.151909910168909</v>
      </c>
      <c r="N54" t="s">
        <v>866</v>
      </c>
      <c r="O54" t="s">
        <v>867</v>
      </c>
      <c r="Q54" t="s">
        <v>842</v>
      </c>
    </row>
    <row r="55" spans="2:17">
      <c r="B55" t="s">
        <v>868</v>
      </c>
      <c r="C55" t="s">
        <v>813</v>
      </c>
      <c r="D55">
        <v>5.1727893921314098E-2</v>
      </c>
      <c r="E55" t="s">
        <v>94</v>
      </c>
      <c r="H55" t="s">
        <v>588</v>
      </c>
      <c r="I55">
        <v>5.1727893921314098E-2</v>
      </c>
      <c r="J55">
        <v>1.0247973619913604</v>
      </c>
      <c r="N55" t="s">
        <v>869</v>
      </c>
      <c r="O55" t="s">
        <v>841</v>
      </c>
      <c r="Q55" t="s">
        <v>842</v>
      </c>
    </row>
    <row r="56" spans="2:17">
      <c r="B56" t="s">
        <v>868</v>
      </c>
      <c r="C56" t="s">
        <v>813</v>
      </c>
      <c r="D56">
        <v>1.2412610922526101E-3</v>
      </c>
      <c r="E56" t="s">
        <v>94</v>
      </c>
      <c r="H56" t="s">
        <v>588</v>
      </c>
      <c r="I56">
        <v>1.2412610922526101E-3</v>
      </c>
      <c r="J56">
        <v>1.0247973619913604</v>
      </c>
      <c r="N56" t="s">
        <v>869</v>
      </c>
      <c r="O56" t="s">
        <v>841</v>
      </c>
      <c r="Q56" t="s">
        <v>842</v>
      </c>
    </row>
    <row r="57" spans="2:17">
      <c r="B57" t="s">
        <v>868</v>
      </c>
      <c r="C57" t="s">
        <v>813</v>
      </c>
      <c r="D57">
        <v>1.34568815389684E-3</v>
      </c>
      <c r="E57" t="s">
        <v>94</v>
      </c>
      <c r="H57" t="s">
        <v>588</v>
      </c>
      <c r="I57">
        <v>1.34568815389684E-3</v>
      </c>
      <c r="J57">
        <v>1.0247973619913604</v>
      </c>
      <c r="N57" t="s">
        <v>869</v>
      </c>
      <c r="O57" t="s">
        <v>841</v>
      </c>
      <c r="Q57" t="s">
        <v>842</v>
      </c>
    </row>
    <row r="58" spans="2:17">
      <c r="B58" t="s">
        <v>868</v>
      </c>
      <c r="C58" t="s">
        <v>813</v>
      </c>
      <c r="D58">
        <v>0.59194855848360195</v>
      </c>
      <c r="E58" t="s">
        <v>94</v>
      </c>
      <c r="H58" t="s">
        <v>588</v>
      </c>
      <c r="I58">
        <v>0.59194855848360195</v>
      </c>
      <c r="J58">
        <v>1.0247973619913604</v>
      </c>
      <c r="N58" t="s">
        <v>869</v>
      </c>
      <c r="O58" t="s">
        <v>841</v>
      </c>
      <c r="Q58" t="s">
        <v>842</v>
      </c>
    </row>
    <row r="59" spans="2:17">
      <c r="B59" t="s">
        <v>868</v>
      </c>
      <c r="C59" t="s">
        <v>813</v>
      </c>
      <c r="D59">
        <v>1.0311777701222E-2</v>
      </c>
      <c r="E59" t="s">
        <v>94</v>
      </c>
      <c r="H59" t="s">
        <v>588</v>
      </c>
      <c r="I59">
        <v>1.0311777701222E-2</v>
      </c>
      <c r="J59">
        <v>1.0247973619913604</v>
      </c>
      <c r="N59" t="s">
        <v>869</v>
      </c>
      <c r="O59" t="s">
        <v>841</v>
      </c>
      <c r="Q59" t="s">
        <v>842</v>
      </c>
    </row>
    <row r="60" spans="2:17">
      <c r="B60" t="s">
        <v>868</v>
      </c>
      <c r="C60" t="s">
        <v>813</v>
      </c>
      <c r="D60">
        <v>2.0513878982879202E-3</v>
      </c>
      <c r="E60" t="s">
        <v>94</v>
      </c>
      <c r="H60" t="s">
        <v>588</v>
      </c>
      <c r="I60">
        <v>2.0513878982879202E-3</v>
      </c>
      <c r="J60">
        <v>1.0247973619913604</v>
      </c>
      <c r="N60" t="s">
        <v>869</v>
      </c>
      <c r="O60" t="s">
        <v>841</v>
      </c>
      <c r="Q60" t="s">
        <v>842</v>
      </c>
    </row>
    <row r="61" spans="2:17">
      <c r="B61" t="s">
        <v>868</v>
      </c>
      <c r="C61" t="s">
        <v>813</v>
      </c>
      <c r="D61">
        <v>3.8277871206061102E-3</v>
      </c>
      <c r="E61" t="s">
        <v>94</v>
      </c>
      <c r="H61" t="s">
        <v>588</v>
      </c>
      <c r="I61">
        <v>3.8277871206061102E-3</v>
      </c>
      <c r="J61">
        <v>1.0247973619913604</v>
      </c>
      <c r="N61" t="s">
        <v>869</v>
      </c>
      <c r="O61" t="s">
        <v>841</v>
      </c>
      <c r="Q61" t="s">
        <v>842</v>
      </c>
    </row>
    <row r="62" spans="2:17">
      <c r="B62" t="s">
        <v>870</v>
      </c>
      <c r="C62" t="s">
        <v>621</v>
      </c>
      <c r="D62">
        <v>1.27651446890362E-3</v>
      </c>
      <c r="E62" t="s">
        <v>626</v>
      </c>
      <c r="H62" t="s">
        <v>588</v>
      </c>
      <c r="I62">
        <v>1.27651446890362E-3</v>
      </c>
      <c r="J62">
        <v>1.5103034071977617</v>
      </c>
      <c r="O62" t="s">
        <v>871</v>
      </c>
      <c r="Q62" t="s">
        <v>842</v>
      </c>
    </row>
    <row r="63" spans="2:17">
      <c r="B63" t="s">
        <v>872</v>
      </c>
      <c r="C63" t="s">
        <v>621</v>
      </c>
      <c r="D63">
        <v>7.7073286768096895E-4</v>
      </c>
      <c r="E63" t="s">
        <v>626</v>
      </c>
      <c r="H63" t="s">
        <v>588</v>
      </c>
      <c r="I63">
        <v>7.7073286768096895E-4</v>
      </c>
      <c r="J63">
        <v>1.615400885732484</v>
      </c>
      <c r="O63" t="s">
        <v>873</v>
      </c>
      <c r="Q63" t="s">
        <v>842</v>
      </c>
    </row>
    <row r="64" spans="2:17">
      <c r="B64" t="s">
        <v>874</v>
      </c>
      <c r="C64" t="s">
        <v>621</v>
      </c>
      <c r="D64">
        <v>9.98646079149542E-6</v>
      </c>
      <c r="E64" t="s">
        <v>626</v>
      </c>
      <c r="H64" t="s">
        <v>588</v>
      </c>
      <c r="I64">
        <v>9.98646079149542E-6</v>
      </c>
      <c r="J64">
        <v>1.615400885732484</v>
      </c>
      <c r="O64" t="s">
        <v>873</v>
      </c>
      <c r="Q64" t="s">
        <v>842</v>
      </c>
    </row>
    <row r="65" spans="1:17">
      <c r="B65" t="s">
        <v>875</v>
      </c>
      <c r="C65" t="s">
        <v>621</v>
      </c>
      <c r="D65">
        <v>1.2237851576344301E-3</v>
      </c>
      <c r="E65" t="s">
        <v>626</v>
      </c>
      <c r="H65" t="s">
        <v>588</v>
      </c>
      <c r="I65">
        <v>1.2237851576344301E-3</v>
      </c>
      <c r="J65">
        <v>1.615400885732484</v>
      </c>
      <c r="O65" t="s">
        <v>873</v>
      </c>
      <c r="Q65" t="s">
        <v>842</v>
      </c>
    </row>
    <row r="66" spans="1:17">
      <c r="B66" t="s">
        <v>876</v>
      </c>
      <c r="C66" t="s">
        <v>621</v>
      </c>
      <c r="D66">
        <v>8.6796909035196503E-6</v>
      </c>
      <c r="E66" t="s">
        <v>626</v>
      </c>
      <c r="H66" t="s">
        <v>588</v>
      </c>
      <c r="I66">
        <v>8.6796909035196503E-6</v>
      </c>
      <c r="J66">
        <v>1.615400885732484</v>
      </c>
      <c r="O66" t="s">
        <v>873</v>
      </c>
      <c r="Q66" t="s">
        <v>842</v>
      </c>
    </row>
    <row r="67" spans="1:17">
      <c r="B67" t="s">
        <v>877</v>
      </c>
      <c r="C67" t="s">
        <v>621</v>
      </c>
      <c r="D67">
        <v>8.25754757700999E-4</v>
      </c>
      <c r="E67" t="s">
        <v>626</v>
      </c>
      <c r="H67" t="s">
        <v>588</v>
      </c>
      <c r="I67">
        <v>8.25754757700999E-4</v>
      </c>
      <c r="J67">
        <v>1.615400885732484</v>
      </c>
      <c r="O67" t="s">
        <v>873</v>
      </c>
      <c r="Q67" t="s">
        <v>842</v>
      </c>
    </row>
    <row r="68" spans="1:17">
      <c r="B68" t="s">
        <v>705</v>
      </c>
      <c r="C68" t="s">
        <v>639</v>
      </c>
      <c r="D68">
        <v>0.33787674357103797</v>
      </c>
      <c r="E68" t="s">
        <v>640</v>
      </c>
      <c r="H68" t="s">
        <v>588</v>
      </c>
      <c r="I68">
        <v>0.33787674357103797</v>
      </c>
      <c r="J68">
        <v>1.1051709180756477</v>
      </c>
      <c r="O68" t="s">
        <v>855</v>
      </c>
      <c r="Q68" t="s">
        <v>842</v>
      </c>
    </row>
    <row r="69" spans="1:17">
      <c r="B69" t="s">
        <v>878</v>
      </c>
      <c r="C69" t="s">
        <v>639</v>
      </c>
      <c r="D69">
        <v>7.0306458299163705E-4</v>
      </c>
      <c r="E69" t="s">
        <v>640</v>
      </c>
      <c r="H69" t="s">
        <v>588</v>
      </c>
      <c r="I69">
        <v>7.0306458299163705E-4</v>
      </c>
      <c r="J69">
        <v>1.0247973619913604</v>
      </c>
      <c r="O69" t="s">
        <v>841</v>
      </c>
      <c r="Q69" t="s">
        <v>842</v>
      </c>
    </row>
    <row r="70" spans="1:17">
      <c r="B70" t="s">
        <v>879</v>
      </c>
      <c r="C70" t="s">
        <v>639</v>
      </c>
      <c r="D70">
        <v>1.3591427859711199E-2</v>
      </c>
      <c r="E70" t="s">
        <v>640</v>
      </c>
      <c r="H70" t="s">
        <v>588</v>
      </c>
      <c r="I70">
        <v>1.3591427859711199E-2</v>
      </c>
      <c r="J70">
        <v>1.1051709180756477</v>
      </c>
      <c r="O70" t="s">
        <v>880</v>
      </c>
      <c r="Q70" t="s">
        <v>842</v>
      </c>
    </row>
    <row r="72" spans="1:17">
      <c r="A72" t="s">
        <v>710</v>
      </c>
    </row>
    <row r="73" spans="1:17">
      <c r="A73" s="424" t="s">
        <v>570</v>
      </c>
      <c r="B73" s="424" t="s">
        <v>571</v>
      </c>
      <c r="C73" s="424" t="s">
        <v>568</v>
      </c>
      <c r="D73" s="424" t="s">
        <v>572</v>
      </c>
      <c r="E73" s="424" t="s">
        <v>573</v>
      </c>
      <c r="F73" s="424" t="s">
        <v>574</v>
      </c>
      <c r="G73" s="424" t="s">
        <v>575</v>
      </c>
      <c r="H73" s="424" t="s">
        <v>576</v>
      </c>
      <c r="I73" s="424" t="s">
        <v>577</v>
      </c>
      <c r="J73" s="424" t="s">
        <v>578</v>
      </c>
      <c r="K73" s="424" t="s">
        <v>579</v>
      </c>
      <c r="L73" s="424" t="s">
        <v>580</v>
      </c>
      <c r="M73" s="424" t="s">
        <v>581</v>
      </c>
      <c r="N73" s="424" t="s">
        <v>582</v>
      </c>
      <c r="O73" s="424" t="s">
        <v>583</v>
      </c>
      <c r="P73" s="424" t="s">
        <v>584</v>
      </c>
      <c r="Q73" s="424" t="s">
        <v>585</v>
      </c>
    </row>
    <row r="74" spans="1:17">
      <c r="B74" t="s">
        <v>717</v>
      </c>
      <c r="C74" t="s">
        <v>881</v>
      </c>
      <c r="D74">
        <v>4.2712127451526799E-10</v>
      </c>
      <c r="E74" t="s">
        <v>94</v>
      </c>
      <c r="H74" t="s">
        <v>588</v>
      </c>
      <c r="I74">
        <v>4.2712127451526799E-10</v>
      </c>
      <c r="J74">
        <v>2.2533180987712971</v>
      </c>
      <c r="O74" t="s">
        <v>882</v>
      </c>
      <c r="Q74" t="s">
        <v>842</v>
      </c>
    </row>
    <row r="75" spans="1:17">
      <c r="B75" t="s">
        <v>717</v>
      </c>
      <c r="C75" t="s">
        <v>883</v>
      </c>
      <c r="D75">
        <v>1.15438288208121E-6</v>
      </c>
      <c r="E75" t="s">
        <v>94</v>
      </c>
      <c r="H75" t="s">
        <v>588</v>
      </c>
      <c r="I75">
        <v>1.15438288208121E-6</v>
      </c>
      <c r="J75">
        <v>2.2671766190151423</v>
      </c>
      <c r="O75" t="s">
        <v>882</v>
      </c>
      <c r="Q75" t="s">
        <v>842</v>
      </c>
    </row>
    <row r="76" spans="1:17">
      <c r="B76" t="s">
        <v>725</v>
      </c>
      <c r="C76" t="s">
        <v>881</v>
      </c>
      <c r="D76">
        <v>6.6877272396900405E-10</v>
      </c>
      <c r="E76" t="s">
        <v>94</v>
      </c>
      <c r="H76" t="s">
        <v>588</v>
      </c>
      <c r="I76">
        <v>6.6877272396900405E-10</v>
      </c>
      <c r="J76">
        <v>2.2533180987712971</v>
      </c>
      <c r="O76" t="s">
        <v>882</v>
      </c>
      <c r="Q76" t="s">
        <v>842</v>
      </c>
    </row>
    <row r="77" spans="1:17">
      <c r="B77" t="s">
        <v>725</v>
      </c>
      <c r="C77" t="s">
        <v>883</v>
      </c>
      <c r="D77">
        <v>2.26413879844728E-6</v>
      </c>
      <c r="E77" t="s">
        <v>94</v>
      </c>
      <c r="H77" t="s">
        <v>588</v>
      </c>
      <c r="I77">
        <v>2.26413879844728E-6</v>
      </c>
      <c r="J77">
        <v>2.2671766190151423</v>
      </c>
      <c r="O77" t="s">
        <v>882</v>
      </c>
      <c r="Q77" t="s">
        <v>842</v>
      </c>
    </row>
    <row r="78" spans="1:17">
      <c r="B78" t="s">
        <v>884</v>
      </c>
      <c r="C78" t="s">
        <v>883</v>
      </c>
      <c r="D78">
        <v>0.207920323877402</v>
      </c>
      <c r="E78" t="s">
        <v>94</v>
      </c>
      <c r="H78" t="s">
        <v>588</v>
      </c>
      <c r="I78">
        <v>0.207920323877402</v>
      </c>
      <c r="J78">
        <v>2.2394398661220611</v>
      </c>
      <c r="O78" t="s">
        <v>882</v>
      </c>
      <c r="Q78" t="s">
        <v>842</v>
      </c>
    </row>
    <row r="79" spans="1:17">
      <c r="B79" t="s">
        <v>884</v>
      </c>
      <c r="C79" t="s">
        <v>881</v>
      </c>
      <c r="D79">
        <v>1.13335107724543E-4</v>
      </c>
      <c r="E79" t="s">
        <v>94</v>
      </c>
      <c r="H79" t="s">
        <v>588</v>
      </c>
      <c r="I79">
        <v>1.13335107724543E-4</v>
      </c>
      <c r="J79">
        <v>2.2394398661220611</v>
      </c>
      <c r="O79" t="s">
        <v>882</v>
      </c>
      <c r="Q79" t="s">
        <v>842</v>
      </c>
    </row>
    <row r="80" spans="1:17">
      <c r="B80" t="s">
        <v>726</v>
      </c>
      <c r="C80" t="s">
        <v>658</v>
      </c>
      <c r="D80">
        <v>2.7985790280807599E-2</v>
      </c>
      <c r="E80" t="s">
        <v>94</v>
      </c>
      <c r="H80" t="s">
        <v>588</v>
      </c>
      <c r="I80">
        <v>2.7985790280807599E-2</v>
      </c>
      <c r="J80">
        <v>1.151909910168909</v>
      </c>
      <c r="O80" t="s">
        <v>885</v>
      </c>
      <c r="Q80" t="s">
        <v>842</v>
      </c>
    </row>
    <row r="81" spans="1:17">
      <c r="B81" t="s">
        <v>732</v>
      </c>
      <c r="C81" t="s">
        <v>881</v>
      </c>
      <c r="D81">
        <v>1.71236277156151E-9</v>
      </c>
      <c r="E81" t="s">
        <v>94</v>
      </c>
      <c r="H81" t="s">
        <v>588</v>
      </c>
      <c r="I81">
        <v>1.71236277156151E-9</v>
      </c>
      <c r="J81">
        <v>2.2533180987712971</v>
      </c>
      <c r="O81" t="s">
        <v>882</v>
      </c>
      <c r="Q81" t="s">
        <v>842</v>
      </c>
    </row>
    <row r="82" spans="1:17">
      <c r="B82" t="s">
        <v>732</v>
      </c>
      <c r="C82" t="s">
        <v>883</v>
      </c>
      <c r="D82">
        <v>1.13040697425651E-5</v>
      </c>
      <c r="E82" t="s">
        <v>94</v>
      </c>
      <c r="H82" t="s">
        <v>588</v>
      </c>
      <c r="I82">
        <v>1.13040697425651E-5</v>
      </c>
      <c r="J82">
        <v>2.2671766190151423</v>
      </c>
      <c r="O82" t="s">
        <v>882</v>
      </c>
      <c r="Q82" t="s">
        <v>842</v>
      </c>
    </row>
    <row r="83" spans="1:17">
      <c r="B83" t="s">
        <v>736</v>
      </c>
      <c r="C83" t="s">
        <v>881</v>
      </c>
      <c r="D83">
        <v>6.5019569192197103E-10</v>
      </c>
      <c r="E83" t="s">
        <v>94</v>
      </c>
      <c r="H83" t="s">
        <v>588</v>
      </c>
      <c r="I83">
        <v>6.5019569192197103E-10</v>
      </c>
      <c r="J83">
        <v>2.2533180987712971</v>
      </c>
      <c r="O83" t="s">
        <v>882</v>
      </c>
      <c r="Q83" t="s">
        <v>842</v>
      </c>
    </row>
    <row r="84" spans="1:17">
      <c r="B84" t="s">
        <v>736</v>
      </c>
      <c r="C84" t="s">
        <v>883</v>
      </c>
      <c r="D84">
        <v>1.4599245398004899E-6</v>
      </c>
      <c r="E84" t="s">
        <v>94</v>
      </c>
      <c r="H84" t="s">
        <v>588</v>
      </c>
      <c r="I84">
        <v>1.4599245398004899E-6</v>
      </c>
      <c r="J84">
        <v>2.2671766190151423</v>
      </c>
      <c r="O84" t="s">
        <v>882</v>
      </c>
      <c r="Q84" t="s">
        <v>842</v>
      </c>
    </row>
    <row r="85" spans="1:17">
      <c r="B85" t="s">
        <v>741</v>
      </c>
      <c r="C85" t="s">
        <v>661</v>
      </c>
      <c r="D85">
        <v>1.05332780484307E-4</v>
      </c>
      <c r="E85" t="s">
        <v>94</v>
      </c>
      <c r="H85" t="s">
        <v>588</v>
      </c>
      <c r="I85">
        <v>1.05332780484307E-4</v>
      </c>
      <c r="J85">
        <v>2.2394398661220611</v>
      </c>
      <c r="O85" t="s">
        <v>841</v>
      </c>
      <c r="Q85" t="s">
        <v>842</v>
      </c>
    </row>
    <row r="86" spans="1:17">
      <c r="B86" t="s">
        <v>741</v>
      </c>
      <c r="C86" t="s">
        <v>881</v>
      </c>
      <c r="D86">
        <v>7.9343212181954504E-6</v>
      </c>
      <c r="E86" t="s">
        <v>94</v>
      </c>
      <c r="H86" t="s">
        <v>588</v>
      </c>
      <c r="I86">
        <v>7.9343212181954504E-6</v>
      </c>
      <c r="J86">
        <v>2.2394398661220611</v>
      </c>
      <c r="O86" t="s">
        <v>859</v>
      </c>
      <c r="Q86" t="s">
        <v>842</v>
      </c>
    </row>
    <row r="87" spans="1:17">
      <c r="B87" t="s">
        <v>741</v>
      </c>
      <c r="C87" t="s">
        <v>883</v>
      </c>
      <c r="D87">
        <v>1.3746620185932701E-2</v>
      </c>
      <c r="E87" t="s">
        <v>94</v>
      </c>
      <c r="H87" t="s">
        <v>588</v>
      </c>
      <c r="I87">
        <v>1.3746620185932701E-2</v>
      </c>
      <c r="J87">
        <v>1.2775561233185384</v>
      </c>
      <c r="O87" t="s">
        <v>882</v>
      </c>
      <c r="Q87" t="s">
        <v>842</v>
      </c>
    </row>
    <row r="88" spans="1:17">
      <c r="B88" t="s">
        <v>886</v>
      </c>
      <c r="C88" t="s">
        <v>887</v>
      </c>
      <c r="D88">
        <v>3.1219113251975303E-5</v>
      </c>
      <c r="E88" t="s">
        <v>94</v>
      </c>
      <c r="H88" t="s">
        <v>588</v>
      </c>
      <c r="I88">
        <v>3.1219113251975303E-5</v>
      </c>
      <c r="J88">
        <v>1.2214027581601699</v>
      </c>
      <c r="O88" t="s">
        <v>841</v>
      </c>
      <c r="Q88" t="s">
        <v>842</v>
      </c>
    </row>
    <row r="89" spans="1:17">
      <c r="A89" s="424" t="s">
        <v>645</v>
      </c>
      <c r="B89" s="424" t="s">
        <v>888</v>
      </c>
      <c r="C89" s="424" t="s">
        <v>809</v>
      </c>
      <c r="D89" s="424">
        <v>1</v>
      </c>
      <c r="E89" s="424" t="s">
        <v>94</v>
      </c>
      <c r="F89" s="424">
        <v>0.70599999999999996</v>
      </c>
      <c r="G89" s="424" t="s">
        <v>647</v>
      </c>
      <c r="M89" s="424"/>
      <c r="O89" s="424"/>
      <c r="P89" s="424"/>
      <c r="Q89" s="424"/>
    </row>
    <row r="90" spans="1:17">
      <c r="B90" t="s">
        <v>243</v>
      </c>
      <c r="C90" t="s">
        <v>658</v>
      </c>
      <c r="D90">
        <v>1.32471732031478E-4</v>
      </c>
      <c r="E90" t="s">
        <v>94</v>
      </c>
      <c r="H90" t="s">
        <v>588</v>
      </c>
      <c r="I90">
        <v>1.32471732031478E-4</v>
      </c>
      <c r="J90">
        <v>1.615400885732484</v>
      </c>
      <c r="O90" t="s">
        <v>851</v>
      </c>
      <c r="Q90" t="s">
        <v>842</v>
      </c>
    </row>
    <row r="91" spans="1:17">
      <c r="B91" t="s">
        <v>752</v>
      </c>
      <c r="C91" t="s">
        <v>883</v>
      </c>
      <c r="D91">
        <v>6.1230829537726198E-7</v>
      </c>
      <c r="E91" t="s">
        <v>94</v>
      </c>
      <c r="H91" t="s">
        <v>588</v>
      </c>
      <c r="I91">
        <v>6.1230829537726198E-7</v>
      </c>
      <c r="J91">
        <v>2.2671766190151423</v>
      </c>
      <c r="O91" t="s">
        <v>882</v>
      </c>
      <c r="Q91" t="s">
        <v>842</v>
      </c>
    </row>
    <row r="92" spans="1:17">
      <c r="B92" t="s">
        <v>752</v>
      </c>
      <c r="C92" t="s">
        <v>881</v>
      </c>
      <c r="D92">
        <v>3.5483636326997399E-9</v>
      </c>
      <c r="E92" t="s">
        <v>94</v>
      </c>
      <c r="H92" t="s">
        <v>588</v>
      </c>
      <c r="I92">
        <v>3.5483636326997399E-9</v>
      </c>
      <c r="J92">
        <v>2.2533180987712971</v>
      </c>
      <c r="O92" t="s">
        <v>882</v>
      </c>
      <c r="Q92" t="s">
        <v>842</v>
      </c>
    </row>
    <row r="93" spans="1:17">
      <c r="B93" t="s">
        <v>889</v>
      </c>
      <c r="C93" t="s">
        <v>881</v>
      </c>
      <c r="D93">
        <v>2.7730174571961698E-3</v>
      </c>
      <c r="E93" t="s">
        <v>890</v>
      </c>
      <c r="H93" t="s">
        <v>588</v>
      </c>
      <c r="I93">
        <v>2.7730174571961698E-3</v>
      </c>
      <c r="J93">
        <v>2.2394398661220611</v>
      </c>
      <c r="O93" t="s">
        <v>891</v>
      </c>
      <c r="Q93" t="s">
        <v>842</v>
      </c>
    </row>
    <row r="94" spans="1:17">
      <c r="B94" t="s">
        <v>889</v>
      </c>
      <c r="C94" t="s">
        <v>658</v>
      </c>
      <c r="D94">
        <v>7.4644617029617105E-4</v>
      </c>
      <c r="E94" t="s">
        <v>890</v>
      </c>
      <c r="H94" t="s">
        <v>588</v>
      </c>
      <c r="I94">
        <v>7.4644617029617105E-4</v>
      </c>
      <c r="J94">
        <v>1.8822267774802921</v>
      </c>
      <c r="O94" t="s">
        <v>891</v>
      </c>
      <c r="Q94" t="s">
        <v>842</v>
      </c>
    </row>
    <row r="95" spans="1:17">
      <c r="B95" t="s">
        <v>889</v>
      </c>
      <c r="C95" t="s">
        <v>883</v>
      </c>
      <c r="D95">
        <v>2.6654716372296699E-2</v>
      </c>
      <c r="E95" t="s">
        <v>890</v>
      </c>
      <c r="H95" t="s">
        <v>588</v>
      </c>
      <c r="I95">
        <v>2.6654716372296699E-2</v>
      </c>
      <c r="J95">
        <v>2.2394398661220611</v>
      </c>
      <c r="O95" t="s">
        <v>891</v>
      </c>
      <c r="Q95" t="s">
        <v>842</v>
      </c>
    </row>
    <row r="96" spans="1:17">
      <c r="B96" t="s">
        <v>753</v>
      </c>
      <c r="C96" t="s">
        <v>881</v>
      </c>
      <c r="D96">
        <v>8.4773949900031407E-9</v>
      </c>
      <c r="E96" t="s">
        <v>94</v>
      </c>
      <c r="H96" t="s">
        <v>588</v>
      </c>
      <c r="I96">
        <v>8.4773949900031407E-9</v>
      </c>
      <c r="J96">
        <v>2.2533180987712971</v>
      </c>
      <c r="O96" t="s">
        <v>882</v>
      </c>
      <c r="Q96" t="s">
        <v>842</v>
      </c>
    </row>
    <row r="97" spans="2:17">
      <c r="B97" t="s">
        <v>753</v>
      </c>
      <c r="C97" t="s">
        <v>883</v>
      </c>
      <c r="D97">
        <v>1.76791826304589E-6</v>
      </c>
      <c r="E97" t="s">
        <v>94</v>
      </c>
      <c r="H97" t="s">
        <v>588</v>
      </c>
      <c r="I97">
        <v>1.76791826304589E-6</v>
      </c>
      <c r="J97">
        <v>2.2671766190151423</v>
      </c>
      <c r="O97" t="s">
        <v>882</v>
      </c>
      <c r="Q97" t="s">
        <v>842</v>
      </c>
    </row>
    <row r="98" spans="2:17">
      <c r="B98" t="s">
        <v>758</v>
      </c>
      <c r="C98" t="s">
        <v>881</v>
      </c>
      <c r="D98">
        <v>3.0756151333236301E-9</v>
      </c>
      <c r="E98" t="s">
        <v>94</v>
      </c>
      <c r="H98" t="s">
        <v>588</v>
      </c>
      <c r="I98">
        <v>3.0756151333236301E-9</v>
      </c>
      <c r="J98">
        <v>2.2533180987712971</v>
      </c>
      <c r="O98" t="s">
        <v>882</v>
      </c>
      <c r="Q98" t="s">
        <v>842</v>
      </c>
    </row>
    <row r="99" spans="2:17">
      <c r="B99" t="s">
        <v>758</v>
      </c>
      <c r="C99" t="s">
        <v>883</v>
      </c>
      <c r="D99">
        <v>7.5801625338720401E-6</v>
      </c>
      <c r="E99" t="s">
        <v>94</v>
      </c>
      <c r="H99" t="s">
        <v>588</v>
      </c>
      <c r="I99">
        <v>7.5801625338720401E-6</v>
      </c>
      <c r="J99">
        <v>2.2671766190151423</v>
      </c>
      <c r="O99" t="s">
        <v>882</v>
      </c>
      <c r="Q99" t="s">
        <v>842</v>
      </c>
    </row>
    <row r="100" spans="2:17">
      <c r="B100" t="s">
        <v>653</v>
      </c>
      <c r="C100" t="s">
        <v>658</v>
      </c>
      <c r="D100">
        <v>3.0197580876973598E-4</v>
      </c>
      <c r="E100" t="s">
        <v>94</v>
      </c>
      <c r="H100" t="s">
        <v>588</v>
      </c>
      <c r="I100">
        <v>3.0197580876973598E-4</v>
      </c>
      <c r="J100">
        <v>1.8068915230828115</v>
      </c>
      <c r="O100" t="s">
        <v>871</v>
      </c>
      <c r="Q100" t="s">
        <v>842</v>
      </c>
    </row>
    <row r="101" spans="2:17">
      <c r="B101" t="s">
        <v>656</v>
      </c>
      <c r="C101" t="s">
        <v>658</v>
      </c>
      <c r="D101">
        <v>3.7746976096217301E-4</v>
      </c>
      <c r="E101" t="s">
        <v>94</v>
      </c>
      <c r="H101" t="s">
        <v>588</v>
      </c>
      <c r="I101">
        <v>3.7746976096217301E-4</v>
      </c>
      <c r="J101">
        <v>1.3498588075760032</v>
      </c>
      <c r="O101" t="s">
        <v>871</v>
      </c>
      <c r="Q101" t="s">
        <v>842</v>
      </c>
    </row>
    <row r="102" spans="2:17">
      <c r="B102" t="s">
        <v>657</v>
      </c>
      <c r="C102" t="s">
        <v>887</v>
      </c>
      <c r="D102">
        <v>1.59648961264166E-4</v>
      </c>
      <c r="E102" t="s">
        <v>94</v>
      </c>
      <c r="H102" t="s">
        <v>588</v>
      </c>
      <c r="I102">
        <v>1.59648961264166E-4</v>
      </c>
      <c r="J102">
        <v>1.4139824580805163</v>
      </c>
      <c r="O102" t="s">
        <v>841</v>
      </c>
      <c r="Q102" t="s">
        <v>842</v>
      </c>
    </row>
    <row r="103" spans="2:17">
      <c r="B103" t="s">
        <v>657</v>
      </c>
      <c r="C103" t="s">
        <v>658</v>
      </c>
      <c r="D103">
        <v>4.2779906242379397E-4</v>
      </c>
      <c r="E103" t="s">
        <v>94</v>
      </c>
      <c r="H103" t="s">
        <v>588</v>
      </c>
      <c r="I103">
        <v>4.2779906242379397E-4</v>
      </c>
      <c r="J103">
        <v>1.5103034071977617</v>
      </c>
      <c r="O103" t="s">
        <v>871</v>
      </c>
      <c r="Q103" t="s">
        <v>842</v>
      </c>
    </row>
    <row r="104" spans="2:17">
      <c r="B104" t="s">
        <v>892</v>
      </c>
      <c r="C104" t="s">
        <v>881</v>
      </c>
      <c r="D104">
        <v>7.0165911082028002E-6</v>
      </c>
      <c r="E104" t="s">
        <v>94</v>
      </c>
      <c r="H104" t="s">
        <v>588</v>
      </c>
      <c r="I104">
        <v>7.0165911082028002E-6</v>
      </c>
      <c r="J104">
        <v>1.2505791921887124</v>
      </c>
      <c r="O104" t="s">
        <v>882</v>
      </c>
      <c r="Q104" t="s">
        <v>842</v>
      </c>
    </row>
    <row r="105" spans="2:17">
      <c r="B105" t="s">
        <v>892</v>
      </c>
      <c r="C105" t="s">
        <v>883</v>
      </c>
      <c r="D105">
        <v>9.1360399572764702E-3</v>
      </c>
      <c r="E105" t="s">
        <v>94</v>
      </c>
      <c r="H105" t="s">
        <v>588</v>
      </c>
      <c r="I105">
        <v>9.1360399572764702E-3</v>
      </c>
      <c r="J105">
        <v>1.2775561233185384</v>
      </c>
      <c r="O105" t="s">
        <v>882</v>
      </c>
      <c r="Q105" t="s">
        <v>842</v>
      </c>
    </row>
    <row r="106" spans="2:17">
      <c r="B106" t="s">
        <v>893</v>
      </c>
      <c r="C106" t="s">
        <v>883</v>
      </c>
      <c r="D106">
        <v>0.82645121970553304</v>
      </c>
      <c r="E106" t="s">
        <v>890</v>
      </c>
      <c r="H106" t="s">
        <v>588</v>
      </c>
      <c r="I106">
        <v>0.82645121970553304</v>
      </c>
      <c r="J106">
        <v>2.2394398661220611</v>
      </c>
      <c r="O106" t="s">
        <v>891</v>
      </c>
      <c r="Q106" t="s">
        <v>842</v>
      </c>
    </row>
    <row r="107" spans="2:17">
      <c r="B107" t="s">
        <v>893</v>
      </c>
      <c r="C107" t="s">
        <v>658</v>
      </c>
      <c r="D107">
        <v>1.3048322050350999E-3</v>
      </c>
      <c r="E107" t="s">
        <v>890</v>
      </c>
      <c r="H107" t="s">
        <v>588</v>
      </c>
      <c r="I107">
        <v>1.3048322050350999E-3</v>
      </c>
      <c r="J107">
        <v>1.8822267774802921</v>
      </c>
      <c r="O107" t="s">
        <v>891</v>
      </c>
      <c r="Q107" t="s">
        <v>842</v>
      </c>
    </row>
    <row r="108" spans="2:17">
      <c r="B108" t="s">
        <v>893</v>
      </c>
      <c r="C108" t="s">
        <v>881</v>
      </c>
      <c r="D108">
        <v>4.2196326077827704E-3</v>
      </c>
      <c r="E108" t="s">
        <v>890</v>
      </c>
      <c r="H108" t="s">
        <v>588</v>
      </c>
      <c r="I108">
        <v>4.2196326077827704E-3</v>
      </c>
      <c r="J108">
        <v>2.2394398661220611</v>
      </c>
      <c r="O108" t="s">
        <v>891</v>
      </c>
      <c r="Q108" t="s">
        <v>842</v>
      </c>
    </row>
    <row r="109" spans="2:17">
      <c r="B109" t="s">
        <v>894</v>
      </c>
      <c r="C109" t="s">
        <v>883</v>
      </c>
      <c r="D109">
        <v>6.5463834481264693E-2</v>
      </c>
      <c r="E109" t="s">
        <v>890</v>
      </c>
      <c r="H109" t="s">
        <v>588</v>
      </c>
      <c r="I109">
        <v>6.5463834481264693E-2</v>
      </c>
      <c r="J109">
        <v>2.2394398661220611</v>
      </c>
      <c r="O109" t="s">
        <v>891</v>
      </c>
      <c r="Q109" t="s">
        <v>842</v>
      </c>
    </row>
    <row r="110" spans="2:17">
      <c r="B110" t="s">
        <v>894</v>
      </c>
      <c r="C110" t="s">
        <v>881</v>
      </c>
      <c r="D110">
        <v>3.3516635174308097E-4</v>
      </c>
      <c r="E110" t="s">
        <v>890</v>
      </c>
      <c r="H110" t="s">
        <v>588</v>
      </c>
      <c r="I110">
        <v>3.3516635174308097E-4</v>
      </c>
      <c r="J110">
        <v>2.2394398661220611</v>
      </c>
      <c r="O110" t="s">
        <v>891</v>
      </c>
      <c r="Q110" t="s">
        <v>842</v>
      </c>
    </row>
    <row r="111" spans="2:17">
      <c r="B111" t="s">
        <v>894</v>
      </c>
      <c r="C111" t="s">
        <v>658</v>
      </c>
      <c r="D111">
        <v>7.4644617029617097E-5</v>
      </c>
      <c r="E111" t="s">
        <v>890</v>
      </c>
      <c r="H111" t="s">
        <v>588</v>
      </c>
      <c r="I111">
        <v>7.4644617029617097E-5</v>
      </c>
      <c r="J111">
        <v>1.8822267774802921</v>
      </c>
      <c r="O111" t="s">
        <v>891</v>
      </c>
      <c r="Q111" t="s">
        <v>842</v>
      </c>
    </row>
    <row r="112" spans="2:17">
      <c r="B112" t="s">
        <v>895</v>
      </c>
      <c r="C112" t="s">
        <v>883</v>
      </c>
      <c r="D112">
        <v>0.60981561822591901</v>
      </c>
      <c r="E112" t="s">
        <v>890</v>
      </c>
      <c r="H112" t="s">
        <v>588</v>
      </c>
      <c r="I112">
        <v>0.60981561822591901</v>
      </c>
      <c r="J112">
        <v>2.2394398661220611</v>
      </c>
      <c r="O112" t="s">
        <v>891</v>
      </c>
      <c r="Q112" t="s">
        <v>842</v>
      </c>
    </row>
    <row r="113" spans="2:17">
      <c r="B113" t="s">
        <v>895</v>
      </c>
      <c r="C113" t="s">
        <v>658</v>
      </c>
      <c r="D113">
        <v>8.3909109857381202E-4</v>
      </c>
      <c r="E113" t="s">
        <v>890</v>
      </c>
      <c r="H113" t="s">
        <v>588</v>
      </c>
      <c r="I113">
        <v>8.3909109857381202E-4</v>
      </c>
      <c r="J113">
        <v>1.8822267774802921</v>
      </c>
      <c r="O113" t="s">
        <v>891</v>
      </c>
      <c r="Q113" t="s">
        <v>842</v>
      </c>
    </row>
    <row r="114" spans="2:17">
      <c r="B114" t="s">
        <v>895</v>
      </c>
      <c r="C114" t="s">
        <v>881</v>
      </c>
      <c r="D114">
        <v>3.1104763876900702E-3</v>
      </c>
      <c r="E114" t="s">
        <v>890</v>
      </c>
      <c r="H114" t="s">
        <v>588</v>
      </c>
      <c r="I114">
        <v>3.1104763876900702E-3</v>
      </c>
      <c r="J114">
        <v>2.2394398661220611</v>
      </c>
      <c r="O114" t="s">
        <v>891</v>
      </c>
      <c r="Q114" t="s">
        <v>842</v>
      </c>
    </row>
    <row r="115" spans="2:17">
      <c r="B115" t="s">
        <v>896</v>
      </c>
      <c r="C115" t="s">
        <v>658</v>
      </c>
      <c r="D115">
        <v>7.6482286759437299</v>
      </c>
      <c r="E115" t="s">
        <v>890</v>
      </c>
      <c r="H115" t="s">
        <v>588</v>
      </c>
      <c r="I115">
        <v>7.6482286759437299</v>
      </c>
      <c r="J115">
        <v>1.8822267774802921</v>
      </c>
      <c r="O115" t="s">
        <v>891</v>
      </c>
      <c r="Q115" t="s">
        <v>842</v>
      </c>
    </row>
    <row r="116" spans="2:17">
      <c r="B116" t="s">
        <v>897</v>
      </c>
      <c r="C116" t="s">
        <v>658</v>
      </c>
      <c r="D116">
        <v>8.6796909035196503E-6</v>
      </c>
      <c r="E116" t="s">
        <v>94</v>
      </c>
      <c r="H116" t="s">
        <v>588</v>
      </c>
      <c r="I116">
        <v>8.6796909035196503E-6</v>
      </c>
      <c r="J116">
        <v>1.615400885732484</v>
      </c>
      <c r="O116" t="s">
        <v>873</v>
      </c>
      <c r="Q116" t="s">
        <v>842</v>
      </c>
    </row>
    <row r="117" spans="2:17">
      <c r="B117" t="s">
        <v>774</v>
      </c>
      <c r="C117" t="s">
        <v>883</v>
      </c>
      <c r="D117">
        <v>0.41208079684864601</v>
      </c>
      <c r="E117" t="s">
        <v>94</v>
      </c>
      <c r="H117" t="s">
        <v>588</v>
      </c>
      <c r="I117">
        <v>0.41208079684864601</v>
      </c>
      <c r="J117">
        <v>1.2775561233185384</v>
      </c>
      <c r="O117" t="s">
        <v>882</v>
      </c>
      <c r="Q117" t="s">
        <v>842</v>
      </c>
    </row>
    <row r="118" spans="2:17">
      <c r="B118" t="s">
        <v>774</v>
      </c>
      <c r="C118" t="s">
        <v>881</v>
      </c>
      <c r="D118">
        <v>2.5557713706792997E-4</v>
      </c>
      <c r="E118" t="s">
        <v>94</v>
      </c>
      <c r="H118" t="s">
        <v>588</v>
      </c>
      <c r="I118">
        <v>2.5557713706792997E-4</v>
      </c>
      <c r="J118">
        <v>1.2505791921887124</v>
      </c>
      <c r="O118" t="s">
        <v>882</v>
      </c>
      <c r="Q118" t="s">
        <v>842</v>
      </c>
    </row>
    <row r="119" spans="2:17">
      <c r="B119" t="s">
        <v>898</v>
      </c>
      <c r="C119" t="s">
        <v>883</v>
      </c>
      <c r="D119">
        <v>3.28678209383449E-4</v>
      </c>
      <c r="E119" t="s">
        <v>890</v>
      </c>
      <c r="H119" t="s">
        <v>588</v>
      </c>
      <c r="I119">
        <v>3.28678209383449E-4</v>
      </c>
      <c r="J119">
        <v>2.2394398661220611</v>
      </c>
      <c r="O119" t="s">
        <v>891</v>
      </c>
      <c r="Q119" t="s">
        <v>842</v>
      </c>
    </row>
    <row r="120" spans="2:17">
      <c r="B120" t="s">
        <v>898</v>
      </c>
      <c r="C120" t="s">
        <v>881</v>
      </c>
      <c r="D120">
        <v>3.39979941780741E-5</v>
      </c>
      <c r="E120" t="s">
        <v>890</v>
      </c>
      <c r="H120" t="s">
        <v>588</v>
      </c>
      <c r="I120">
        <v>3.39979941780741E-5</v>
      </c>
      <c r="J120">
        <v>2.2394398661220611</v>
      </c>
      <c r="O120" t="s">
        <v>891</v>
      </c>
      <c r="Q120" t="s">
        <v>842</v>
      </c>
    </row>
    <row r="121" spans="2:17">
      <c r="B121" t="s">
        <v>898</v>
      </c>
      <c r="C121" t="s">
        <v>658</v>
      </c>
      <c r="D121">
        <v>1.8632182397740301E-5</v>
      </c>
      <c r="E121" t="s">
        <v>890</v>
      </c>
      <c r="H121" t="s">
        <v>588</v>
      </c>
      <c r="I121">
        <v>1.8632182397740301E-5</v>
      </c>
      <c r="J121">
        <v>1.8822267774802921</v>
      </c>
      <c r="O121" t="s">
        <v>891</v>
      </c>
      <c r="Q121" t="s">
        <v>842</v>
      </c>
    </row>
    <row r="122" spans="2:17">
      <c r="B122" t="s">
        <v>899</v>
      </c>
      <c r="C122" t="s">
        <v>883</v>
      </c>
      <c r="D122">
        <v>0.27786643101733999</v>
      </c>
      <c r="E122" t="s">
        <v>890</v>
      </c>
      <c r="H122" t="s">
        <v>588</v>
      </c>
      <c r="I122">
        <v>0.27786643101733999</v>
      </c>
      <c r="J122">
        <v>2.2394398661220611</v>
      </c>
      <c r="O122" t="s">
        <v>891</v>
      </c>
      <c r="Q122" t="s">
        <v>842</v>
      </c>
    </row>
    <row r="123" spans="2:17">
      <c r="B123" t="s">
        <v>899</v>
      </c>
      <c r="C123" t="s">
        <v>658</v>
      </c>
      <c r="D123">
        <v>6.5103096301657E-5</v>
      </c>
      <c r="E123" t="s">
        <v>890</v>
      </c>
      <c r="H123" t="s">
        <v>588</v>
      </c>
      <c r="I123">
        <v>6.5103096301657E-5</v>
      </c>
      <c r="J123">
        <v>1.8822267774802921</v>
      </c>
      <c r="O123" t="s">
        <v>891</v>
      </c>
      <c r="Q123" t="s">
        <v>842</v>
      </c>
    </row>
    <row r="124" spans="2:17">
      <c r="B124" t="s">
        <v>899</v>
      </c>
      <c r="C124" t="s">
        <v>881</v>
      </c>
      <c r="D124">
        <v>1.4226741073627501E-3</v>
      </c>
      <c r="E124" t="s">
        <v>890</v>
      </c>
      <c r="H124" t="s">
        <v>588</v>
      </c>
      <c r="I124">
        <v>1.4226741073627501E-3</v>
      </c>
      <c r="J124">
        <v>2.2394398661220611</v>
      </c>
      <c r="O124" t="s">
        <v>891</v>
      </c>
      <c r="Q124" t="s">
        <v>842</v>
      </c>
    </row>
    <row r="125" spans="2:17">
      <c r="B125" t="s">
        <v>786</v>
      </c>
      <c r="C125" t="s">
        <v>787</v>
      </c>
      <c r="D125">
        <v>0.67514505081507503</v>
      </c>
      <c r="E125" t="s">
        <v>94</v>
      </c>
      <c r="H125" t="s">
        <v>588</v>
      </c>
      <c r="I125">
        <v>0.67514505081507503</v>
      </c>
      <c r="J125">
        <v>1.0247973619913604</v>
      </c>
      <c r="N125" t="s">
        <v>788</v>
      </c>
      <c r="O125" t="s">
        <v>841</v>
      </c>
    </row>
    <row r="126" spans="2:17">
      <c r="B126" t="s">
        <v>251</v>
      </c>
      <c r="C126" t="s">
        <v>654</v>
      </c>
      <c r="D126">
        <v>0.136515037407693</v>
      </c>
      <c r="E126" t="s">
        <v>640</v>
      </c>
      <c r="H126" t="s">
        <v>588</v>
      </c>
      <c r="I126">
        <v>0.136515037407693</v>
      </c>
      <c r="J126">
        <v>1.2214027581601699</v>
      </c>
      <c r="O126" t="s">
        <v>841</v>
      </c>
      <c r="Q126" t="s">
        <v>842</v>
      </c>
    </row>
    <row r="127" spans="2:17">
      <c r="B127" t="s">
        <v>789</v>
      </c>
      <c r="C127" t="s">
        <v>712</v>
      </c>
      <c r="D127">
        <v>0.21639733527837199</v>
      </c>
      <c r="E127" t="s">
        <v>640</v>
      </c>
      <c r="H127" t="s">
        <v>588</v>
      </c>
      <c r="I127">
        <v>0.21639733527837199</v>
      </c>
      <c r="J127">
        <v>1.2214027581601699</v>
      </c>
      <c r="O127" t="s">
        <v>841</v>
      </c>
      <c r="Q127" t="s">
        <v>842</v>
      </c>
    </row>
    <row r="128" spans="2:17">
      <c r="B128" t="s">
        <v>792</v>
      </c>
      <c r="C128" t="s">
        <v>883</v>
      </c>
      <c r="D128">
        <v>8.2162121071089396E-6</v>
      </c>
      <c r="E128" t="s">
        <v>94</v>
      </c>
      <c r="H128" t="s">
        <v>588</v>
      </c>
      <c r="I128">
        <v>8.2162121071089396E-6</v>
      </c>
      <c r="J128">
        <v>2.2671766190151423</v>
      </c>
      <c r="O128" t="s">
        <v>882</v>
      </c>
      <c r="Q128" t="s">
        <v>842</v>
      </c>
    </row>
    <row r="129" spans="2:17">
      <c r="B129" t="s">
        <v>792</v>
      </c>
      <c r="C129" t="s">
        <v>881</v>
      </c>
      <c r="D129">
        <v>1.8726139639348399E-9</v>
      </c>
      <c r="E129" t="s">
        <v>94</v>
      </c>
      <c r="H129" t="s">
        <v>588</v>
      </c>
      <c r="I129">
        <v>1.8726139639348399E-9</v>
      </c>
      <c r="J129">
        <v>2.2533180987712971</v>
      </c>
      <c r="O129" t="s">
        <v>882</v>
      </c>
      <c r="Q129" t="s">
        <v>842</v>
      </c>
    </row>
    <row r="130" spans="2:17">
      <c r="B130" s="1043" t="s">
        <v>5218</v>
      </c>
      <c r="C130" s="1043"/>
      <c r="D130" s="1043"/>
      <c r="E130" s="1043"/>
      <c r="F130" s="1043"/>
      <c r="G130" s="444"/>
    </row>
    <row r="131" spans="2:17">
      <c r="B131" s="430" t="s">
        <v>839</v>
      </c>
      <c r="C131" s="430">
        <f>SUMIFS($D$9:$D$70,$B$9:$B$70,B131)</f>
        <v>1.8401509843643971E-2</v>
      </c>
      <c r="D131" s="431"/>
      <c r="E131" s="433"/>
      <c r="F131" s="433"/>
    </row>
    <row r="132" spans="2:17">
      <c r="B132" s="430" t="s">
        <v>596</v>
      </c>
      <c r="C132" s="430">
        <f t="shared" ref="C132:C134" si="0">SUMIFS($D$9:$D$70,$B$9:$B$70,B132)</f>
        <v>0.24512886276883394</v>
      </c>
      <c r="D132" s="431" t="s">
        <v>598</v>
      </c>
      <c r="E132" s="432" t="e">
        <f>'FE - Aluminum'!#REF!*'FE - Aluminum'!#REF!/3.6</f>
        <v>#REF!</v>
      </c>
      <c r="F132" s="433" t="s">
        <v>5206</v>
      </c>
    </row>
    <row r="133" spans="2:17">
      <c r="B133" s="430" t="s">
        <v>845</v>
      </c>
      <c r="C133" s="430">
        <f t="shared" si="0"/>
        <v>7.7003831236282902</v>
      </c>
      <c r="D133" s="431" t="s">
        <v>607</v>
      </c>
      <c r="E133" s="433" t="e">
        <f>'FE - Aluminum'!#REF!*'FE - Aluminum'!#REF!</f>
        <v>#REF!</v>
      </c>
      <c r="F133" s="433" t="s">
        <v>5209</v>
      </c>
    </row>
    <row r="134" spans="2:17">
      <c r="B134" s="430" t="s">
        <v>605</v>
      </c>
      <c r="C134" s="430">
        <f t="shared" si="0"/>
        <v>1.3085618380021899</v>
      </c>
      <c r="D134" s="431" t="s">
        <v>607</v>
      </c>
      <c r="E134" s="432" t="e">
        <f>'FE - Aluminum'!#REF!-'Fluosilic Acid Production'!E133-'Fluosilic Acid Production'!E132*3.6</f>
        <v>#REF!</v>
      </c>
      <c r="F134" s="433" t="s">
        <v>5208</v>
      </c>
    </row>
    <row r="136" spans="2:17">
      <c r="B136" s="430" t="s">
        <v>127</v>
      </c>
      <c r="C136" s="430">
        <f>C134+C133+3.6*C132+3.6*C131</f>
        <v>9.9576543030353992</v>
      </c>
      <c r="D136" s="431" t="s">
        <v>607</v>
      </c>
      <c r="E136" s="433" t="e">
        <f>E134+E133+3.6*E132</f>
        <v>#REF!</v>
      </c>
      <c r="F136" s="433" t="s">
        <v>127</v>
      </c>
    </row>
  </sheetData>
  <mergeCells count="1">
    <mergeCell ref="B130:F13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8316E-72A7-49BD-A28F-8BB82948174C}">
  <sheetPr>
    <tabColor rgb="FF0070C0"/>
  </sheetPr>
  <dimension ref="A1:Q29"/>
  <sheetViews>
    <sheetView topLeftCell="A6" workbookViewId="0">
      <selection activeCell="H29" sqref="H29"/>
    </sheetView>
  </sheetViews>
  <sheetFormatPr defaultRowHeight="14.4"/>
  <cols>
    <col min="2" max="2" width="31.21875" customWidth="1"/>
    <col min="6" max="6" width="19.33203125" customWidth="1"/>
  </cols>
  <sheetData>
    <row r="1" spans="1:17">
      <c r="A1" s="424" t="s">
        <v>564</v>
      </c>
    </row>
    <row r="2" spans="1:17">
      <c r="A2" s="423" t="s">
        <v>565</v>
      </c>
      <c r="B2" t="s">
        <v>900</v>
      </c>
    </row>
    <row r="3" spans="1:17">
      <c r="A3" s="423" t="s">
        <v>567</v>
      </c>
      <c r="B3" t="s">
        <v>901</v>
      </c>
    </row>
    <row r="4" spans="1:17">
      <c r="A4" s="423" t="s">
        <v>568</v>
      </c>
      <c r="B4" t="s">
        <v>673</v>
      </c>
    </row>
    <row r="5" spans="1:17">
      <c r="A5" s="423" t="s">
        <v>585</v>
      </c>
      <c r="B5" t="s">
        <v>902</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903</v>
      </c>
      <c r="C9" t="s">
        <v>615</v>
      </c>
      <c r="D9">
        <v>4.0000000000000001E-10</v>
      </c>
      <c r="E9" t="s">
        <v>616</v>
      </c>
      <c r="H9" t="s">
        <v>588</v>
      </c>
      <c r="I9">
        <v>4.0000000000000001E-10</v>
      </c>
      <c r="J9">
        <v>1.7293101253499219</v>
      </c>
      <c r="N9" t="s">
        <v>904</v>
      </c>
      <c r="O9" t="s">
        <v>905</v>
      </c>
      <c r="Q9" t="s">
        <v>906</v>
      </c>
    </row>
    <row r="10" spans="1:17">
      <c r="B10" t="s">
        <v>596</v>
      </c>
      <c r="C10" t="s">
        <v>597</v>
      </c>
      <c r="D10">
        <v>0.14754498244719999</v>
      </c>
      <c r="E10" t="s">
        <v>598</v>
      </c>
      <c r="H10" t="s">
        <v>588</v>
      </c>
      <c r="I10">
        <v>0.14754498244719999</v>
      </c>
      <c r="J10">
        <v>1.0247973619913604</v>
      </c>
      <c r="N10" t="s">
        <v>599</v>
      </c>
      <c r="O10" t="s">
        <v>873</v>
      </c>
      <c r="Q10" t="s">
        <v>907</v>
      </c>
    </row>
    <row r="11" spans="1:17">
      <c r="B11" t="s">
        <v>596</v>
      </c>
      <c r="C11" t="s">
        <v>597</v>
      </c>
      <c r="D11">
        <v>3.1512971883947698E-3</v>
      </c>
      <c r="E11" t="s">
        <v>598</v>
      </c>
      <c r="H11" t="s">
        <v>588</v>
      </c>
      <c r="I11">
        <v>3.1512971883947698E-3</v>
      </c>
      <c r="J11">
        <v>1.0247973619913604</v>
      </c>
      <c r="N11" t="s">
        <v>797</v>
      </c>
      <c r="O11" t="s">
        <v>873</v>
      </c>
      <c r="Q11" t="s">
        <v>907</v>
      </c>
    </row>
    <row r="12" spans="1:17">
      <c r="B12" t="s">
        <v>596</v>
      </c>
      <c r="C12" t="s">
        <v>597</v>
      </c>
      <c r="D12">
        <v>6.0428318394268395E-4</v>
      </c>
      <c r="E12" t="s">
        <v>598</v>
      </c>
      <c r="H12" t="s">
        <v>588</v>
      </c>
      <c r="I12">
        <v>6.0428318394268395E-4</v>
      </c>
      <c r="J12">
        <v>1.0247973619913604</v>
      </c>
      <c r="N12" t="s">
        <v>797</v>
      </c>
      <c r="O12" t="s">
        <v>873</v>
      </c>
      <c r="Q12" t="s">
        <v>907</v>
      </c>
    </row>
    <row r="13" spans="1:17">
      <c r="B13" t="s">
        <v>596</v>
      </c>
      <c r="C13" t="s">
        <v>597</v>
      </c>
      <c r="D13">
        <v>2.0796536430259902E-2</v>
      </c>
      <c r="E13" t="s">
        <v>598</v>
      </c>
      <c r="H13" t="s">
        <v>588</v>
      </c>
      <c r="I13">
        <v>2.0796536430259902E-2</v>
      </c>
      <c r="J13">
        <v>1.0247973619913604</v>
      </c>
      <c r="N13" t="s">
        <v>599</v>
      </c>
      <c r="O13" t="s">
        <v>873</v>
      </c>
      <c r="Q13" t="s">
        <v>907</v>
      </c>
    </row>
    <row r="14" spans="1:17">
      <c r="B14" t="s">
        <v>596</v>
      </c>
      <c r="C14" t="s">
        <v>597</v>
      </c>
      <c r="D14">
        <v>1.0144658338079499E-2</v>
      </c>
      <c r="E14" t="s">
        <v>598</v>
      </c>
      <c r="H14" t="s">
        <v>588</v>
      </c>
      <c r="I14">
        <v>1.0144658338079499E-2</v>
      </c>
      <c r="J14">
        <v>1.0247973619913604</v>
      </c>
      <c r="N14" t="s">
        <v>599</v>
      </c>
      <c r="O14" t="s">
        <v>873</v>
      </c>
      <c r="Q14" t="s">
        <v>907</v>
      </c>
    </row>
    <row r="15" spans="1:17">
      <c r="B15" t="s">
        <v>596</v>
      </c>
      <c r="C15" t="s">
        <v>597</v>
      </c>
      <c r="D15">
        <v>6.7758242412122999E-2</v>
      </c>
      <c r="E15" t="s">
        <v>598</v>
      </c>
      <c r="H15" t="s">
        <v>588</v>
      </c>
      <c r="I15">
        <v>6.7758242412122999E-2</v>
      </c>
      <c r="J15">
        <v>1.0247973619913604</v>
      </c>
      <c r="N15" t="s">
        <v>599</v>
      </c>
      <c r="O15" t="s">
        <v>873</v>
      </c>
      <c r="Q15" t="s">
        <v>907</v>
      </c>
    </row>
    <row r="16" spans="1:17">
      <c r="B16" t="s">
        <v>908</v>
      </c>
      <c r="C16" t="s">
        <v>667</v>
      </c>
      <c r="D16">
        <v>2.0529999999999999</v>
      </c>
      <c r="E16" t="s">
        <v>94</v>
      </c>
      <c r="H16" t="s">
        <v>588</v>
      </c>
      <c r="I16">
        <v>2.0529999999999999</v>
      </c>
      <c r="J16">
        <v>1</v>
      </c>
      <c r="N16" t="s">
        <v>909</v>
      </c>
      <c r="O16" t="s">
        <v>910</v>
      </c>
      <c r="Q16" t="s">
        <v>911</v>
      </c>
    </row>
    <row r="17" spans="1:17">
      <c r="B17" t="s">
        <v>845</v>
      </c>
      <c r="C17" t="s">
        <v>597</v>
      </c>
      <c r="D17">
        <v>6.8937527552032396</v>
      </c>
      <c r="E17" t="s">
        <v>607</v>
      </c>
      <c r="H17" t="s">
        <v>588</v>
      </c>
      <c r="I17">
        <v>6.8937527552032396</v>
      </c>
      <c r="J17">
        <v>1.0247973619913604</v>
      </c>
      <c r="N17" t="s">
        <v>846</v>
      </c>
      <c r="O17" t="s">
        <v>873</v>
      </c>
      <c r="Q17" t="s">
        <v>907</v>
      </c>
    </row>
    <row r="18" spans="1:17">
      <c r="B18" t="s">
        <v>845</v>
      </c>
      <c r="C18" t="s">
        <v>597</v>
      </c>
      <c r="D18">
        <v>0.10624724479676401</v>
      </c>
      <c r="E18" t="s">
        <v>607</v>
      </c>
      <c r="H18" t="s">
        <v>588</v>
      </c>
      <c r="I18">
        <v>0.10624724479676401</v>
      </c>
      <c r="J18">
        <v>1.0247973619913604</v>
      </c>
      <c r="N18" t="s">
        <v>846</v>
      </c>
      <c r="O18" t="s">
        <v>873</v>
      </c>
      <c r="Q18" t="s">
        <v>907</v>
      </c>
    </row>
    <row r="19" spans="1:17">
      <c r="B19" t="s">
        <v>865</v>
      </c>
      <c r="C19" t="s">
        <v>809</v>
      </c>
      <c r="D19">
        <v>2.5</v>
      </c>
      <c r="E19" t="s">
        <v>94</v>
      </c>
      <c r="H19" t="s">
        <v>588</v>
      </c>
      <c r="I19">
        <v>2.5</v>
      </c>
      <c r="J19">
        <v>1.0247973619913604</v>
      </c>
      <c r="N19" t="s">
        <v>866</v>
      </c>
      <c r="O19" t="s">
        <v>873</v>
      </c>
      <c r="Q19" t="s">
        <v>907</v>
      </c>
    </row>
    <row r="21" spans="1:17">
      <c r="A21" t="s">
        <v>710</v>
      </c>
    </row>
    <row r="22" spans="1:17">
      <c r="A22" s="424" t="s">
        <v>570</v>
      </c>
      <c r="B22" s="424" t="s">
        <v>571</v>
      </c>
      <c r="C22" s="424" t="s">
        <v>568</v>
      </c>
      <c r="D22" s="424" t="s">
        <v>572</v>
      </c>
      <c r="E22" s="424" t="s">
        <v>573</v>
      </c>
      <c r="F22" s="424" t="s">
        <v>574</v>
      </c>
      <c r="G22" s="424" t="s">
        <v>575</v>
      </c>
      <c r="H22" s="424" t="s">
        <v>576</v>
      </c>
      <c r="I22" s="424" t="s">
        <v>577</v>
      </c>
      <c r="J22" s="424" t="s">
        <v>578</v>
      </c>
      <c r="K22" s="424" t="s">
        <v>579</v>
      </c>
      <c r="L22" s="424" t="s">
        <v>580</v>
      </c>
      <c r="M22" s="424" t="s">
        <v>581</v>
      </c>
      <c r="N22" s="424" t="s">
        <v>582</v>
      </c>
      <c r="O22" s="424" t="s">
        <v>583</v>
      </c>
      <c r="P22" s="424" t="s">
        <v>584</v>
      </c>
      <c r="Q22" s="424" t="s">
        <v>585</v>
      </c>
    </row>
    <row r="23" spans="1:17">
      <c r="A23" s="424" t="s">
        <v>645</v>
      </c>
      <c r="B23" s="424" t="s">
        <v>912</v>
      </c>
      <c r="C23" s="424" t="s">
        <v>569</v>
      </c>
      <c r="D23" s="424">
        <v>1</v>
      </c>
      <c r="E23" s="424" t="s">
        <v>94</v>
      </c>
      <c r="F23" s="424">
        <v>2</v>
      </c>
      <c r="G23" s="424" t="s">
        <v>647</v>
      </c>
      <c r="M23" s="424"/>
      <c r="O23" s="424"/>
      <c r="P23" s="424"/>
      <c r="Q23" s="424" t="s">
        <v>913</v>
      </c>
    </row>
    <row r="24" spans="1:17">
      <c r="B24" t="s">
        <v>776</v>
      </c>
      <c r="C24" t="s">
        <v>654</v>
      </c>
      <c r="D24">
        <v>2.9999999999999997E-4</v>
      </c>
      <c r="E24" t="s">
        <v>94</v>
      </c>
      <c r="H24" t="s">
        <v>588</v>
      </c>
      <c r="I24">
        <v>2.9999999999999997E-4</v>
      </c>
      <c r="J24">
        <v>1.151909910168909</v>
      </c>
      <c r="O24" t="s">
        <v>914</v>
      </c>
      <c r="Q24" t="s">
        <v>915</v>
      </c>
    </row>
    <row r="25" spans="1:17">
      <c r="B25" s="1043" t="s">
        <v>5218</v>
      </c>
      <c r="C25" s="1043"/>
      <c r="D25" s="1043"/>
      <c r="E25" s="1043"/>
      <c r="F25" s="1043"/>
      <c r="G25" s="444"/>
    </row>
    <row r="26" spans="1:17">
      <c r="B26" s="430" t="s">
        <v>596</v>
      </c>
      <c r="C26" s="430">
        <f>SUMIFS($D$9:$D$19,$B$9:$B$19,B26)</f>
        <v>0.24999999999999983</v>
      </c>
      <c r="D26" s="431" t="s">
        <v>598</v>
      </c>
      <c r="E26" s="432" t="e">
        <f>'FE - Aluminum'!#REF!*'FE - Aluminum'!#REF!/3.6</f>
        <v>#REF!</v>
      </c>
      <c r="F26" s="433" t="s">
        <v>5206</v>
      </c>
    </row>
    <row r="27" spans="1:17">
      <c r="B27" s="430" t="s">
        <v>845</v>
      </c>
      <c r="C27" s="430">
        <f>SUMIFS($D$9:$D$19,$B$9:$B$19,B27)</f>
        <v>7.0000000000000036</v>
      </c>
      <c r="D27" s="431" t="s">
        <v>607</v>
      </c>
      <c r="E27" s="434" t="e">
        <f>'FE - Aluminum'!#REF!*'FE - Aluminum'!#REF!</f>
        <v>#REF!</v>
      </c>
      <c r="F27" s="433" t="s">
        <v>5207</v>
      </c>
    </row>
    <row r="29" spans="1:17">
      <c r="B29" s="430" t="s">
        <v>127</v>
      </c>
      <c r="C29" s="430">
        <f>C27+3.6*C26</f>
        <v>7.900000000000003</v>
      </c>
      <c r="D29" s="431" t="s">
        <v>607</v>
      </c>
      <c r="E29" s="433" t="e">
        <f>E27+3.6*E26</f>
        <v>#REF!</v>
      </c>
      <c r="F29" s="433" t="s">
        <v>127</v>
      </c>
    </row>
  </sheetData>
  <mergeCells count="1">
    <mergeCell ref="B25:F25"/>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0083D-32DE-44D2-B6B2-4DB4233172C7}">
  <sheetPr>
    <tabColor rgb="FF0070C0"/>
  </sheetPr>
  <dimension ref="A1:Q57"/>
  <sheetViews>
    <sheetView topLeftCell="A22" workbookViewId="0">
      <selection activeCell="H58" sqref="H58"/>
    </sheetView>
  </sheetViews>
  <sheetFormatPr defaultRowHeight="14.4"/>
  <cols>
    <col min="2" max="2" width="22.77734375" customWidth="1"/>
    <col min="6" max="6" width="10.5546875" customWidth="1"/>
  </cols>
  <sheetData>
    <row r="1" spans="1:17">
      <c r="A1" s="424" t="s">
        <v>564</v>
      </c>
    </row>
    <row r="2" spans="1:17">
      <c r="A2" s="423" t="s">
        <v>565</v>
      </c>
      <c r="B2" t="s">
        <v>916</v>
      </c>
    </row>
    <row r="3" spans="1:17">
      <c r="A3" s="423" t="s">
        <v>567</v>
      </c>
      <c r="B3" t="s">
        <v>917</v>
      </c>
    </row>
    <row r="4" spans="1:17">
      <c r="A4" s="423" t="s">
        <v>568</v>
      </c>
      <c r="B4" t="s">
        <v>673</v>
      </c>
    </row>
    <row r="5" spans="1:17">
      <c r="A5" s="423" t="s">
        <v>585</v>
      </c>
      <c r="B5" t="s">
        <v>918</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919</v>
      </c>
      <c r="C9" t="s">
        <v>569</v>
      </c>
      <c r="D9">
        <v>1.54791896322641E-3</v>
      </c>
      <c r="E9" t="s">
        <v>94</v>
      </c>
      <c r="H9" t="s">
        <v>588</v>
      </c>
      <c r="I9">
        <v>1.54791896322641E-3</v>
      </c>
      <c r="J9">
        <v>1.1051709180756477</v>
      </c>
      <c r="N9" t="s">
        <v>920</v>
      </c>
      <c r="O9" t="s">
        <v>921</v>
      </c>
      <c r="Q9" t="s">
        <v>922</v>
      </c>
    </row>
    <row r="10" spans="1:17">
      <c r="B10" t="s">
        <v>923</v>
      </c>
      <c r="C10" t="s">
        <v>673</v>
      </c>
      <c r="D10">
        <v>7.8722735844085692E-3</v>
      </c>
      <c r="E10" t="s">
        <v>94</v>
      </c>
      <c r="H10" t="s">
        <v>588</v>
      </c>
      <c r="I10">
        <v>7.8722735844085692E-3</v>
      </c>
      <c r="J10">
        <v>1.1051709180756477</v>
      </c>
      <c r="N10" t="s">
        <v>924</v>
      </c>
      <c r="O10" t="s">
        <v>921</v>
      </c>
      <c r="Q10" t="s">
        <v>922</v>
      </c>
    </row>
    <row r="11" spans="1:17">
      <c r="B11" t="s">
        <v>925</v>
      </c>
      <c r="C11" t="s">
        <v>673</v>
      </c>
      <c r="D11">
        <v>4.4226256092182997E-6</v>
      </c>
      <c r="E11" t="s">
        <v>94</v>
      </c>
      <c r="H11" t="s">
        <v>588</v>
      </c>
      <c r="I11">
        <v>4.4226256092182997E-6</v>
      </c>
      <c r="J11">
        <v>1.1051709180756477</v>
      </c>
      <c r="N11" t="s">
        <v>926</v>
      </c>
      <c r="O11" t="s">
        <v>921</v>
      </c>
      <c r="Q11" t="s">
        <v>922</v>
      </c>
    </row>
    <row r="12" spans="1:17">
      <c r="B12" t="s">
        <v>903</v>
      </c>
      <c r="C12" t="s">
        <v>615</v>
      </c>
      <c r="D12">
        <v>1.76905024368732E-10</v>
      </c>
      <c r="E12" t="s">
        <v>616</v>
      </c>
      <c r="H12" t="s">
        <v>588</v>
      </c>
      <c r="I12">
        <v>1.76905024368732E-10</v>
      </c>
      <c r="J12">
        <v>1.7293101253499219</v>
      </c>
      <c r="N12" t="s">
        <v>904</v>
      </c>
      <c r="O12" t="s">
        <v>927</v>
      </c>
      <c r="Q12" t="s">
        <v>906</v>
      </c>
    </row>
    <row r="13" spans="1:17">
      <c r="B13" t="s">
        <v>596</v>
      </c>
      <c r="C13" t="s">
        <v>597</v>
      </c>
      <c r="D13">
        <v>0.78386927540682005</v>
      </c>
      <c r="E13" t="s">
        <v>598</v>
      </c>
      <c r="H13" t="s">
        <v>588</v>
      </c>
      <c r="I13">
        <v>0.78386927540682005</v>
      </c>
      <c r="J13">
        <v>1.1051709180756477</v>
      </c>
      <c r="N13" t="s">
        <v>599</v>
      </c>
      <c r="O13" t="s">
        <v>921</v>
      </c>
      <c r="Q13" t="s">
        <v>922</v>
      </c>
    </row>
    <row r="14" spans="1:17">
      <c r="B14" t="s">
        <v>596</v>
      </c>
      <c r="C14" t="s">
        <v>597</v>
      </c>
      <c r="D14">
        <v>3.21040413358134E-3</v>
      </c>
      <c r="E14" t="s">
        <v>598</v>
      </c>
      <c r="H14" t="s">
        <v>588</v>
      </c>
      <c r="I14">
        <v>3.21040413358134E-3</v>
      </c>
      <c r="J14">
        <v>1.1051709180756477</v>
      </c>
      <c r="N14" t="s">
        <v>797</v>
      </c>
      <c r="O14" t="s">
        <v>921</v>
      </c>
      <c r="Q14" t="s">
        <v>922</v>
      </c>
    </row>
    <row r="15" spans="1:17">
      <c r="B15" t="s">
        <v>596</v>
      </c>
      <c r="C15" t="s">
        <v>597</v>
      </c>
      <c r="D15">
        <v>2.6170340968559601E-2</v>
      </c>
      <c r="E15" t="s">
        <v>598</v>
      </c>
      <c r="H15" t="s">
        <v>588</v>
      </c>
      <c r="I15">
        <v>2.6170340968559601E-2</v>
      </c>
      <c r="J15">
        <v>1.1051709180756477</v>
      </c>
      <c r="N15" t="s">
        <v>599</v>
      </c>
      <c r="O15" t="s">
        <v>921</v>
      </c>
      <c r="Q15" t="s">
        <v>922</v>
      </c>
    </row>
    <row r="16" spans="1:17">
      <c r="B16" t="s">
        <v>596</v>
      </c>
      <c r="C16" t="s">
        <v>597</v>
      </c>
      <c r="D16">
        <v>0.31914497505789902</v>
      </c>
      <c r="E16" t="s">
        <v>598</v>
      </c>
      <c r="H16" t="s">
        <v>588</v>
      </c>
      <c r="I16">
        <v>0.31914497505789902</v>
      </c>
      <c r="J16">
        <v>1.1051709180756477</v>
      </c>
      <c r="N16" t="s">
        <v>599</v>
      </c>
      <c r="O16" t="s">
        <v>921</v>
      </c>
      <c r="Q16" t="s">
        <v>922</v>
      </c>
    </row>
    <row r="17" spans="1:17">
      <c r="B17" t="s">
        <v>596</v>
      </c>
      <c r="C17" t="s">
        <v>597</v>
      </c>
      <c r="D17">
        <v>1.67420470875215E-2</v>
      </c>
      <c r="E17" t="s">
        <v>598</v>
      </c>
      <c r="H17" t="s">
        <v>588</v>
      </c>
      <c r="I17">
        <v>1.67420470875215E-2</v>
      </c>
      <c r="J17">
        <v>1.1051709180756477</v>
      </c>
      <c r="N17" t="s">
        <v>797</v>
      </c>
      <c r="O17" t="s">
        <v>921</v>
      </c>
      <c r="Q17" t="s">
        <v>922</v>
      </c>
    </row>
    <row r="18" spans="1:17">
      <c r="B18" t="s">
        <v>596</v>
      </c>
      <c r="C18" t="s">
        <v>597</v>
      </c>
      <c r="D18">
        <v>5.3896010889871303E-2</v>
      </c>
      <c r="E18" t="s">
        <v>598</v>
      </c>
      <c r="H18" t="s">
        <v>588</v>
      </c>
      <c r="I18">
        <v>5.3896010889871303E-2</v>
      </c>
      <c r="J18">
        <v>1.1051709180756477</v>
      </c>
      <c r="N18" t="s">
        <v>599</v>
      </c>
      <c r="O18" t="s">
        <v>921</v>
      </c>
      <c r="Q18" t="s">
        <v>922</v>
      </c>
    </row>
    <row r="19" spans="1:17">
      <c r="B19" t="s">
        <v>596</v>
      </c>
      <c r="C19" t="s">
        <v>597</v>
      </c>
      <c r="D19">
        <v>0.11048675239358299</v>
      </c>
      <c r="E19" t="s">
        <v>598</v>
      </c>
      <c r="H19" t="s">
        <v>588</v>
      </c>
      <c r="I19">
        <v>0.11048675239358299</v>
      </c>
      <c r="J19">
        <v>1.1051709180756477</v>
      </c>
      <c r="N19" t="s">
        <v>599</v>
      </c>
      <c r="O19" t="s">
        <v>921</v>
      </c>
      <c r="Q19" t="s">
        <v>922</v>
      </c>
    </row>
    <row r="20" spans="1:17">
      <c r="B20" t="s">
        <v>672</v>
      </c>
      <c r="C20" t="s">
        <v>673</v>
      </c>
      <c r="D20">
        <v>1.1056564023045799E-2</v>
      </c>
      <c r="E20" t="s">
        <v>94</v>
      </c>
      <c r="H20" t="s">
        <v>588</v>
      </c>
      <c r="I20">
        <v>1.1056564023045799E-2</v>
      </c>
      <c r="J20">
        <v>1.1051709180756477</v>
      </c>
      <c r="N20" t="s">
        <v>674</v>
      </c>
      <c r="O20" t="s">
        <v>921</v>
      </c>
      <c r="Q20" t="s">
        <v>922</v>
      </c>
    </row>
    <row r="21" spans="1:17">
      <c r="B21" t="s">
        <v>928</v>
      </c>
      <c r="C21" t="s">
        <v>673</v>
      </c>
      <c r="D21">
        <v>5.0860194506010502E-3</v>
      </c>
      <c r="E21" t="s">
        <v>94</v>
      </c>
      <c r="H21" t="s">
        <v>588</v>
      </c>
      <c r="I21">
        <v>5.0860194506010502E-3</v>
      </c>
      <c r="J21">
        <v>1.1051709180756477</v>
      </c>
      <c r="N21" t="s">
        <v>929</v>
      </c>
      <c r="O21" t="s">
        <v>921</v>
      </c>
      <c r="Q21" t="s">
        <v>922</v>
      </c>
    </row>
    <row r="22" spans="1:17">
      <c r="B22" t="s">
        <v>930</v>
      </c>
      <c r="C22" t="s">
        <v>569</v>
      </c>
      <c r="D22">
        <v>0.77395948161320205</v>
      </c>
      <c r="E22" t="s">
        <v>94</v>
      </c>
      <c r="H22" t="s">
        <v>588</v>
      </c>
      <c r="I22">
        <v>0.77395948161320205</v>
      </c>
      <c r="J22">
        <v>1.1051709180756477</v>
      </c>
      <c r="N22" t="s">
        <v>931</v>
      </c>
      <c r="O22" t="s">
        <v>921</v>
      </c>
      <c r="Q22" t="s">
        <v>922</v>
      </c>
    </row>
    <row r="23" spans="1:17">
      <c r="B23" t="s">
        <v>703</v>
      </c>
      <c r="C23" t="s">
        <v>673</v>
      </c>
      <c r="D23">
        <v>1.85750275587169E-2</v>
      </c>
      <c r="E23" t="s">
        <v>94</v>
      </c>
      <c r="H23" t="s">
        <v>588</v>
      </c>
      <c r="I23">
        <v>1.85750275587169E-2</v>
      </c>
      <c r="J23">
        <v>1.1051709180756477</v>
      </c>
      <c r="N23" t="s">
        <v>704</v>
      </c>
      <c r="O23" t="s">
        <v>921</v>
      </c>
      <c r="Q23" t="s">
        <v>922</v>
      </c>
    </row>
    <row r="24" spans="1:17">
      <c r="B24" t="s">
        <v>932</v>
      </c>
      <c r="C24" t="s">
        <v>673</v>
      </c>
      <c r="D24">
        <v>4.4226256092183002E-5</v>
      </c>
      <c r="E24" t="s">
        <v>94</v>
      </c>
      <c r="H24" t="s">
        <v>588</v>
      </c>
      <c r="I24">
        <v>4.4226256092183002E-5</v>
      </c>
      <c r="J24">
        <v>1.1051709180756477</v>
      </c>
      <c r="N24" t="s">
        <v>933</v>
      </c>
      <c r="O24" t="s">
        <v>921</v>
      </c>
      <c r="Q24" t="s">
        <v>922</v>
      </c>
    </row>
    <row r="25" spans="1:17">
      <c r="B25" t="s">
        <v>865</v>
      </c>
      <c r="C25" t="s">
        <v>809</v>
      </c>
      <c r="D25">
        <v>4.1307323190098904E-3</v>
      </c>
      <c r="E25" t="s">
        <v>94</v>
      </c>
      <c r="H25" t="s">
        <v>588</v>
      </c>
      <c r="I25">
        <v>4.1307323190098904E-3</v>
      </c>
      <c r="J25">
        <v>1.1051709180756477</v>
      </c>
      <c r="N25" t="s">
        <v>866</v>
      </c>
      <c r="O25" t="s">
        <v>921</v>
      </c>
      <c r="Q25" t="s">
        <v>934</v>
      </c>
    </row>
    <row r="26" spans="1:17">
      <c r="B26" t="s">
        <v>705</v>
      </c>
      <c r="C26" t="s">
        <v>639</v>
      </c>
      <c r="D26">
        <v>4.4226256092183003E-2</v>
      </c>
      <c r="E26" t="s">
        <v>640</v>
      </c>
      <c r="H26" t="s">
        <v>588</v>
      </c>
      <c r="I26">
        <v>4.4226256092183003E-2</v>
      </c>
      <c r="J26">
        <v>1.2214027581601699</v>
      </c>
      <c r="O26" t="s">
        <v>871</v>
      </c>
      <c r="Q26" t="s">
        <v>935</v>
      </c>
    </row>
    <row r="27" spans="1:17">
      <c r="B27" t="s">
        <v>706</v>
      </c>
      <c r="C27" t="s">
        <v>639</v>
      </c>
      <c r="D27">
        <v>8.4029886575147698E-4</v>
      </c>
      <c r="E27" t="s">
        <v>640</v>
      </c>
      <c r="H27" t="s">
        <v>588</v>
      </c>
      <c r="I27">
        <v>8.4029886575147698E-4</v>
      </c>
      <c r="J27">
        <v>1.1051709180756477</v>
      </c>
      <c r="O27" t="s">
        <v>921</v>
      </c>
      <c r="Q27" t="s">
        <v>922</v>
      </c>
    </row>
    <row r="29" spans="1:17">
      <c r="A29" t="s">
        <v>710</v>
      </c>
    </row>
    <row r="30" spans="1:17">
      <c r="A30" s="424" t="s">
        <v>570</v>
      </c>
      <c r="B30" s="424" t="s">
        <v>571</v>
      </c>
      <c r="C30" s="424" t="s">
        <v>568</v>
      </c>
      <c r="D30" s="424" t="s">
        <v>572</v>
      </c>
      <c r="E30" s="424" t="s">
        <v>573</v>
      </c>
      <c r="F30" s="424" t="s">
        <v>574</v>
      </c>
      <c r="G30" s="424" t="s">
        <v>575</v>
      </c>
      <c r="H30" s="424" t="s">
        <v>576</v>
      </c>
      <c r="I30" s="424" t="s">
        <v>577</v>
      </c>
      <c r="J30" s="424" t="s">
        <v>578</v>
      </c>
      <c r="K30" s="424" t="s">
        <v>579</v>
      </c>
      <c r="L30" s="424" t="s">
        <v>580</v>
      </c>
      <c r="M30" s="424" t="s">
        <v>581</v>
      </c>
      <c r="N30" s="424" t="s">
        <v>582</v>
      </c>
      <c r="O30" s="424" t="s">
        <v>583</v>
      </c>
      <c r="P30" s="424" t="s">
        <v>584</v>
      </c>
      <c r="Q30" s="424" t="s">
        <v>585</v>
      </c>
    </row>
    <row r="31" spans="1:17">
      <c r="B31" t="s">
        <v>722</v>
      </c>
      <c r="C31" t="s">
        <v>712</v>
      </c>
      <c r="D31">
        <v>1.3959804048032199E-7</v>
      </c>
      <c r="E31" t="s">
        <v>94</v>
      </c>
      <c r="H31" t="s">
        <v>588</v>
      </c>
      <c r="I31">
        <v>1.3959804048032199E-7</v>
      </c>
      <c r="J31">
        <v>1.2214027581601699</v>
      </c>
      <c r="O31" t="s">
        <v>873</v>
      </c>
      <c r="Q31" t="s">
        <v>936</v>
      </c>
    </row>
    <row r="32" spans="1:17">
      <c r="B32" t="s">
        <v>937</v>
      </c>
      <c r="C32" t="s">
        <v>661</v>
      </c>
      <c r="D32">
        <v>1.21622204253503E-4</v>
      </c>
      <c r="E32" t="s">
        <v>94</v>
      </c>
      <c r="H32" t="s">
        <v>588</v>
      </c>
      <c r="I32">
        <v>1.21622204253503E-4</v>
      </c>
      <c r="J32">
        <v>1.2775561233185384</v>
      </c>
      <c r="O32" t="s">
        <v>921</v>
      </c>
      <c r="Q32" t="s">
        <v>922</v>
      </c>
    </row>
    <row r="33" spans="1:17">
      <c r="B33" t="s">
        <v>726</v>
      </c>
      <c r="C33" t="s">
        <v>887</v>
      </c>
      <c r="D33">
        <v>1.3710139388576699E-3</v>
      </c>
      <c r="E33" t="s">
        <v>94</v>
      </c>
      <c r="H33" t="s">
        <v>588</v>
      </c>
      <c r="I33">
        <v>1.3710139388576699E-3</v>
      </c>
      <c r="J33">
        <v>1.1051709180756477</v>
      </c>
      <c r="O33" t="s">
        <v>921</v>
      </c>
      <c r="Q33" t="s">
        <v>922</v>
      </c>
    </row>
    <row r="34" spans="1:17">
      <c r="B34" t="s">
        <v>938</v>
      </c>
      <c r="C34" t="s">
        <v>661</v>
      </c>
      <c r="D34">
        <v>9.2875137793584301E-4</v>
      </c>
      <c r="E34" t="s">
        <v>94</v>
      </c>
      <c r="H34" t="s">
        <v>588</v>
      </c>
      <c r="I34">
        <v>9.2875137793584301E-4</v>
      </c>
      <c r="J34">
        <v>1.2775561233185384</v>
      </c>
      <c r="O34" t="s">
        <v>921</v>
      </c>
      <c r="Q34" t="s">
        <v>922</v>
      </c>
    </row>
    <row r="35" spans="1:17">
      <c r="B35" t="s">
        <v>729</v>
      </c>
      <c r="C35" t="s">
        <v>661</v>
      </c>
      <c r="D35">
        <v>6.6339384138274504E-3</v>
      </c>
      <c r="E35" t="s">
        <v>94</v>
      </c>
      <c r="H35" t="s">
        <v>588</v>
      </c>
      <c r="I35">
        <v>6.6339384138274504E-3</v>
      </c>
      <c r="J35">
        <v>1.2775561233185384</v>
      </c>
      <c r="O35" t="s">
        <v>921</v>
      </c>
      <c r="Q35" t="s">
        <v>922</v>
      </c>
    </row>
    <row r="36" spans="1:17">
      <c r="B36" t="s">
        <v>939</v>
      </c>
      <c r="C36" t="s">
        <v>661</v>
      </c>
      <c r="D36">
        <v>2.6535753655309801E-7</v>
      </c>
      <c r="E36" t="s">
        <v>94</v>
      </c>
      <c r="H36" t="s">
        <v>588</v>
      </c>
      <c r="I36">
        <v>2.6535753655309801E-7</v>
      </c>
      <c r="J36">
        <v>1.760654165524179</v>
      </c>
      <c r="O36" t="s">
        <v>921</v>
      </c>
      <c r="Q36" t="s">
        <v>922</v>
      </c>
    </row>
    <row r="37" spans="1:17">
      <c r="B37" t="s">
        <v>269</v>
      </c>
      <c r="C37" t="s">
        <v>887</v>
      </c>
      <c r="D37">
        <v>3.5381004873746399E-6</v>
      </c>
      <c r="E37" t="s">
        <v>94</v>
      </c>
      <c r="H37" t="s">
        <v>588</v>
      </c>
      <c r="I37">
        <v>3.5381004873746399E-6</v>
      </c>
      <c r="J37">
        <v>1.2775561233185384</v>
      </c>
      <c r="O37" t="s">
        <v>921</v>
      </c>
      <c r="Q37" t="s">
        <v>922</v>
      </c>
    </row>
    <row r="38" spans="1:17">
      <c r="B38" t="s">
        <v>734</v>
      </c>
      <c r="C38" t="s">
        <v>712</v>
      </c>
      <c r="D38">
        <v>1.3959804048032199E-7</v>
      </c>
      <c r="E38" t="s">
        <v>94</v>
      </c>
      <c r="H38" t="s">
        <v>588</v>
      </c>
      <c r="I38">
        <v>1.3959804048032199E-7</v>
      </c>
      <c r="J38">
        <v>1.2214027581601699</v>
      </c>
      <c r="O38" t="s">
        <v>873</v>
      </c>
      <c r="Q38" t="s">
        <v>936</v>
      </c>
    </row>
    <row r="39" spans="1:17">
      <c r="B39" t="s">
        <v>740</v>
      </c>
      <c r="C39" t="s">
        <v>712</v>
      </c>
      <c r="D39">
        <v>4.8471541833445098E-8</v>
      </c>
      <c r="E39" t="s">
        <v>94</v>
      </c>
      <c r="H39" t="s">
        <v>588</v>
      </c>
      <c r="I39">
        <v>4.8471541833445098E-8</v>
      </c>
      <c r="J39">
        <v>1.2214027581601699</v>
      </c>
      <c r="O39" t="s">
        <v>873</v>
      </c>
      <c r="Q39" t="s">
        <v>936</v>
      </c>
    </row>
    <row r="40" spans="1:17">
      <c r="B40" t="s">
        <v>940</v>
      </c>
      <c r="C40" t="s">
        <v>887</v>
      </c>
      <c r="D40">
        <v>2.4324440850700699E-4</v>
      </c>
      <c r="E40" t="s">
        <v>94</v>
      </c>
      <c r="H40" t="s">
        <v>588</v>
      </c>
      <c r="I40">
        <v>2.4324440850700699E-4</v>
      </c>
      <c r="J40">
        <v>1.2775561233185384</v>
      </c>
      <c r="O40" t="s">
        <v>921</v>
      </c>
      <c r="Q40" t="s">
        <v>922</v>
      </c>
    </row>
    <row r="41" spans="1:17">
      <c r="B41" t="s">
        <v>941</v>
      </c>
      <c r="C41" t="s">
        <v>887</v>
      </c>
      <c r="D41">
        <v>9.9509076207411809E-7</v>
      </c>
      <c r="E41" t="s">
        <v>94</v>
      </c>
      <c r="H41" t="s">
        <v>588</v>
      </c>
      <c r="I41">
        <v>9.9509076207411809E-7</v>
      </c>
      <c r="J41">
        <v>1.4537780777466462</v>
      </c>
      <c r="O41" t="s">
        <v>921</v>
      </c>
      <c r="Q41" t="s">
        <v>922</v>
      </c>
    </row>
    <row r="42" spans="1:17">
      <c r="B42" t="s">
        <v>942</v>
      </c>
      <c r="C42" t="s">
        <v>744</v>
      </c>
      <c r="D42">
        <v>6.7666171821040002E-3</v>
      </c>
      <c r="E42" t="s">
        <v>94</v>
      </c>
      <c r="H42" t="s">
        <v>588</v>
      </c>
      <c r="I42">
        <v>6.7666171821040002E-3</v>
      </c>
      <c r="J42">
        <v>1.1051709180756477</v>
      </c>
      <c r="N42" t="s">
        <v>943</v>
      </c>
      <c r="O42" t="s">
        <v>921</v>
      </c>
      <c r="Q42" t="s">
        <v>922</v>
      </c>
    </row>
    <row r="43" spans="1:17">
      <c r="A43" s="424" t="s">
        <v>645</v>
      </c>
      <c r="B43" s="424" t="s">
        <v>703</v>
      </c>
      <c r="C43" s="424" t="s">
        <v>673</v>
      </c>
      <c r="D43" s="424">
        <v>1</v>
      </c>
      <c r="E43" s="424" t="s">
        <v>94</v>
      </c>
      <c r="F43" s="424">
        <v>0.191</v>
      </c>
      <c r="G43" s="424" t="s">
        <v>647</v>
      </c>
      <c r="M43" s="424"/>
      <c r="O43" s="424"/>
      <c r="P43" s="424"/>
      <c r="Q43" s="424"/>
    </row>
    <row r="44" spans="1:17">
      <c r="B44" t="s">
        <v>774</v>
      </c>
      <c r="C44" t="s">
        <v>661</v>
      </c>
      <c r="D44">
        <v>3.4938742312824599E-3</v>
      </c>
      <c r="E44" t="s">
        <v>94</v>
      </c>
      <c r="H44" t="s">
        <v>588</v>
      </c>
      <c r="I44">
        <v>3.4938742312824599E-3</v>
      </c>
      <c r="J44">
        <v>1.2775561233185384</v>
      </c>
      <c r="O44" t="s">
        <v>921</v>
      </c>
      <c r="Q44" t="s">
        <v>922</v>
      </c>
    </row>
    <row r="45" spans="1:17">
      <c r="B45" t="s">
        <v>783</v>
      </c>
      <c r="C45" t="s">
        <v>712</v>
      </c>
      <c r="D45">
        <v>4.8471541833445098E-8</v>
      </c>
      <c r="E45" t="s">
        <v>94</v>
      </c>
      <c r="H45" t="s">
        <v>588</v>
      </c>
      <c r="I45">
        <v>4.8471541833445098E-8</v>
      </c>
      <c r="J45">
        <v>1.2214027581601699</v>
      </c>
      <c r="O45" t="s">
        <v>873</v>
      </c>
      <c r="Q45" t="s">
        <v>936</v>
      </c>
    </row>
    <row r="46" spans="1:17">
      <c r="B46" t="s">
        <v>944</v>
      </c>
      <c r="C46" t="s">
        <v>787</v>
      </c>
      <c r="D46">
        <v>7.6298056846012808E-6</v>
      </c>
      <c r="E46" t="s">
        <v>94</v>
      </c>
      <c r="H46" t="s">
        <v>588</v>
      </c>
      <c r="I46">
        <v>7.6298056846012808E-6</v>
      </c>
      <c r="J46">
        <v>1.1051709180756477</v>
      </c>
      <c r="N46" t="s">
        <v>945</v>
      </c>
      <c r="O46" t="s">
        <v>921</v>
      </c>
      <c r="Q46" t="s">
        <v>922</v>
      </c>
    </row>
    <row r="47" spans="1:17">
      <c r="B47" t="s">
        <v>944</v>
      </c>
      <c r="C47" t="s">
        <v>787</v>
      </c>
      <c r="D47">
        <v>7.8247747248938695E-5</v>
      </c>
      <c r="E47" t="s">
        <v>94</v>
      </c>
      <c r="H47" t="s">
        <v>588</v>
      </c>
      <c r="I47">
        <v>7.8247747248938695E-5</v>
      </c>
      <c r="J47">
        <v>1.1051709180756477</v>
      </c>
      <c r="N47" t="s">
        <v>945</v>
      </c>
      <c r="O47" t="s">
        <v>921</v>
      </c>
      <c r="Q47" t="s">
        <v>922</v>
      </c>
    </row>
    <row r="48" spans="1:17">
      <c r="B48" t="s">
        <v>944</v>
      </c>
      <c r="C48" t="s">
        <v>787</v>
      </c>
      <c r="D48">
        <v>2.1654751305411099E-5</v>
      </c>
      <c r="E48" t="s">
        <v>94</v>
      </c>
      <c r="H48" t="s">
        <v>588</v>
      </c>
      <c r="I48">
        <v>2.1654751305411099E-5</v>
      </c>
      <c r="J48">
        <v>1.1051709180756477</v>
      </c>
      <c r="N48" t="s">
        <v>945</v>
      </c>
      <c r="O48" t="s">
        <v>921</v>
      </c>
      <c r="Q48" t="s">
        <v>922</v>
      </c>
    </row>
    <row r="49" spans="2:17">
      <c r="B49" t="s">
        <v>944</v>
      </c>
      <c r="C49" t="s">
        <v>787</v>
      </c>
      <c r="D49">
        <v>1.41235560205617E-5</v>
      </c>
      <c r="E49" t="s">
        <v>94</v>
      </c>
      <c r="H49" t="s">
        <v>588</v>
      </c>
      <c r="I49">
        <v>1.41235560205617E-5</v>
      </c>
      <c r="J49">
        <v>1.1051709180756477</v>
      </c>
      <c r="N49" t="s">
        <v>945</v>
      </c>
      <c r="O49" t="s">
        <v>921</v>
      </c>
      <c r="Q49" t="s">
        <v>922</v>
      </c>
    </row>
    <row r="50" spans="2:17">
      <c r="B50" t="s">
        <v>944</v>
      </c>
      <c r="C50" t="s">
        <v>787</v>
      </c>
      <c r="D50">
        <v>1.89351171342626E-6</v>
      </c>
      <c r="E50" t="s">
        <v>94</v>
      </c>
      <c r="H50" t="s">
        <v>588</v>
      </c>
      <c r="I50">
        <v>1.89351171342626E-6</v>
      </c>
      <c r="J50">
        <v>1.1051709180756477</v>
      </c>
      <c r="N50" t="s">
        <v>945</v>
      </c>
      <c r="O50" t="s">
        <v>921</v>
      </c>
      <c r="Q50" t="s">
        <v>922</v>
      </c>
    </row>
    <row r="51" spans="2:17">
      <c r="B51" t="s">
        <v>944</v>
      </c>
      <c r="C51" t="s">
        <v>787</v>
      </c>
      <c r="D51">
        <v>1.4180816458015901E-4</v>
      </c>
      <c r="E51" t="s">
        <v>94</v>
      </c>
      <c r="H51" t="s">
        <v>588</v>
      </c>
      <c r="I51">
        <v>1.4180816458015901E-4</v>
      </c>
      <c r="J51">
        <v>1.1051709180756477</v>
      </c>
      <c r="N51" t="s">
        <v>945</v>
      </c>
      <c r="O51" t="s">
        <v>921</v>
      </c>
      <c r="Q51" t="s">
        <v>922</v>
      </c>
    </row>
    <row r="52" spans="2:17">
      <c r="B52" t="s">
        <v>251</v>
      </c>
      <c r="C52" t="s">
        <v>654</v>
      </c>
      <c r="D52">
        <v>1.7309935503200001E-2</v>
      </c>
      <c r="E52" t="s">
        <v>640</v>
      </c>
      <c r="H52" t="s">
        <v>588</v>
      </c>
      <c r="I52">
        <v>1.7309935503200001E-2</v>
      </c>
      <c r="J52">
        <v>1.2214027581601699</v>
      </c>
      <c r="O52" t="s">
        <v>841</v>
      </c>
      <c r="Q52" t="s">
        <v>946</v>
      </c>
    </row>
    <row r="53" spans="2:17">
      <c r="B53" t="s">
        <v>789</v>
      </c>
      <c r="C53" t="s">
        <v>712</v>
      </c>
      <c r="D53">
        <v>2.77566194547345E-2</v>
      </c>
      <c r="E53" t="s">
        <v>640</v>
      </c>
      <c r="H53" t="s">
        <v>588</v>
      </c>
      <c r="I53">
        <v>2.77566194547345E-2</v>
      </c>
      <c r="J53">
        <v>1.2214027581601699</v>
      </c>
      <c r="O53" t="s">
        <v>841</v>
      </c>
      <c r="Q53" t="s">
        <v>946</v>
      </c>
    </row>
    <row r="54" spans="2:17">
      <c r="B54" s="1043" t="s">
        <v>5218</v>
      </c>
      <c r="C54" s="1043"/>
      <c r="D54" s="1043"/>
      <c r="E54" s="1043"/>
      <c r="F54" s="1043"/>
      <c r="G54" s="444"/>
    </row>
    <row r="55" spans="2:17">
      <c r="B55" s="430" t="s">
        <v>596</v>
      </c>
      <c r="C55" s="430">
        <f>SUMIFS($D$9:$D$27,$B$9:$B$27,B55)</f>
        <v>1.3135198059378359</v>
      </c>
      <c r="D55" s="431" t="s">
        <v>598</v>
      </c>
      <c r="E55" s="432" t="e">
        <f>'FE - Aluminum'!#REF!/3.6</f>
        <v>#REF!</v>
      </c>
      <c r="F55" s="433" t="s">
        <v>5206</v>
      </c>
    </row>
    <row r="57" spans="2:17">
      <c r="B57" s="430" t="s">
        <v>127</v>
      </c>
      <c r="C57" s="430">
        <f>3.6*C55</f>
        <v>4.7286713013762096</v>
      </c>
      <c r="D57" s="431" t="s">
        <v>607</v>
      </c>
      <c r="E57" s="433" t="e">
        <f>3.6*E55</f>
        <v>#REF!</v>
      </c>
      <c r="F57" s="433" t="s">
        <v>127</v>
      </c>
    </row>
  </sheetData>
  <mergeCells count="1">
    <mergeCell ref="B54:F54"/>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0B451-A169-4DB1-B963-DD4B8654C43B}">
  <sheetPr>
    <tabColor rgb="FF0070C0"/>
  </sheetPr>
  <dimension ref="A1:Q51"/>
  <sheetViews>
    <sheetView topLeftCell="A29" workbookViewId="0">
      <selection activeCell="E52" sqref="E52"/>
    </sheetView>
  </sheetViews>
  <sheetFormatPr defaultRowHeight="14.4"/>
  <cols>
    <col min="2" max="2" width="40" customWidth="1"/>
    <col min="6" max="6" width="30.21875" customWidth="1"/>
  </cols>
  <sheetData>
    <row r="1" spans="1:17">
      <c r="A1" s="424" t="s">
        <v>564</v>
      </c>
    </row>
    <row r="2" spans="1:17">
      <c r="A2" s="423" t="s">
        <v>565</v>
      </c>
      <c r="B2" t="s">
        <v>947</v>
      </c>
    </row>
    <row r="3" spans="1:17">
      <c r="A3" s="423" t="s">
        <v>567</v>
      </c>
      <c r="B3" t="s">
        <v>172</v>
      </c>
    </row>
    <row r="4" spans="1:17">
      <c r="A4" s="423" t="s">
        <v>568</v>
      </c>
      <c r="B4" t="s">
        <v>948</v>
      </c>
    </row>
    <row r="5" spans="1:17">
      <c r="A5" s="423" t="s">
        <v>585</v>
      </c>
      <c r="B5" t="s">
        <v>949</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950</v>
      </c>
      <c r="C9" t="s">
        <v>857</v>
      </c>
      <c r="D9">
        <v>2.4999149586307898E-10</v>
      </c>
      <c r="E9" t="s">
        <v>616</v>
      </c>
      <c r="H9" t="s">
        <v>588</v>
      </c>
      <c r="I9">
        <v>2.4999149586307898E-10</v>
      </c>
      <c r="J9">
        <v>1.7134630202947554</v>
      </c>
      <c r="N9" t="s">
        <v>951</v>
      </c>
      <c r="O9" t="s">
        <v>952</v>
      </c>
      <c r="Q9" t="s">
        <v>953</v>
      </c>
    </row>
    <row r="10" spans="1:17">
      <c r="B10" t="s">
        <v>954</v>
      </c>
      <c r="C10" t="s">
        <v>821</v>
      </c>
      <c r="D10">
        <v>5.8198020236924801E-3</v>
      </c>
      <c r="E10" t="s">
        <v>94</v>
      </c>
      <c r="H10" t="s">
        <v>588</v>
      </c>
      <c r="I10">
        <v>5.8198020236924801E-3</v>
      </c>
      <c r="J10">
        <v>1.0247973619913604</v>
      </c>
      <c r="N10" t="s">
        <v>955</v>
      </c>
      <c r="O10" t="s">
        <v>641</v>
      </c>
      <c r="Q10" t="s">
        <v>595</v>
      </c>
    </row>
    <row r="11" spans="1:17">
      <c r="B11" t="s">
        <v>596</v>
      </c>
      <c r="C11" t="s">
        <v>597</v>
      </c>
      <c r="D11">
        <v>0.11099622416320699</v>
      </c>
      <c r="E11" t="s">
        <v>598</v>
      </c>
      <c r="H11" t="s">
        <v>588</v>
      </c>
      <c r="I11">
        <v>0.11099622416320699</v>
      </c>
      <c r="J11">
        <v>1.0247973619913604</v>
      </c>
      <c r="N11" t="s">
        <v>599</v>
      </c>
      <c r="O11" t="s">
        <v>641</v>
      </c>
      <c r="Q11" t="s">
        <v>600</v>
      </c>
    </row>
    <row r="12" spans="1:17">
      <c r="B12" t="s">
        <v>845</v>
      </c>
      <c r="C12" t="s">
        <v>597</v>
      </c>
      <c r="D12">
        <v>1.83153384926825</v>
      </c>
      <c r="E12" t="s">
        <v>607</v>
      </c>
      <c r="H12" t="s">
        <v>588</v>
      </c>
      <c r="I12">
        <v>1.83153384926825</v>
      </c>
      <c r="J12">
        <v>1</v>
      </c>
      <c r="N12" t="s">
        <v>846</v>
      </c>
      <c r="O12" t="s">
        <v>956</v>
      </c>
      <c r="Q12" t="s">
        <v>957</v>
      </c>
    </row>
    <row r="13" spans="1:17">
      <c r="B13" t="s">
        <v>605</v>
      </c>
      <c r="C13" t="s">
        <v>606</v>
      </c>
      <c r="D13">
        <v>0.63245711773907198</v>
      </c>
      <c r="E13" t="s">
        <v>607</v>
      </c>
      <c r="H13" t="s">
        <v>588</v>
      </c>
      <c r="I13">
        <v>0.63245711773907198</v>
      </c>
      <c r="J13">
        <v>1</v>
      </c>
      <c r="N13" t="s">
        <v>608</v>
      </c>
      <c r="O13" t="s">
        <v>956</v>
      </c>
      <c r="Q13" t="s">
        <v>958</v>
      </c>
    </row>
    <row r="14" spans="1:17">
      <c r="B14" t="s">
        <v>605</v>
      </c>
      <c r="C14" t="s">
        <v>606</v>
      </c>
      <c r="D14">
        <v>5.2714256164708498E-3</v>
      </c>
      <c r="E14" t="s">
        <v>607</v>
      </c>
      <c r="H14" t="s">
        <v>588</v>
      </c>
      <c r="I14">
        <v>5.2714256164708498E-3</v>
      </c>
      <c r="J14">
        <v>1</v>
      </c>
      <c r="N14" t="s">
        <v>611</v>
      </c>
      <c r="O14" t="s">
        <v>956</v>
      </c>
      <c r="Q14" t="s">
        <v>959</v>
      </c>
    </row>
    <row r="15" spans="1:17">
      <c r="B15" t="s">
        <v>960</v>
      </c>
      <c r="C15" t="s">
        <v>664</v>
      </c>
      <c r="D15">
        <v>0.67497703883031401</v>
      </c>
      <c r="E15" t="s">
        <v>94</v>
      </c>
      <c r="H15" t="s">
        <v>588</v>
      </c>
      <c r="I15">
        <v>0.67497703883031401</v>
      </c>
      <c r="J15">
        <v>1.0247973619913604</v>
      </c>
      <c r="N15" t="s">
        <v>961</v>
      </c>
      <c r="O15" t="s">
        <v>641</v>
      </c>
      <c r="Q15" t="s">
        <v>595</v>
      </c>
    </row>
    <row r="16" spans="1:17">
      <c r="B16" t="s">
        <v>767</v>
      </c>
      <c r="C16" t="s">
        <v>664</v>
      </c>
      <c r="D16">
        <v>0.14599503358403801</v>
      </c>
      <c r="E16" t="s">
        <v>94</v>
      </c>
      <c r="H16" t="s">
        <v>588</v>
      </c>
      <c r="I16">
        <v>0.14599503358403801</v>
      </c>
      <c r="J16">
        <v>1.0247973619913604</v>
      </c>
      <c r="N16" t="s">
        <v>962</v>
      </c>
      <c r="O16" t="s">
        <v>641</v>
      </c>
      <c r="Q16" t="s">
        <v>595</v>
      </c>
    </row>
    <row r="17" spans="1:17">
      <c r="B17" t="s">
        <v>963</v>
      </c>
      <c r="C17" t="s">
        <v>964</v>
      </c>
      <c r="D17">
        <v>7.1497567816840597E-3</v>
      </c>
      <c r="E17" t="s">
        <v>94</v>
      </c>
      <c r="H17" t="s">
        <v>588</v>
      </c>
      <c r="I17">
        <v>7.1497567816840597E-3</v>
      </c>
      <c r="J17">
        <v>1.0247973619913604</v>
      </c>
      <c r="N17" t="s">
        <v>965</v>
      </c>
      <c r="O17" t="s">
        <v>641</v>
      </c>
      <c r="Q17" t="s">
        <v>966</v>
      </c>
    </row>
    <row r="18" spans="1:17">
      <c r="B18" t="s">
        <v>967</v>
      </c>
      <c r="C18" t="s">
        <v>639</v>
      </c>
      <c r="D18">
        <v>1.9499336677320199E-3</v>
      </c>
      <c r="E18" t="s">
        <v>640</v>
      </c>
      <c r="H18" t="s">
        <v>588</v>
      </c>
      <c r="I18">
        <v>1.9499336677320199E-3</v>
      </c>
      <c r="J18">
        <v>1.0247973619913604</v>
      </c>
      <c r="O18" t="s">
        <v>612</v>
      </c>
      <c r="Q18" t="s">
        <v>968</v>
      </c>
    </row>
    <row r="19" spans="1:17">
      <c r="B19" t="s">
        <v>969</v>
      </c>
      <c r="C19" t="s">
        <v>639</v>
      </c>
      <c r="D19">
        <v>1.5699465940201399E-3</v>
      </c>
      <c r="E19" t="s">
        <v>640</v>
      </c>
      <c r="H19" t="s">
        <v>588</v>
      </c>
      <c r="I19">
        <v>1.5699465940201399E-3</v>
      </c>
      <c r="J19">
        <v>1.0247973619913604</v>
      </c>
      <c r="O19" t="s">
        <v>612</v>
      </c>
      <c r="Q19" t="s">
        <v>970</v>
      </c>
    </row>
    <row r="21" spans="1:17">
      <c r="A21" t="s">
        <v>710</v>
      </c>
    </row>
    <row r="22" spans="1:17">
      <c r="A22" s="424" t="s">
        <v>570</v>
      </c>
      <c r="B22" s="424" t="s">
        <v>571</v>
      </c>
      <c r="C22" s="424" t="s">
        <v>568</v>
      </c>
      <c r="D22" s="424" t="s">
        <v>572</v>
      </c>
      <c r="E22" s="424" t="s">
        <v>573</v>
      </c>
      <c r="F22" s="424" t="s">
        <v>574</v>
      </c>
      <c r="G22" s="424" t="s">
        <v>575</v>
      </c>
      <c r="H22" s="424" t="s">
        <v>576</v>
      </c>
      <c r="I22" s="424" t="s">
        <v>577</v>
      </c>
      <c r="J22" s="424" t="s">
        <v>578</v>
      </c>
      <c r="K22" s="424" t="s">
        <v>579</v>
      </c>
      <c r="L22" s="424" t="s">
        <v>580</v>
      </c>
      <c r="M22" s="424" t="s">
        <v>581</v>
      </c>
      <c r="N22" s="424" t="s">
        <v>582</v>
      </c>
      <c r="O22" s="424" t="s">
        <v>583</v>
      </c>
      <c r="P22" s="424" t="s">
        <v>584</v>
      </c>
      <c r="Q22" s="424" t="s">
        <v>585</v>
      </c>
    </row>
    <row r="23" spans="1:17">
      <c r="A23" s="424" t="s">
        <v>645</v>
      </c>
      <c r="B23" s="424" t="s">
        <v>971</v>
      </c>
      <c r="C23" s="424" t="s">
        <v>948</v>
      </c>
      <c r="D23" s="424">
        <v>1</v>
      </c>
      <c r="E23" s="424" t="s">
        <v>94</v>
      </c>
      <c r="F23" s="424">
        <v>0.15</v>
      </c>
      <c r="G23" s="424" t="s">
        <v>647</v>
      </c>
      <c r="M23" s="424"/>
      <c r="O23" s="424"/>
      <c r="P23" s="424"/>
      <c r="Q23" s="424"/>
    </row>
    <row r="24" spans="1:17">
      <c r="B24" t="s">
        <v>720</v>
      </c>
      <c r="C24" t="s">
        <v>654</v>
      </c>
      <c r="D24">
        <v>4.99982991726158E-8</v>
      </c>
      <c r="E24" t="s">
        <v>94</v>
      </c>
      <c r="H24" t="s">
        <v>588</v>
      </c>
      <c r="I24">
        <v>4.99982991726158E-8</v>
      </c>
      <c r="J24">
        <v>1.7293101253499219</v>
      </c>
      <c r="O24" t="s">
        <v>972</v>
      </c>
    </row>
    <row r="25" spans="1:17">
      <c r="B25" t="s">
        <v>741</v>
      </c>
      <c r="C25" t="s">
        <v>712</v>
      </c>
      <c r="D25">
        <v>8.9996938510708503E-6</v>
      </c>
      <c r="E25" t="s">
        <v>94</v>
      </c>
      <c r="H25" t="s">
        <v>588</v>
      </c>
      <c r="I25">
        <v>8.9996938510708503E-6</v>
      </c>
      <c r="J25">
        <v>1.0247973619913604</v>
      </c>
      <c r="O25" t="s">
        <v>972</v>
      </c>
    </row>
    <row r="26" spans="1:17">
      <c r="B26" t="s">
        <v>973</v>
      </c>
      <c r="C26" t="s">
        <v>744</v>
      </c>
      <c r="D26">
        <v>4.6998401222258901E-5</v>
      </c>
      <c r="E26" t="s">
        <v>94</v>
      </c>
      <c r="H26" t="s">
        <v>588</v>
      </c>
      <c r="I26">
        <v>4.6998401222258901E-5</v>
      </c>
      <c r="J26">
        <v>1.0247973619913604</v>
      </c>
      <c r="N26" t="s">
        <v>974</v>
      </c>
      <c r="O26" t="s">
        <v>952</v>
      </c>
      <c r="Q26" t="s">
        <v>975</v>
      </c>
    </row>
    <row r="27" spans="1:17">
      <c r="B27" t="s">
        <v>243</v>
      </c>
      <c r="C27" t="s">
        <v>654</v>
      </c>
      <c r="D27">
        <v>2.3999183602855601E-5</v>
      </c>
      <c r="E27" t="s">
        <v>94</v>
      </c>
      <c r="H27" t="s">
        <v>588</v>
      </c>
      <c r="I27">
        <v>2.3999183602855601E-5</v>
      </c>
      <c r="J27">
        <v>1.2214027581601699</v>
      </c>
      <c r="O27" t="s">
        <v>641</v>
      </c>
      <c r="Q27" t="s">
        <v>976</v>
      </c>
    </row>
    <row r="28" spans="1:17">
      <c r="B28" t="s">
        <v>977</v>
      </c>
      <c r="C28" t="s">
        <v>787</v>
      </c>
      <c r="D28">
        <v>2.72490730490756E-2</v>
      </c>
      <c r="E28" t="s">
        <v>94</v>
      </c>
      <c r="H28" t="s">
        <v>588</v>
      </c>
      <c r="I28">
        <v>2.72490730490756E-2</v>
      </c>
      <c r="J28">
        <v>1</v>
      </c>
      <c r="N28" t="s">
        <v>978</v>
      </c>
      <c r="O28" t="s">
        <v>956</v>
      </c>
      <c r="Q28" t="s">
        <v>979</v>
      </c>
    </row>
    <row r="29" spans="1:17">
      <c r="B29" t="s">
        <v>761</v>
      </c>
      <c r="C29" t="s">
        <v>654</v>
      </c>
      <c r="D29">
        <v>4.9498316180889696E-4</v>
      </c>
      <c r="E29" t="s">
        <v>94</v>
      </c>
      <c r="H29" t="s">
        <v>588</v>
      </c>
      <c r="I29">
        <v>4.9498316180889696E-4</v>
      </c>
      <c r="J29">
        <v>1.2214027581601699</v>
      </c>
      <c r="O29" t="s">
        <v>641</v>
      </c>
    </row>
    <row r="30" spans="1:17">
      <c r="B30" t="s">
        <v>980</v>
      </c>
      <c r="C30" t="s">
        <v>712</v>
      </c>
      <c r="D30">
        <v>1.9999319669046299E-5</v>
      </c>
      <c r="E30" t="s">
        <v>94</v>
      </c>
      <c r="H30" t="s">
        <v>588</v>
      </c>
      <c r="I30">
        <v>1.9999319669046299E-5</v>
      </c>
      <c r="J30">
        <v>1.0247973619913604</v>
      </c>
      <c r="O30" t="s">
        <v>972</v>
      </c>
    </row>
    <row r="31" spans="1:17">
      <c r="B31" t="s">
        <v>763</v>
      </c>
      <c r="C31" t="s">
        <v>654</v>
      </c>
      <c r="D31">
        <v>5.2998197122972801E-5</v>
      </c>
      <c r="E31" t="s">
        <v>94</v>
      </c>
      <c r="H31" t="s">
        <v>588</v>
      </c>
      <c r="I31">
        <v>5.2998197122972801E-5</v>
      </c>
      <c r="J31">
        <v>1</v>
      </c>
      <c r="O31" t="s">
        <v>641</v>
      </c>
    </row>
    <row r="32" spans="1:17">
      <c r="B32" t="s">
        <v>763</v>
      </c>
      <c r="C32" t="s">
        <v>712</v>
      </c>
      <c r="D32">
        <v>9.9996598345231597E-9</v>
      </c>
      <c r="E32" t="s">
        <v>94</v>
      </c>
      <c r="H32" t="s">
        <v>588</v>
      </c>
      <c r="I32">
        <v>9.9996598345231597E-9</v>
      </c>
      <c r="J32">
        <v>1.0247973619913604</v>
      </c>
      <c r="O32" t="s">
        <v>972</v>
      </c>
      <c r="Q32" t="s">
        <v>981</v>
      </c>
    </row>
    <row r="33" spans="2:17">
      <c r="B33" t="s">
        <v>653</v>
      </c>
      <c r="C33" t="s">
        <v>654</v>
      </c>
      <c r="D33">
        <v>7.9997278676185304E-5</v>
      </c>
      <c r="E33" t="s">
        <v>94</v>
      </c>
      <c r="H33" t="s">
        <v>588</v>
      </c>
      <c r="I33">
        <v>7.9997278676185304E-5</v>
      </c>
      <c r="J33">
        <v>1.0247973619913604</v>
      </c>
      <c r="O33" t="s">
        <v>641</v>
      </c>
      <c r="Q33" t="s">
        <v>982</v>
      </c>
    </row>
    <row r="34" spans="2:17">
      <c r="B34" t="s">
        <v>656</v>
      </c>
      <c r="C34" t="s">
        <v>654</v>
      </c>
      <c r="D34">
        <v>2.3999183602855601E-4</v>
      </c>
      <c r="E34" t="s">
        <v>94</v>
      </c>
      <c r="H34" t="s">
        <v>588</v>
      </c>
      <c r="I34">
        <v>2.3999183602855601E-4</v>
      </c>
      <c r="J34">
        <v>1.0247973619913604</v>
      </c>
      <c r="O34" t="s">
        <v>972</v>
      </c>
    </row>
    <row r="35" spans="2:17">
      <c r="B35" t="s">
        <v>657</v>
      </c>
      <c r="C35" t="s">
        <v>654</v>
      </c>
      <c r="D35">
        <v>2.3999183602855601E-4</v>
      </c>
      <c r="E35" t="s">
        <v>94</v>
      </c>
      <c r="H35" t="s">
        <v>588</v>
      </c>
      <c r="I35">
        <v>2.3999183602855601E-4</v>
      </c>
      <c r="J35">
        <v>1.0247973619913604</v>
      </c>
      <c r="O35" t="s">
        <v>972</v>
      </c>
    </row>
    <row r="36" spans="2:17">
      <c r="B36" t="s">
        <v>983</v>
      </c>
      <c r="C36" t="s">
        <v>787</v>
      </c>
      <c r="D36">
        <v>3.9998639338092697E-3</v>
      </c>
      <c r="E36" t="s">
        <v>94</v>
      </c>
      <c r="H36" t="s">
        <v>588</v>
      </c>
      <c r="I36">
        <v>3.9998639338092697E-3</v>
      </c>
      <c r="J36">
        <v>1.0247973619913604</v>
      </c>
      <c r="N36" t="s">
        <v>984</v>
      </c>
      <c r="O36" t="s">
        <v>641</v>
      </c>
      <c r="Q36" t="s">
        <v>985</v>
      </c>
    </row>
    <row r="37" spans="2:17">
      <c r="B37" t="s">
        <v>776</v>
      </c>
      <c r="C37" t="s">
        <v>654</v>
      </c>
      <c r="D37">
        <v>4.2998537288449603E-3</v>
      </c>
      <c r="E37" t="s">
        <v>94</v>
      </c>
      <c r="H37" t="s">
        <v>588</v>
      </c>
      <c r="I37">
        <v>4.2998537288449603E-3</v>
      </c>
      <c r="J37">
        <v>1.0247973619913604</v>
      </c>
      <c r="O37" t="s">
        <v>641</v>
      </c>
    </row>
    <row r="38" spans="2:17">
      <c r="B38" t="s">
        <v>777</v>
      </c>
      <c r="C38" t="s">
        <v>712</v>
      </c>
      <c r="D38">
        <v>8.9996938510708503E-5</v>
      </c>
      <c r="E38" t="s">
        <v>94</v>
      </c>
      <c r="H38" t="s">
        <v>588</v>
      </c>
      <c r="I38">
        <v>8.9996938510708503E-5</v>
      </c>
      <c r="J38">
        <v>1.0247973619913604</v>
      </c>
      <c r="O38" t="s">
        <v>972</v>
      </c>
    </row>
    <row r="39" spans="2:17">
      <c r="B39" t="s">
        <v>986</v>
      </c>
      <c r="C39" t="s">
        <v>787</v>
      </c>
      <c r="D39">
        <v>1.19995918014278E-2</v>
      </c>
      <c r="E39" t="s">
        <v>94</v>
      </c>
      <c r="H39" t="s">
        <v>588</v>
      </c>
      <c r="I39">
        <v>1.19995918014278E-2</v>
      </c>
      <c r="J39">
        <v>1.0247973619913604</v>
      </c>
      <c r="N39" t="s">
        <v>987</v>
      </c>
      <c r="O39" t="s">
        <v>641</v>
      </c>
      <c r="Q39" t="s">
        <v>979</v>
      </c>
    </row>
    <row r="40" spans="2:17">
      <c r="B40" t="s">
        <v>251</v>
      </c>
      <c r="C40" t="s">
        <v>654</v>
      </c>
      <c r="D40">
        <v>8.8996972527256195E-4</v>
      </c>
      <c r="E40" t="s">
        <v>640</v>
      </c>
      <c r="H40" t="s">
        <v>588</v>
      </c>
      <c r="I40">
        <v>8.8996972527256195E-4</v>
      </c>
      <c r="J40">
        <v>1.0247973619913604</v>
      </c>
      <c r="O40" t="s">
        <v>952</v>
      </c>
      <c r="Q40" t="s">
        <v>988</v>
      </c>
    </row>
    <row r="41" spans="2:17">
      <c r="B41" t="s">
        <v>989</v>
      </c>
      <c r="C41" t="s">
        <v>883</v>
      </c>
      <c r="D41">
        <v>1.59994557352371E-3</v>
      </c>
      <c r="E41" t="s">
        <v>640</v>
      </c>
      <c r="H41" t="s">
        <v>588</v>
      </c>
      <c r="I41">
        <v>1.59994557352371E-3</v>
      </c>
      <c r="J41">
        <v>1.0247973619913604</v>
      </c>
      <c r="O41" t="s">
        <v>641</v>
      </c>
    </row>
    <row r="42" spans="2:17">
      <c r="B42" t="s">
        <v>989</v>
      </c>
      <c r="C42" t="s">
        <v>661</v>
      </c>
      <c r="D42">
        <v>1.6999421718689399E-3</v>
      </c>
      <c r="E42" t="s">
        <v>640</v>
      </c>
      <c r="H42" t="s">
        <v>588</v>
      </c>
      <c r="I42">
        <v>1.6999421718689399E-3</v>
      </c>
      <c r="J42">
        <v>1.0247973619913604</v>
      </c>
      <c r="O42" t="s">
        <v>612</v>
      </c>
      <c r="Q42" t="s">
        <v>990</v>
      </c>
    </row>
    <row r="44" spans="2:17">
      <c r="B44" s="1043" t="s">
        <v>5218</v>
      </c>
      <c r="C44" s="1043"/>
      <c r="D44" s="1043"/>
      <c r="E44" s="1043"/>
      <c r="F44" s="1043"/>
      <c r="G44" s="444"/>
    </row>
    <row r="45" spans="2:17">
      <c r="B45" s="430" t="s">
        <v>596</v>
      </c>
      <c r="C45" s="430">
        <f>SUMIFS(D9:D19,B9:B19,B45)</f>
        <v>0.11099622416320699</v>
      </c>
      <c r="D45" s="431" t="s">
        <v>598</v>
      </c>
      <c r="E45" s="432" t="e">
        <f>'FE - Aluminum'!#REF!*'FE - Aluminum'!#REF!/3.6</f>
        <v>#REF!</v>
      </c>
      <c r="F45" s="433" t="s">
        <v>5206</v>
      </c>
    </row>
    <row r="46" spans="2:17">
      <c r="B46" s="430" t="s">
        <v>845</v>
      </c>
      <c r="C46" s="430">
        <f t="shared" ref="C46:C49" si="0">SUMIFS(D10:D20,B10:B20,B46)</f>
        <v>1.83153384926825</v>
      </c>
      <c r="D46" s="431" t="s">
        <v>607</v>
      </c>
      <c r="E46" s="433" t="e">
        <f>'FE - Aluminum'!#REF!*'FE - Aluminum'!#REF!</f>
        <v>#REF!</v>
      </c>
      <c r="F46" s="433" t="s">
        <v>5209</v>
      </c>
    </row>
    <row r="47" spans="2:17">
      <c r="B47" s="430" t="s">
        <v>605</v>
      </c>
      <c r="C47" s="430">
        <f t="shared" si="0"/>
        <v>0.63772854335554285</v>
      </c>
      <c r="D47" s="431" t="s">
        <v>607</v>
      </c>
      <c r="E47" s="433" t="e">
        <f>'FE - Aluminum'!#REF!-'Anode Production (Prebaked)'!E46-3.6*'Anode Production (Prebaked)'!E45</f>
        <v>#REF!</v>
      </c>
      <c r="F47" s="433" t="s">
        <v>5208</v>
      </c>
    </row>
    <row r="48" spans="2:17">
      <c r="B48" s="430" t="s">
        <v>960</v>
      </c>
      <c r="C48" s="430">
        <f t="shared" si="0"/>
        <v>0.67497703883031401</v>
      </c>
      <c r="D48" s="431" t="s">
        <v>94</v>
      </c>
      <c r="E48" s="433">
        <f>'FE - Aluminum'!CF16</f>
        <v>0.67498000000000002</v>
      </c>
      <c r="F48" s="433" t="s">
        <v>87</v>
      </c>
    </row>
    <row r="49" spans="2:6">
      <c r="B49" s="430" t="s">
        <v>767</v>
      </c>
      <c r="C49" s="430">
        <f t="shared" si="0"/>
        <v>0.14599503358403801</v>
      </c>
      <c r="D49" s="431" t="s">
        <v>94</v>
      </c>
      <c r="E49" s="433">
        <f>'FE - Aluminum'!CG16</f>
        <v>0.14599999999999999</v>
      </c>
      <c r="F49" s="433" t="s">
        <v>116</v>
      </c>
    </row>
    <row r="51" spans="2:6">
      <c r="B51" s="430" t="s">
        <v>127</v>
      </c>
      <c r="C51" s="430">
        <f>C47+C46+3.6*C45</f>
        <v>2.8688487996113379</v>
      </c>
      <c r="D51" s="431" t="s">
        <v>607</v>
      </c>
      <c r="E51" s="433" t="e">
        <f>E47+E46+3.6*E45</f>
        <v>#REF!</v>
      </c>
      <c r="F51" s="433" t="s">
        <v>127</v>
      </c>
    </row>
  </sheetData>
  <mergeCells count="1">
    <mergeCell ref="B44:F44"/>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2EC7C-C919-42C7-A467-C7C4A1E755A6}">
  <sheetPr>
    <tabColor rgb="FF0070C0"/>
  </sheetPr>
  <dimension ref="A1:Q43"/>
  <sheetViews>
    <sheetView topLeftCell="A19" workbookViewId="0">
      <selection activeCell="H39" sqref="H39"/>
    </sheetView>
  </sheetViews>
  <sheetFormatPr defaultRowHeight="14.4"/>
  <cols>
    <col min="2" max="2" width="40.109375" customWidth="1"/>
    <col min="6" max="6" width="30.44140625" customWidth="1"/>
  </cols>
  <sheetData>
    <row r="1" spans="1:17">
      <c r="A1" s="424" t="s">
        <v>564</v>
      </c>
    </row>
    <row r="2" spans="1:17">
      <c r="A2" s="423" t="s">
        <v>565</v>
      </c>
      <c r="B2" t="s">
        <v>991</v>
      </c>
    </row>
    <row r="3" spans="1:17">
      <c r="A3" s="423" t="s">
        <v>567</v>
      </c>
      <c r="B3" t="s">
        <v>173</v>
      </c>
    </row>
    <row r="4" spans="1:17">
      <c r="A4" s="423" t="s">
        <v>568</v>
      </c>
      <c r="B4" t="s">
        <v>948</v>
      </c>
    </row>
    <row r="5" spans="1:17">
      <c r="A5" s="423" t="s">
        <v>585</v>
      </c>
      <c r="B5" t="s">
        <v>992</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950</v>
      </c>
      <c r="C9" t="s">
        <v>857</v>
      </c>
      <c r="D9">
        <v>2.4988125917695901E-10</v>
      </c>
      <c r="E9" t="s">
        <v>616</v>
      </c>
      <c r="H9" t="s">
        <v>588</v>
      </c>
      <c r="I9">
        <v>2.4988125917695901E-10</v>
      </c>
      <c r="J9">
        <v>1.7134630202947554</v>
      </c>
      <c r="N9" t="s">
        <v>951</v>
      </c>
      <c r="O9" t="s">
        <v>952</v>
      </c>
      <c r="Q9" t="s">
        <v>953</v>
      </c>
    </row>
    <row r="10" spans="1:17">
      <c r="B10" t="s">
        <v>596</v>
      </c>
      <c r="C10" t="s">
        <v>597</v>
      </c>
      <c r="D10">
        <v>1.0414543564023701E-3</v>
      </c>
      <c r="E10" t="s">
        <v>598</v>
      </c>
      <c r="H10" t="s">
        <v>588</v>
      </c>
      <c r="I10">
        <v>1.0414543564023701E-3</v>
      </c>
      <c r="J10">
        <v>1.0247973619913604</v>
      </c>
      <c r="N10" t="s">
        <v>797</v>
      </c>
      <c r="O10" t="s">
        <v>993</v>
      </c>
      <c r="Q10" t="s">
        <v>600</v>
      </c>
    </row>
    <row r="11" spans="1:17">
      <c r="B11" t="s">
        <v>596</v>
      </c>
      <c r="C11" t="s">
        <v>597</v>
      </c>
      <c r="D11">
        <v>7.6481722845015407E-2</v>
      </c>
      <c r="E11" t="s">
        <v>598</v>
      </c>
      <c r="H11" t="s">
        <v>588</v>
      </c>
      <c r="I11">
        <v>7.6481722845015407E-2</v>
      </c>
      <c r="J11">
        <v>1.0247973619913604</v>
      </c>
      <c r="N11" t="s">
        <v>797</v>
      </c>
      <c r="O11" t="s">
        <v>993</v>
      </c>
      <c r="Q11" t="s">
        <v>600</v>
      </c>
    </row>
    <row r="12" spans="1:17">
      <c r="B12" t="s">
        <v>596</v>
      </c>
      <c r="C12" t="s">
        <v>597</v>
      </c>
      <c r="D12">
        <v>4.39775661793466E-4</v>
      </c>
      <c r="E12" t="s">
        <v>598</v>
      </c>
      <c r="H12" t="s">
        <v>588</v>
      </c>
      <c r="I12">
        <v>4.39775661793466E-4</v>
      </c>
      <c r="J12">
        <v>1.0247973619913604</v>
      </c>
      <c r="N12" t="s">
        <v>797</v>
      </c>
      <c r="O12" t="s">
        <v>993</v>
      </c>
      <c r="Q12" t="s">
        <v>600</v>
      </c>
    </row>
    <row r="13" spans="1:17">
      <c r="B13" t="s">
        <v>845</v>
      </c>
      <c r="C13" t="s">
        <v>597</v>
      </c>
      <c r="D13">
        <v>8.7750609568819499E-3</v>
      </c>
      <c r="E13" t="s">
        <v>607</v>
      </c>
      <c r="H13" t="s">
        <v>588</v>
      </c>
      <c r="I13">
        <v>8.7750609568819499E-3</v>
      </c>
      <c r="J13">
        <v>1</v>
      </c>
      <c r="N13" t="s">
        <v>846</v>
      </c>
      <c r="O13" t="s">
        <v>956</v>
      </c>
      <c r="Q13" t="s">
        <v>994</v>
      </c>
    </row>
    <row r="14" spans="1:17">
      <c r="B14" t="s">
        <v>605</v>
      </c>
      <c r="C14" t="s">
        <v>606</v>
      </c>
      <c r="D14">
        <v>0.33792109503133</v>
      </c>
      <c r="E14" t="s">
        <v>607</v>
      </c>
      <c r="H14" t="s">
        <v>588</v>
      </c>
      <c r="I14">
        <v>0.33792109503133</v>
      </c>
      <c r="J14">
        <v>1</v>
      </c>
      <c r="N14" t="s">
        <v>608</v>
      </c>
      <c r="O14" t="s">
        <v>956</v>
      </c>
      <c r="Q14" t="s">
        <v>958</v>
      </c>
    </row>
    <row r="15" spans="1:17">
      <c r="B15" t="s">
        <v>960</v>
      </c>
      <c r="C15" t="s">
        <v>664</v>
      </c>
      <c r="D15">
        <v>0.70166657576890101</v>
      </c>
      <c r="E15" t="s">
        <v>94</v>
      </c>
      <c r="H15" t="s">
        <v>588</v>
      </c>
      <c r="I15">
        <v>0.70166657576890101</v>
      </c>
      <c r="J15">
        <v>1.0247973619913604</v>
      </c>
      <c r="N15" t="s">
        <v>961</v>
      </c>
      <c r="O15" t="s">
        <v>993</v>
      </c>
      <c r="Q15" t="s">
        <v>595</v>
      </c>
    </row>
    <row r="16" spans="1:17">
      <c r="B16" t="s">
        <v>767</v>
      </c>
      <c r="C16" t="s">
        <v>664</v>
      </c>
      <c r="D16">
        <v>0.30585466123259802</v>
      </c>
      <c r="E16" t="s">
        <v>94</v>
      </c>
      <c r="H16" t="s">
        <v>588</v>
      </c>
      <c r="I16">
        <v>0.30585466123259802</v>
      </c>
      <c r="J16">
        <v>1.0247973619913604</v>
      </c>
      <c r="N16" t="s">
        <v>962</v>
      </c>
      <c r="O16" t="s">
        <v>993</v>
      </c>
      <c r="Q16" t="s">
        <v>595</v>
      </c>
    </row>
    <row r="17" spans="1:17">
      <c r="B17" t="s">
        <v>995</v>
      </c>
      <c r="C17" t="s">
        <v>639</v>
      </c>
      <c r="D17">
        <v>4.74774392436222E-3</v>
      </c>
      <c r="E17" t="s">
        <v>640</v>
      </c>
      <c r="H17" t="s">
        <v>588</v>
      </c>
      <c r="I17">
        <v>4.74774392436222E-3</v>
      </c>
      <c r="J17">
        <v>1.0247973619913604</v>
      </c>
      <c r="O17" t="s">
        <v>612</v>
      </c>
      <c r="Q17" t="s">
        <v>968</v>
      </c>
    </row>
    <row r="19" spans="1:17">
      <c r="A19" t="s">
        <v>710</v>
      </c>
    </row>
    <row r="20" spans="1:17">
      <c r="A20" s="424" t="s">
        <v>570</v>
      </c>
      <c r="B20" s="424" t="s">
        <v>571</v>
      </c>
      <c r="C20" s="424" t="s">
        <v>568</v>
      </c>
      <c r="D20" s="424" t="s">
        <v>572</v>
      </c>
      <c r="E20" s="424" t="s">
        <v>573</v>
      </c>
      <c r="F20" s="424" t="s">
        <v>574</v>
      </c>
      <c r="G20" s="424" t="s">
        <v>575</v>
      </c>
      <c r="H20" s="424" t="s">
        <v>576</v>
      </c>
      <c r="I20" s="424" t="s">
        <v>577</v>
      </c>
      <c r="J20" s="424" t="s">
        <v>578</v>
      </c>
      <c r="K20" s="424" t="s">
        <v>579</v>
      </c>
      <c r="L20" s="424" t="s">
        <v>580</v>
      </c>
      <c r="M20" s="424" t="s">
        <v>581</v>
      </c>
      <c r="N20" s="424" t="s">
        <v>582</v>
      </c>
      <c r="O20" s="424" t="s">
        <v>583</v>
      </c>
      <c r="P20" s="424" t="s">
        <v>584</v>
      </c>
      <c r="Q20" s="424" t="s">
        <v>585</v>
      </c>
    </row>
    <row r="21" spans="1:17">
      <c r="A21" s="424" t="s">
        <v>645</v>
      </c>
      <c r="B21" s="424" t="s">
        <v>996</v>
      </c>
      <c r="C21" s="424" t="s">
        <v>948</v>
      </c>
      <c r="D21" s="424">
        <v>1</v>
      </c>
      <c r="E21" s="424" t="s">
        <v>94</v>
      </c>
      <c r="F21" s="424">
        <v>0.15</v>
      </c>
      <c r="G21" s="424" t="s">
        <v>647</v>
      </c>
      <c r="M21" s="424"/>
      <c r="O21" s="424"/>
      <c r="P21" s="424"/>
      <c r="Q21" s="424"/>
    </row>
    <row r="22" spans="1:17">
      <c r="B22" t="s">
        <v>720</v>
      </c>
      <c r="C22" t="s">
        <v>654</v>
      </c>
      <c r="D22">
        <v>1.9990500734156701E-8</v>
      </c>
      <c r="E22" t="s">
        <v>94</v>
      </c>
      <c r="H22" t="s">
        <v>588</v>
      </c>
      <c r="I22">
        <v>1.9990500734156701E-8</v>
      </c>
      <c r="J22">
        <v>1.7293101253499219</v>
      </c>
      <c r="O22" t="s">
        <v>972</v>
      </c>
      <c r="Q22" t="s">
        <v>997</v>
      </c>
    </row>
    <row r="23" spans="1:17">
      <c r="B23" t="s">
        <v>741</v>
      </c>
      <c r="C23" t="s">
        <v>712</v>
      </c>
      <c r="D23">
        <v>7.0966277606256394E-5</v>
      </c>
      <c r="E23" t="s">
        <v>94</v>
      </c>
      <c r="H23" t="s">
        <v>588</v>
      </c>
      <c r="I23">
        <v>7.0966277606256394E-5</v>
      </c>
      <c r="J23">
        <v>1.0031672829348004</v>
      </c>
      <c r="O23" t="s">
        <v>972</v>
      </c>
    </row>
    <row r="24" spans="1:17">
      <c r="B24" t="s">
        <v>973</v>
      </c>
      <c r="C24" t="s">
        <v>744</v>
      </c>
      <c r="D24">
        <v>6.5768747415375598E-4</v>
      </c>
      <c r="E24" t="s">
        <v>94</v>
      </c>
      <c r="H24" t="s">
        <v>588</v>
      </c>
      <c r="I24">
        <v>6.5768747415375598E-4</v>
      </c>
      <c r="J24">
        <v>1.000774896746716</v>
      </c>
      <c r="N24" t="s">
        <v>974</v>
      </c>
      <c r="O24" t="s">
        <v>972</v>
      </c>
      <c r="Q24" t="s">
        <v>998</v>
      </c>
    </row>
    <row r="25" spans="1:17">
      <c r="B25" t="s">
        <v>749</v>
      </c>
      <c r="C25" t="s">
        <v>712</v>
      </c>
      <c r="D25">
        <v>2.01904057414983E-5</v>
      </c>
      <c r="E25" t="s">
        <v>94</v>
      </c>
      <c r="H25" t="s">
        <v>588</v>
      </c>
      <c r="I25">
        <v>2.01904057414983E-5</v>
      </c>
      <c r="J25">
        <v>1.0010005001667084</v>
      </c>
      <c r="O25" t="s">
        <v>972</v>
      </c>
      <c r="Q25" t="s">
        <v>999</v>
      </c>
    </row>
    <row r="26" spans="1:17">
      <c r="B26" t="s">
        <v>977</v>
      </c>
      <c r="C26" t="s">
        <v>787</v>
      </c>
      <c r="D26">
        <v>9.7953453597367994E-4</v>
      </c>
      <c r="E26" t="s">
        <v>94</v>
      </c>
      <c r="H26" t="s">
        <v>588</v>
      </c>
      <c r="I26">
        <v>9.7953453597367994E-4</v>
      </c>
      <c r="J26">
        <v>1.0031672829348004</v>
      </c>
      <c r="N26" t="s">
        <v>978</v>
      </c>
      <c r="O26" t="s">
        <v>641</v>
      </c>
      <c r="Q26" t="s">
        <v>1000</v>
      </c>
    </row>
    <row r="27" spans="1:17">
      <c r="B27" t="s">
        <v>761</v>
      </c>
      <c r="C27" t="s">
        <v>654</v>
      </c>
      <c r="D27">
        <v>1.4992875550617499E-5</v>
      </c>
      <c r="E27" t="s">
        <v>94</v>
      </c>
      <c r="H27" t="s">
        <v>588</v>
      </c>
      <c r="I27">
        <v>1.4992875550617499E-5</v>
      </c>
      <c r="J27">
        <v>1.2214027581601699</v>
      </c>
      <c r="O27" t="s">
        <v>641</v>
      </c>
    </row>
    <row r="28" spans="1:17">
      <c r="B28" t="s">
        <v>763</v>
      </c>
      <c r="C28" t="s">
        <v>654</v>
      </c>
      <c r="D28">
        <v>9.9952503670783594E-8</v>
      </c>
      <c r="E28" t="s">
        <v>94</v>
      </c>
      <c r="H28" t="s">
        <v>588</v>
      </c>
      <c r="I28">
        <v>9.9952503670783594E-8</v>
      </c>
      <c r="J28">
        <v>1</v>
      </c>
      <c r="O28" t="s">
        <v>641</v>
      </c>
      <c r="Q28" t="s">
        <v>1001</v>
      </c>
    </row>
    <row r="29" spans="1:17">
      <c r="B29" t="s">
        <v>763</v>
      </c>
      <c r="C29" t="s">
        <v>712</v>
      </c>
      <c r="D29">
        <v>2.9985751101235099E-8</v>
      </c>
      <c r="E29" t="s">
        <v>94</v>
      </c>
      <c r="H29" t="s">
        <v>588</v>
      </c>
      <c r="I29">
        <v>2.9985751101235099E-8</v>
      </c>
      <c r="J29">
        <v>1.0247973619913604</v>
      </c>
      <c r="O29" t="s">
        <v>972</v>
      </c>
      <c r="Q29" t="s">
        <v>981</v>
      </c>
    </row>
    <row r="30" spans="1:17">
      <c r="B30" t="s">
        <v>656</v>
      </c>
      <c r="C30" t="s">
        <v>654</v>
      </c>
      <c r="D30">
        <v>4.8976726798684001E-5</v>
      </c>
      <c r="E30" t="s">
        <v>94</v>
      </c>
      <c r="H30" t="s">
        <v>588</v>
      </c>
      <c r="I30">
        <v>4.8976726798684001E-5</v>
      </c>
      <c r="J30">
        <v>1</v>
      </c>
      <c r="O30" t="s">
        <v>1002</v>
      </c>
      <c r="Q30" t="s">
        <v>1003</v>
      </c>
    </row>
    <row r="31" spans="1:17">
      <c r="B31" t="s">
        <v>776</v>
      </c>
      <c r="C31" t="s">
        <v>654</v>
      </c>
      <c r="D31">
        <v>5.0975776872099703E-5</v>
      </c>
      <c r="E31" t="s">
        <v>94</v>
      </c>
      <c r="H31" t="s">
        <v>588</v>
      </c>
      <c r="I31">
        <v>5.0975776872099703E-5</v>
      </c>
      <c r="J31">
        <v>1.0247973619913604</v>
      </c>
      <c r="O31" t="s">
        <v>641</v>
      </c>
    </row>
    <row r="32" spans="1:17">
      <c r="B32" t="s">
        <v>777</v>
      </c>
      <c r="C32" t="s">
        <v>712</v>
      </c>
      <c r="D32">
        <v>1.09947754037862E-4</v>
      </c>
      <c r="E32" t="s">
        <v>94</v>
      </c>
      <c r="H32" t="s">
        <v>588</v>
      </c>
      <c r="I32">
        <v>1.09947754037862E-4</v>
      </c>
      <c r="J32">
        <v>1.0247973619913604</v>
      </c>
      <c r="O32" t="s">
        <v>972</v>
      </c>
    </row>
    <row r="33" spans="2:17">
      <c r="B33" t="s">
        <v>986</v>
      </c>
      <c r="C33" t="s">
        <v>787</v>
      </c>
      <c r="D33">
        <v>2.6487413472757698E-3</v>
      </c>
      <c r="E33" t="s">
        <v>94</v>
      </c>
      <c r="H33" t="s">
        <v>588</v>
      </c>
      <c r="I33">
        <v>2.6487413472757698E-3</v>
      </c>
      <c r="J33">
        <v>1.0247973619913604</v>
      </c>
      <c r="N33" t="s">
        <v>987</v>
      </c>
      <c r="O33" t="s">
        <v>641</v>
      </c>
      <c r="Q33" t="s">
        <v>1004</v>
      </c>
    </row>
    <row r="34" spans="2:17">
      <c r="B34" t="s">
        <v>251</v>
      </c>
      <c r="C34" t="s">
        <v>654</v>
      </c>
      <c r="D34">
        <v>7.0966277606256405E-4</v>
      </c>
      <c r="E34" t="s">
        <v>640</v>
      </c>
      <c r="H34" t="s">
        <v>588</v>
      </c>
      <c r="I34">
        <v>7.0966277606256405E-4</v>
      </c>
      <c r="J34">
        <v>1.0247973619913604</v>
      </c>
      <c r="O34" t="s">
        <v>952</v>
      </c>
      <c r="Q34" t="s">
        <v>1005</v>
      </c>
    </row>
    <row r="35" spans="2:17">
      <c r="B35" t="s">
        <v>1006</v>
      </c>
      <c r="C35" t="s">
        <v>661</v>
      </c>
      <c r="D35">
        <v>4.19800515417291E-3</v>
      </c>
      <c r="E35" t="s">
        <v>640</v>
      </c>
      <c r="H35" t="s">
        <v>588</v>
      </c>
      <c r="I35">
        <v>4.19800515417291E-3</v>
      </c>
      <c r="J35">
        <v>1.0247973619913604</v>
      </c>
      <c r="O35" t="s">
        <v>612</v>
      </c>
    </row>
    <row r="36" spans="2:17">
      <c r="B36" s="1043" t="s">
        <v>5218</v>
      </c>
      <c r="C36" s="1043"/>
      <c r="D36" s="1043"/>
      <c r="E36" s="1043"/>
      <c r="F36" s="1043"/>
      <c r="G36" s="444"/>
    </row>
    <row r="37" spans="2:17">
      <c r="B37" s="430" t="str">
        <f>B10</f>
        <v>electricity, medium voltage</v>
      </c>
      <c r="C37" s="430">
        <f>SUMIFS(D9:D17,B9:B17,B37)</f>
        <v>7.7962952863211241E-2</v>
      </c>
      <c r="D37" s="431" t="s">
        <v>598</v>
      </c>
      <c r="E37" s="432" t="e">
        <f>'FE - Aluminum'!#REF!*'FE - Aluminum'!#REF!/3.6</f>
        <v>#REF!</v>
      </c>
      <c r="F37" s="433" t="s">
        <v>5206</v>
      </c>
    </row>
    <row r="38" spans="2:17">
      <c r="B38" s="430" t="str">
        <f>B13</f>
        <v>heat, district or industrial, natural gas</v>
      </c>
      <c r="C38" s="430">
        <f t="shared" ref="C38:C41" si="0">SUMIFS(D10:D18,B10:B18,B38)</f>
        <v>8.7750609568819499E-3</v>
      </c>
      <c r="D38" s="431" t="s">
        <v>607</v>
      </c>
      <c r="E38" s="433" t="e">
        <f>'FE - Aluminum'!#REF!*'FE - Aluminum'!#REF!</f>
        <v>#REF!</v>
      </c>
      <c r="F38" s="433" t="s">
        <v>5209</v>
      </c>
    </row>
    <row r="39" spans="2:17">
      <c r="B39" s="430" t="str">
        <f>B14</f>
        <v>heat, district or industrial, other than natural gas</v>
      </c>
      <c r="C39" s="430">
        <f t="shared" si="0"/>
        <v>0.33792109503133</v>
      </c>
      <c r="D39" s="431" t="s">
        <v>607</v>
      </c>
      <c r="E39" s="434" t="e">
        <f>'FE - Aluminum'!#REF!-'Anode Production (Paste)'!E38-3.6*'Anode Production (Paste)'!E37</f>
        <v>#REF!</v>
      </c>
      <c r="F39" s="433" t="s">
        <v>5208</v>
      </c>
    </row>
    <row r="40" spans="2:17">
      <c r="B40" s="430" t="str">
        <f t="shared" ref="B40:B41" si="1">B15</f>
        <v>petroleum coke</v>
      </c>
      <c r="C40" s="430">
        <f t="shared" si="0"/>
        <v>0.70166657576890101</v>
      </c>
      <c r="D40" s="431" t="s">
        <v>94</v>
      </c>
      <c r="E40" s="433">
        <f>'FE - Aluminum'!CF17</f>
        <v>0.70167000000000002</v>
      </c>
      <c r="F40" s="433" t="s">
        <v>87</v>
      </c>
    </row>
    <row r="41" spans="2:17">
      <c r="B41" s="430" t="str">
        <f t="shared" si="1"/>
        <v>pitch</v>
      </c>
      <c r="C41" s="430">
        <f t="shared" si="0"/>
        <v>0.30585466123259802</v>
      </c>
      <c r="D41" s="431" t="s">
        <v>94</v>
      </c>
      <c r="E41" s="433">
        <f>'FE - Aluminum'!CG17</f>
        <v>0.30585000000000001</v>
      </c>
      <c r="F41" s="433" t="s">
        <v>116</v>
      </c>
    </row>
    <row r="43" spans="2:17">
      <c r="B43" s="430" t="s">
        <v>127</v>
      </c>
      <c r="C43" s="430">
        <f>C39+C38+3.6*C37</f>
        <v>0.62736278629577247</v>
      </c>
      <c r="D43" s="431" t="s">
        <v>607</v>
      </c>
      <c r="E43" s="433" t="e">
        <f>E39+E38+3.6*E37</f>
        <v>#REF!</v>
      </c>
      <c r="F43" s="433" t="s">
        <v>127</v>
      </c>
    </row>
  </sheetData>
  <mergeCells count="1">
    <mergeCell ref="B36:F36"/>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D267-8CAC-4B94-BB73-8B006A6DF6B1}">
  <sheetPr>
    <tabColor rgb="FF0070C0"/>
  </sheetPr>
  <dimension ref="A1:Q40"/>
  <sheetViews>
    <sheetView topLeftCell="A15" workbookViewId="0">
      <selection activeCell="B11" sqref="B11"/>
    </sheetView>
  </sheetViews>
  <sheetFormatPr defaultRowHeight="14.4"/>
  <cols>
    <col min="2" max="2" width="45.88671875" customWidth="1"/>
    <col min="6" max="6" width="19.109375" customWidth="1"/>
  </cols>
  <sheetData>
    <row r="1" spans="1:17">
      <c r="A1" s="424" t="s">
        <v>564</v>
      </c>
    </row>
    <row r="2" spans="1:17">
      <c r="A2" s="423" t="s">
        <v>565</v>
      </c>
      <c r="B2" t="s">
        <v>1007</v>
      </c>
    </row>
    <row r="3" spans="1:17">
      <c r="A3" s="423" t="s">
        <v>567</v>
      </c>
      <c r="B3" t="s">
        <v>170</v>
      </c>
    </row>
    <row r="4" spans="1:17">
      <c r="A4" s="423" t="s">
        <v>568</v>
      </c>
      <c r="B4" t="s">
        <v>673</v>
      </c>
    </row>
    <row r="5" spans="1:17">
      <c r="A5" s="423" t="s">
        <v>585</v>
      </c>
      <c r="B5" t="s">
        <v>1008</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666</v>
      </c>
      <c r="C9" t="s">
        <v>667</v>
      </c>
      <c r="D9">
        <v>0.248</v>
      </c>
      <c r="E9" t="s">
        <v>94</v>
      </c>
      <c r="H9" t="s">
        <v>588</v>
      </c>
      <c r="I9">
        <v>0.248</v>
      </c>
      <c r="J9">
        <v>1.0247973619913604</v>
      </c>
      <c r="N9" t="s">
        <v>668</v>
      </c>
      <c r="O9" t="s">
        <v>873</v>
      </c>
      <c r="Q9" t="s">
        <v>1009</v>
      </c>
    </row>
    <row r="10" spans="1:17">
      <c r="B10" t="s">
        <v>903</v>
      </c>
      <c r="C10" t="s">
        <v>615</v>
      </c>
      <c r="D10">
        <v>4.0000000000000001E-10</v>
      </c>
      <c r="E10" t="s">
        <v>616</v>
      </c>
      <c r="H10" t="s">
        <v>588</v>
      </c>
      <c r="I10">
        <v>4.0000000000000001E-10</v>
      </c>
      <c r="J10">
        <v>1.8970734775263891</v>
      </c>
      <c r="N10" t="s">
        <v>904</v>
      </c>
      <c r="O10" t="s">
        <v>873</v>
      </c>
      <c r="Q10" t="s">
        <v>1010</v>
      </c>
    </row>
    <row r="11" spans="1:17">
      <c r="B11" t="s">
        <v>596</v>
      </c>
      <c r="C11" t="s">
        <v>597</v>
      </c>
      <c r="D11">
        <v>0.19652991661967101</v>
      </c>
      <c r="E11" t="s">
        <v>598</v>
      </c>
      <c r="H11" t="s">
        <v>588</v>
      </c>
      <c r="I11">
        <v>0.19652991661967101</v>
      </c>
      <c r="J11">
        <v>1.3268964411453439</v>
      </c>
      <c r="N11" t="s">
        <v>599</v>
      </c>
      <c r="O11" t="s">
        <v>1011</v>
      </c>
      <c r="Q11" t="s">
        <v>1012</v>
      </c>
    </row>
    <row r="12" spans="1:17">
      <c r="B12" t="s">
        <v>596</v>
      </c>
      <c r="C12" t="s">
        <v>597</v>
      </c>
      <c r="D12">
        <v>1.3512684906322001E-2</v>
      </c>
      <c r="E12" t="s">
        <v>598</v>
      </c>
      <c r="H12" t="s">
        <v>588</v>
      </c>
      <c r="I12">
        <v>1.3512684906322001E-2</v>
      </c>
      <c r="J12">
        <v>1.3268964411453439</v>
      </c>
      <c r="N12" t="s">
        <v>599</v>
      </c>
      <c r="O12" t="s">
        <v>1011</v>
      </c>
      <c r="Q12" t="s">
        <v>1012</v>
      </c>
    </row>
    <row r="13" spans="1:17">
      <c r="B13" t="s">
        <v>596</v>
      </c>
      <c r="C13" t="s">
        <v>597</v>
      </c>
      <c r="D13">
        <v>9.0253978892947798E-2</v>
      </c>
      <c r="E13" t="s">
        <v>598</v>
      </c>
      <c r="H13" t="s">
        <v>588</v>
      </c>
      <c r="I13">
        <v>9.0253978892947798E-2</v>
      </c>
      <c r="J13">
        <v>1.3268964411453439</v>
      </c>
      <c r="N13" t="s">
        <v>599</v>
      </c>
      <c r="O13" t="s">
        <v>1011</v>
      </c>
      <c r="Q13" t="s">
        <v>1012</v>
      </c>
    </row>
    <row r="14" spans="1:17">
      <c r="B14" t="s">
        <v>596</v>
      </c>
      <c r="C14" t="s">
        <v>597</v>
      </c>
      <c r="D14">
        <v>4.1975278549418304E-3</v>
      </c>
      <c r="E14" t="s">
        <v>598</v>
      </c>
      <c r="H14" t="s">
        <v>588</v>
      </c>
      <c r="I14">
        <v>4.1975278549418304E-3</v>
      </c>
      <c r="J14">
        <v>1.3268964411453439</v>
      </c>
      <c r="N14" t="s">
        <v>797</v>
      </c>
      <c r="O14" t="s">
        <v>1011</v>
      </c>
      <c r="Q14" t="s">
        <v>1012</v>
      </c>
    </row>
    <row r="15" spans="1:17">
      <c r="B15" t="s">
        <v>596</v>
      </c>
      <c r="C15" t="s">
        <v>597</v>
      </c>
      <c r="D15">
        <v>8.0490520101165499E-4</v>
      </c>
      <c r="E15" t="s">
        <v>598</v>
      </c>
      <c r="H15" t="s">
        <v>588</v>
      </c>
      <c r="I15">
        <v>8.0490520101165499E-4</v>
      </c>
      <c r="J15">
        <v>1.3268964411453439</v>
      </c>
      <c r="N15" t="s">
        <v>797</v>
      </c>
      <c r="O15" t="s">
        <v>1011</v>
      </c>
      <c r="Q15" t="s">
        <v>1012</v>
      </c>
    </row>
    <row r="16" spans="1:17">
      <c r="B16" t="s">
        <v>596</v>
      </c>
      <c r="C16" t="s">
        <v>597</v>
      </c>
      <c r="D16">
        <v>2.7700986525106198E-2</v>
      </c>
      <c r="E16" t="s">
        <v>598</v>
      </c>
      <c r="H16" t="s">
        <v>588</v>
      </c>
      <c r="I16">
        <v>2.7700986525106198E-2</v>
      </c>
      <c r="J16">
        <v>1.3268964411453439</v>
      </c>
      <c r="N16" t="s">
        <v>599</v>
      </c>
      <c r="O16" t="s">
        <v>1011</v>
      </c>
      <c r="Q16" t="s">
        <v>1012</v>
      </c>
    </row>
    <row r="17" spans="1:17">
      <c r="B17" t="s">
        <v>845</v>
      </c>
      <c r="C17" t="s">
        <v>597</v>
      </c>
      <c r="D17">
        <v>3.03563556562183E-2</v>
      </c>
      <c r="E17" t="s">
        <v>607</v>
      </c>
      <c r="H17" t="s">
        <v>588</v>
      </c>
      <c r="I17">
        <v>3.03563556562183E-2</v>
      </c>
      <c r="J17">
        <v>1.3268964411453439</v>
      </c>
      <c r="N17" t="s">
        <v>846</v>
      </c>
      <c r="O17" t="s">
        <v>1011</v>
      </c>
      <c r="Q17" t="s">
        <v>595</v>
      </c>
    </row>
    <row r="18" spans="1:17">
      <c r="B18" t="s">
        <v>845</v>
      </c>
      <c r="C18" t="s">
        <v>597</v>
      </c>
      <c r="D18">
        <v>1.9696436443437799</v>
      </c>
      <c r="E18" t="s">
        <v>607</v>
      </c>
      <c r="H18" t="s">
        <v>588</v>
      </c>
      <c r="I18">
        <v>1.9696436443437799</v>
      </c>
      <c r="J18">
        <v>1.3268964411453439</v>
      </c>
      <c r="N18" t="s">
        <v>846</v>
      </c>
      <c r="O18" t="s">
        <v>1011</v>
      </c>
      <c r="Q18" t="s">
        <v>595</v>
      </c>
    </row>
    <row r="19" spans="1:17">
      <c r="B19" t="s">
        <v>912</v>
      </c>
      <c r="C19" t="s">
        <v>569</v>
      </c>
      <c r="D19">
        <v>0.58399999999999996</v>
      </c>
      <c r="E19" t="s">
        <v>94</v>
      </c>
      <c r="H19" t="s">
        <v>588</v>
      </c>
      <c r="I19">
        <v>0.58399999999999996</v>
      </c>
      <c r="J19">
        <v>1.0247973619913604</v>
      </c>
      <c r="N19" t="s">
        <v>1013</v>
      </c>
      <c r="O19" t="s">
        <v>873</v>
      </c>
      <c r="Q19" t="s">
        <v>1009</v>
      </c>
    </row>
    <row r="20" spans="1:17">
      <c r="B20" t="s">
        <v>703</v>
      </c>
      <c r="C20" t="s">
        <v>673</v>
      </c>
      <c r="D20">
        <v>0.58299999999999996</v>
      </c>
      <c r="E20" t="s">
        <v>94</v>
      </c>
      <c r="H20" t="s">
        <v>588</v>
      </c>
      <c r="I20">
        <v>0.58299999999999996</v>
      </c>
      <c r="J20">
        <v>1.0247973619913604</v>
      </c>
      <c r="N20" t="s">
        <v>704</v>
      </c>
      <c r="O20" t="s">
        <v>873</v>
      </c>
      <c r="Q20" t="s">
        <v>595</v>
      </c>
    </row>
    <row r="21" spans="1:17">
      <c r="B21" t="s">
        <v>705</v>
      </c>
      <c r="C21" t="s">
        <v>639</v>
      </c>
      <c r="D21">
        <v>2.4E-2</v>
      </c>
      <c r="E21" t="s">
        <v>640</v>
      </c>
      <c r="H21" t="s">
        <v>588</v>
      </c>
      <c r="I21">
        <v>2.4E-2</v>
      </c>
      <c r="J21">
        <v>1.3268964411453439</v>
      </c>
      <c r="O21" t="s">
        <v>1011</v>
      </c>
      <c r="Q21" t="s">
        <v>1012</v>
      </c>
    </row>
    <row r="22" spans="1:17">
      <c r="B22" t="s">
        <v>706</v>
      </c>
      <c r="C22" t="s">
        <v>639</v>
      </c>
      <c r="D22">
        <v>1.2E-2</v>
      </c>
      <c r="E22" t="s">
        <v>640</v>
      </c>
      <c r="H22" t="s">
        <v>588</v>
      </c>
      <c r="I22">
        <v>1.2E-2</v>
      </c>
      <c r="J22">
        <v>1.3268964411453439</v>
      </c>
      <c r="O22" t="s">
        <v>1011</v>
      </c>
      <c r="Q22" t="s">
        <v>1012</v>
      </c>
    </row>
    <row r="24" spans="1:17">
      <c r="A24" t="s">
        <v>710</v>
      </c>
    </row>
    <row r="25" spans="1:17">
      <c r="A25" s="424" t="s">
        <v>570</v>
      </c>
      <c r="B25" s="424" t="s">
        <v>571</v>
      </c>
      <c r="C25" s="424" t="s">
        <v>568</v>
      </c>
      <c r="D25" s="424" t="s">
        <v>572</v>
      </c>
      <c r="E25" s="424" t="s">
        <v>573</v>
      </c>
      <c r="F25" s="424" t="s">
        <v>574</v>
      </c>
      <c r="G25" s="424" t="s">
        <v>575</v>
      </c>
      <c r="H25" s="424" t="s">
        <v>576</v>
      </c>
      <c r="I25" s="424" t="s">
        <v>577</v>
      </c>
      <c r="J25" s="424" t="s">
        <v>578</v>
      </c>
      <c r="K25" s="424" t="s">
        <v>579</v>
      </c>
      <c r="L25" s="424" t="s">
        <v>580</v>
      </c>
      <c r="M25" s="424" t="s">
        <v>581</v>
      </c>
      <c r="N25" s="424" t="s">
        <v>582</v>
      </c>
      <c r="O25" s="424" t="s">
        <v>583</v>
      </c>
      <c r="P25" s="424" t="s">
        <v>584</v>
      </c>
      <c r="Q25" s="424" t="s">
        <v>585</v>
      </c>
    </row>
    <row r="26" spans="1:17">
      <c r="A26" s="424" t="s">
        <v>645</v>
      </c>
      <c r="B26" s="424" t="s">
        <v>1014</v>
      </c>
      <c r="C26" s="424" t="s">
        <v>673</v>
      </c>
      <c r="D26" s="424">
        <v>1</v>
      </c>
      <c r="E26" s="424" t="s">
        <v>94</v>
      </c>
      <c r="F26" s="424">
        <v>1</v>
      </c>
      <c r="G26" s="424" t="s">
        <v>647</v>
      </c>
      <c r="M26" s="424"/>
      <c r="O26" s="424"/>
      <c r="P26" s="424"/>
      <c r="Q26" s="424" t="s">
        <v>595</v>
      </c>
    </row>
    <row r="27" spans="1:17">
      <c r="B27" t="s">
        <v>741</v>
      </c>
      <c r="C27" t="s">
        <v>661</v>
      </c>
      <c r="D27">
        <v>9.9799999999999993E-3</v>
      </c>
      <c r="E27" t="s">
        <v>94</v>
      </c>
      <c r="H27" t="s">
        <v>588</v>
      </c>
      <c r="I27">
        <v>9.9799999999999993E-3</v>
      </c>
      <c r="J27">
        <v>1.3719427019669197</v>
      </c>
      <c r="O27" t="s">
        <v>1011</v>
      </c>
      <c r="Q27" t="s">
        <v>1015</v>
      </c>
    </row>
    <row r="28" spans="1:17">
      <c r="B28" t="s">
        <v>243</v>
      </c>
      <c r="C28" t="s">
        <v>887</v>
      </c>
      <c r="D28">
        <v>1.17E-3</v>
      </c>
      <c r="E28" t="s">
        <v>94</v>
      </c>
      <c r="H28" t="s">
        <v>588</v>
      </c>
      <c r="I28">
        <v>1.17E-3</v>
      </c>
      <c r="J28">
        <v>1.4139824580805163</v>
      </c>
      <c r="O28" t="s">
        <v>952</v>
      </c>
      <c r="Q28" t="s">
        <v>1010</v>
      </c>
    </row>
    <row r="29" spans="1:17">
      <c r="B29" t="s">
        <v>773</v>
      </c>
      <c r="C29" t="s">
        <v>661</v>
      </c>
      <c r="D29">
        <v>6.0400000000000002E-3</v>
      </c>
      <c r="E29" t="s">
        <v>94</v>
      </c>
      <c r="H29" t="s">
        <v>588</v>
      </c>
      <c r="I29">
        <v>6.0400000000000002E-3</v>
      </c>
      <c r="J29">
        <v>1.3719427019669197</v>
      </c>
      <c r="O29" t="s">
        <v>1011</v>
      </c>
      <c r="Q29" t="s">
        <v>1015</v>
      </c>
    </row>
    <row r="30" spans="1:17">
      <c r="B30" t="s">
        <v>251</v>
      </c>
      <c r="C30" t="s">
        <v>654</v>
      </c>
      <c r="D30">
        <v>1.176E-2</v>
      </c>
      <c r="E30" t="s">
        <v>640</v>
      </c>
      <c r="H30" t="s">
        <v>588</v>
      </c>
      <c r="I30">
        <v>1.176E-2</v>
      </c>
      <c r="J30">
        <v>1.2214027581601699</v>
      </c>
      <c r="O30" t="s">
        <v>841</v>
      </c>
      <c r="Q30" t="s">
        <v>835</v>
      </c>
    </row>
    <row r="31" spans="1:17">
      <c r="B31" t="s">
        <v>789</v>
      </c>
      <c r="C31" t="s">
        <v>712</v>
      </c>
      <c r="D31">
        <v>2.4240000000000001E-2</v>
      </c>
      <c r="E31" t="s">
        <v>640</v>
      </c>
      <c r="H31" t="s">
        <v>588</v>
      </c>
      <c r="I31">
        <v>2.4240000000000001E-2</v>
      </c>
      <c r="J31">
        <v>1.2214027581601699</v>
      </c>
      <c r="O31" t="s">
        <v>841</v>
      </c>
      <c r="Q31" t="s">
        <v>835</v>
      </c>
    </row>
    <row r="33" spans="2:7">
      <c r="B33" s="1043" t="s">
        <v>5218</v>
      </c>
      <c r="C33" s="1043"/>
      <c r="D33" s="1043"/>
      <c r="E33" s="1043"/>
      <c r="F33" s="1043"/>
      <c r="G33" s="444"/>
    </row>
    <row r="34" spans="2:7">
      <c r="B34" s="430" t="s">
        <v>596</v>
      </c>
      <c r="C34" s="430">
        <f>SUMIFS($D$9:$D$22,$B$9:$B$22,B34)</f>
        <v>0.33300000000000052</v>
      </c>
      <c r="D34" s="431" t="s">
        <v>598</v>
      </c>
      <c r="E34" s="432" t="e">
        <f>'FE - Aluminum'!#REF!*'FE - Aluminum'!#REF!/3.6</f>
        <v>#REF!</v>
      </c>
      <c r="F34" s="433" t="s">
        <v>5206</v>
      </c>
    </row>
    <row r="35" spans="2:7">
      <c r="B35" s="430" t="s">
        <v>845</v>
      </c>
      <c r="C35" s="430">
        <f t="shared" ref="C35:C38" si="0">SUMIFS($D$9:$D$22,$B$9:$B$22,B35)</f>
        <v>1.9999999999999982</v>
      </c>
      <c r="D35" s="431" t="s">
        <v>607</v>
      </c>
      <c r="E35" s="433" t="e">
        <f>'FE - Aluminum'!#REF!*'FE - Aluminum'!#REF!</f>
        <v>#REF!</v>
      </c>
      <c r="F35" s="433" t="s">
        <v>5207</v>
      </c>
    </row>
    <row r="36" spans="2:7">
      <c r="B36" s="430" t="s">
        <v>666</v>
      </c>
      <c r="C36" s="430">
        <f t="shared" si="0"/>
        <v>0.248</v>
      </c>
      <c r="D36" s="431" t="s">
        <v>94</v>
      </c>
      <c r="E36" s="433">
        <f>'FE - Aluminum'!CJ18</f>
        <v>0.248</v>
      </c>
      <c r="F36" s="433" t="s">
        <v>5</v>
      </c>
    </row>
    <row r="37" spans="2:7">
      <c r="B37" s="430" t="s">
        <v>912</v>
      </c>
      <c r="C37" s="430">
        <f t="shared" si="0"/>
        <v>0.58399999999999996</v>
      </c>
      <c r="D37" s="431" t="s">
        <v>94</v>
      </c>
      <c r="E37" s="433">
        <f>'FE - Aluminum'!CI18</f>
        <v>0.58399999999999996</v>
      </c>
      <c r="F37" s="433" t="s">
        <v>112</v>
      </c>
    </row>
    <row r="38" spans="2:7">
      <c r="B38" s="430" t="s">
        <v>703</v>
      </c>
      <c r="C38" s="430">
        <f t="shared" si="0"/>
        <v>0.58299999999999996</v>
      </c>
      <c r="D38" s="431" t="s">
        <v>94</v>
      </c>
      <c r="E38" s="433">
        <f>'FE - Aluminum'!DG18</f>
        <v>0.58299999999999996</v>
      </c>
      <c r="F38" s="433" t="s">
        <v>5214</v>
      </c>
    </row>
    <row r="40" spans="2:7">
      <c r="B40" s="430" t="s">
        <v>127</v>
      </c>
      <c r="C40" s="430">
        <f>C35+3.6*C34</f>
        <v>3.1988000000000003</v>
      </c>
      <c r="D40" s="431" t="s">
        <v>607</v>
      </c>
      <c r="E40" s="433" t="e">
        <f>E35+3.6*E34</f>
        <v>#REF!</v>
      </c>
      <c r="F40" s="433" t="s">
        <v>127</v>
      </c>
    </row>
  </sheetData>
  <mergeCells count="1">
    <mergeCell ref="B33:F33"/>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3744B-7E46-4064-B01D-8BABA7BFD663}">
  <sheetPr>
    <tabColor rgb="FF0070C0"/>
  </sheetPr>
  <dimension ref="A1:Q32"/>
  <sheetViews>
    <sheetView topLeftCell="A7" workbookViewId="0">
      <selection activeCell="B2" sqref="B2:B4"/>
    </sheetView>
  </sheetViews>
  <sheetFormatPr defaultRowHeight="14.4"/>
  <cols>
    <col min="2" max="2" width="45.5546875" customWidth="1"/>
    <col min="6" max="6" width="19.21875" customWidth="1"/>
  </cols>
  <sheetData>
    <row r="1" spans="1:17">
      <c r="A1" s="424" t="s">
        <v>564</v>
      </c>
    </row>
    <row r="2" spans="1:17">
      <c r="A2" s="423" t="s">
        <v>565</v>
      </c>
      <c r="B2" t="s">
        <v>1016</v>
      </c>
    </row>
    <row r="3" spans="1:17">
      <c r="A3" s="423" t="s">
        <v>567</v>
      </c>
      <c r="B3" t="s">
        <v>171</v>
      </c>
    </row>
    <row r="4" spans="1:17">
      <c r="A4" s="423" t="s">
        <v>568</v>
      </c>
      <c r="B4" t="s">
        <v>673</v>
      </c>
    </row>
    <row r="5" spans="1:17">
      <c r="A5" s="423" t="s">
        <v>585</v>
      </c>
      <c r="B5" t="s">
        <v>1017</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666</v>
      </c>
      <c r="C9" t="s">
        <v>667</v>
      </c>
      <c r="D9">
        <v>3.66862032457669E-2</v>
      </c>
      <c r="E9" t="s">
        <v>94</v>
      </c>
      <c r="H9" t="s">
        <v>588</v>
      </c>
      <c r="I9">
        <v>3.66862032457669E-2</v>
      </c>
      <c r="J9">
        <v>1.0247973619913604</v>
      </c>
      <c r="N9" t="s">
        <v>668</v>
      </c>
      <c r="O9" t="s">
        <v>873</v>
      </c>
      <c r="Q9" t="s">
        <v>595</v>
      </c>
    </row>
    <row r="10" spans="1:17">
      <c r="B10" t="s">
        <v>666</v>
      </c>
      <c r="C10" t="s">
        <v>667</v>
      </c>
      <c r="D10">
        <v>0.216694189285175</v>
      </c>
      <c r="E10" t="s">
        <v>94</v>
      </c>
      <c r="H10" t="s">
        <v>588</v>
      </c>
      <c r="I10">
        <v>0.216694189285175</v>
      </c>
      <c r="J10">
        <v>1.0247973619913604</v>
      </c>
      <c r="N10" t="s">
        <v>668</v>
      </c>
      <c r="O10" t="s">
        <v>873</v>
      </c>
      <c r="Q10" t="s">
        <v>595</v>
      </c>
    </row>
    <row r="11" spans="1:17">
      <c r="B11" t="s">
        <v>903</v>
      </c>
      <c r="C11" t="s">
        <v>615</v>
      </c>
      <c r="D11">
        <v>3.9646579066606298E-10</v>
      </c>
      <c r="E11" t="s">
        <v>616</v>
      </c>
      <c r="H11" t="s">
        <v>588</v>
      </c>
      <c r="I11">
        <v>3.9646579066606298E-10</v>
      </c>
      <c r="J11">
        <v>1.8970734775263891</v>
      </c>
      <c r="N11" t="s">
        <v>904</v>
      </c>
      <c r="O11" t="s">
        <v>873</v>
      </c>
      <c r="Q11" t="s">
        <v>595</v>
      </c>
    </row>
    <row r="12" spans="1:17">
      <c r="B12" t="s">
        <v>596</v>
      </c>
      <c r="C12" t="s">
        <v>597</v>
      </c>
      <c r="D12">
        <v>0.33005777072949699</v>
      </c>
      <c r="E12" t="s">
        <v>598</v>
      </c>
      <c r="H12" t="s">
        <v>588</v>
      </c>
      <c r="I12">
        <v>0.33005777072949699</v>
      </c>
      <c r="J12">
        <v>1.0247973619913604</v>
      </c>
      <c r="N12" t="s">
        <v>599</v>
      </c>
      <c r="O12" t="s">
        <v>1018</v>
      </c>
      <c r="Q12" t="s">
        <v>1019</v>
      </c>
    </row>
    <row r="13" spans="1:17">
      <c r="B13" t="s">
        <v>888</v>
      </c>
      <c r="C13" t="s">
        <v>809</v>
      </c>
      <c r="D13">
        <v>0.715426990675602</v>
      </c>
      <c r="E13" t="s">
        <v>94</v>
      </c>
      <c r="H13" t="s">
        <v>588</v>
      </c>
      <c r="I13">
        <v>0.715426990675602</v>
      </c>
      <c r="J13">
        <v>1.2214027581601699</v>
      </c>
      <c r="N13" t="s">
        <v>1020</v>
      </c>
      <c r="O13" t="s">
        <v>952</v>
      </c>
      <c r="Q13" t="s">
        <v>1021</v>
      </c>
    </row>
    <row r="14" spans="1:17">
      <c r="B14" t="s">
        <v>845</v>
      </c>
      <c r="C14" t="s">
        <v>597</v>
      </c>
      <c r="D14">
        <v>1.9823289533303099</v>
      </c>
      <c r="E14" t="s">
        <v>607</v>
      </c>
      <c r="H14" t="s">
        <v>588</v>
      </c>
      <c r="I14">
        <v>1.9823289533303099</v>
      </c>
      <c r="J14">
        <v>1.3268964411453439</v>
      </c>
      <c r="N14" t="s">
        <v>1022</v>
      </c>
      <c r="O14" t="s">
        <v>1011</v>
      </c>
      <c r="Q14" t="s">
        <v>595</v>
      </c>
    </row>
    <row r="15" spans="1:17">
      <c r="B15" t="s">
        <v>703</v>
      </c>
      <c r="C15" t="s">
        <v>673</v>
      </c>
      <c r="D15">
        <v>0.59618915889633395</v>
      </c>
      <c r="E15" t="s">
        <v>94</v>
      </c>
      <c r="H15" t="s">
        <v>588</v>
      </c>
      <c r="I15">
        <v>0.59618915889633395</v>
      </c>
      <c r="J15">
        <v>1.0247973619913604</v>
      </c>
      <c r="N15" t="s">
        <v>704</v>
      </c>
      <c r="O15" t="s">
        <v>873</v>
      </c>
      <c r="Q15" t="s">
        <v>595</v>
      </c>
    </row>
    <row r="16" spans="1:17">
      <c r="B16" t="s">
        <v>1023</v>
      </c>
      <c r="C16" t="s">
        <v>639</v>
      </c>
      <c r="D16">
        <v>2.3787947439963798E-2</v>
      </c>
      <c r="E16" t="s">
        <v>640</v>
      </c>
      <c r="H16" t="s">
        <v>588</v>
      </c>
      <c r="I16">
        <v>2.3787947439963798E-2</v>
      </c>
      <c r="J16">
        <v>1.3268964411453439</v>
      </c>
      <c r="O16" t="s">
        <v>1011</v>
      </c>
      <c r="Q16" t="s">
        <v>1024</v>
      </c>
    </row>
    <row r="18" spans="1:17">
      <c r="A18" t="s">
        <v>710</v>
      </c>
    </row>
    <row r="19" spans="1:17">
      <c r="A19" s="424" t="s">
        <v>570</v>
      </c>
      <c r="B19" s="424" t="s">
        <v>571</v>
      </c>
      <c r="C19" s="424" t="s">
        <v>568</v>
      </c>
      <c r="D19" s="424" t="s">
        <v>572</v>
      </c>
      <c r="E19" s="424" t="s">
        <v>573</v>
      </c>
      <c r="F19" s="424" t="s">
        <v>574</v>
      </c>
      <c r="G19" s="424" t="s">
        <v>575</v>
      </c>
      <c r="H19" s="424" t="s">
        <v>576</v>
      </c>
      <c r="I19" s="424" t="s">
        <v>577</v>
      </c>
      <c r="J19" s="424" t="s">
        <v>578</v>
      </c>
      <c r="K19" s="424" t="s">
        <v>579</v>
      </c>
      <c r="L19" s="424" t="s">
        <v>580</v>
      </c>
      <c r="M19" s="424" t="s">
        <v>581</v>
      </c>
      <c r="N19" s="424" t="s">
        <v>582</v>
      </c>
      <c r="O19" s="424" t="s">
        <v>583</v>
      </c>
      <c r="P19" s="424" t="s">
        <v>584</v>
      </c>
      <c r="Q19" s="424" t="s">
        <v>585</v>
      </c>
    </row>
    <row r="20" spans="1:17">
      <c r="A20" s="424" t="s">
        <v>645</v>
      </c>
      <c r="B20" s="424" t="s">
        <v>1014</v>
      </c>
      <c r="C20" s="424" t="s">
        <v>673</v>
      </c>
      <c r="D20" s="424">
        <v>1</v>
      </c>
      <c r="E20" s="424" t="s">
        <v>94</v>
      </c>
      <c r="F20" s="424">
        <v>1</v>
      </c>
      <c r="G20" s="424" t="s">
        <v>647</v>
      </c>
      <c r="M20" s="424"/>
      <c r="O20" s="424"/>
      <c r="P20" s="424"/>
      <c r="Q20" s="424" t="s">
        <v>595</v>
      </c>
    </row>
    <row r="21" spans="1:17">
      <c r="B21" t="s">
        <v>1025</v>
      </c>
      <c r="C21" t="s">
        <v>712</v>
      </c>
      <c r="D21">
        <v>3.76540521408211E-3</v>
      </c>
      <c r="E21" t="s">
        <v>94</v>
      </c>
      <c r="H21" t="s">
        <v>588</v>
      </c>
      <c r="I21">
        <v>3.76540521408211E-3</v>
      </c>
      <c r="J21">
        <v>1.2214027581601699</v>
      </c>
      <c r="O21" t="s">
        <v>952</v>
      </c>
      <c r="Q21" t="s">
        <v>1026</v>
      </c>
    </row>
    <row r="22" spans="1:17">
      <c r="B22" t="s">
        <v>773</v>
      </c>
      <c r="C22" t="s">
        <v>661</v>
      </c>
      <c r="D22">
        <v>1.80425666508101E-3</v>
      </c>
      <c r="E22" t="s">
        <v>94</v>
      </c>
      <c r="H22" t="s">
        <v>588</v>
      </c>
      <c r="I22">
        <v>1.80425666508101E-3</v>
      </c>
      <c r="J22">
        <v>1.3719427019669197</v>
      </c>
      <c r="O22" t="s">
        <v>1011</v>
      </c>
      <c r="Q22" t="s">
        <v>1027</v>
      </c>
    </row>
    <row r="23" spans="1:17">
      <c r="B23" t="s">
        <v>251</v>
      </c>
      <c r="C23" t="s">
        <v>654</v>
      </c>
      <c r="D23">
        <v>9.2178296329859504E-3</v>
      </c>
      <c r="E23" t="s">
        <v>640</v>
      </c>
      <c r="H23" t="s">
        <v>588</v>
      </c>
      <c r="I23">
        <v>9.2178296329859504E-3</v>
      </c>
      <c r="J23">
        <v>1.2214027581601699</v>
      </c>
      <c r="O23" t="s">
        <v>1028</v>
      </c>
      <c r="Q23" t="s">
        <v>835</v>
      </c>
    </row>
    <row r="24" spans="1:17">
      <c r="B24" t="s">
        <v>660</v>
      </c>
      <c r="C24" t="s">
        <v>712</v>
      </c>
      <c r="D24">
        <v>1.4570117806977799E-2</v>
      </c>
      <c r="E24" t="s">
        <v>640</v>
      </c>
      <c r="H24" t="s">
        <v>588</v>
      </c>
      <c r="I24">
        <v>1.4570117806977799E-2</v>
      </c>
      <c r="J24">
        <v>1.2214027581601699</v>
      </c>
      <c r="O24" t="s">
        <v>1028</v>
      </c>
      <c r="Q24" t="s">
        <v>835</v>
      </c>
    </row>
    <row r="25" spans="1:17">
      <c r="B25" s="1043" t="s">
        <v>5218</v>
      </c>
      <c r="C25" s="1043"/>
      <c r="D25" s="1043"/>
      <c r="E25" s="1043"/>
      <c r="F25" s="1043"/>
      <c r="G25" s="444"/>
    </row>
    <row r="26" spans="1:17">
      <c r="B26" s="430" t="s">
        <v>666</v>
      </c>
      <c r="C26" s="430">
        <f>SUMIFS($D$9:$D$16,$B$9:$B$16,B26)</f>
        <v>0.25338039253094191</v>
      </c>
      <c r="D26" s="431" t="s">
        <v>94</v>
      </c>
      <c r="E26" s="433">
        <f>'FE - Aluminum'!CJ19</f>
        <v>0.25337999999999999</v>
      </c>
      <c r="F26" s="433" t="s">
        <v>5</v>
      </c>
    </row>
    <row r="27" spans="1:17">
      <c r="B27" s="430" t="s">
        <v>596</v>
      </c>
      <c r="C27" s="430">
        <f t="shared" ref="C27:C30" si="0">SUMIFS($D$9:$D$16,$B$9:$B$16,B27)</f>
        <v>0.33005777072949699</v>
      </c>
      <c r="D27" s="431" t="s">
        <v>598</v>
      </c>
      <c r="E27" s="432" t="e">
        <f>'FE - Aluminum'!#REF!*'FE - Aluminum'!#REF!/3.6</f>
        <v>#REF!</v>
      </c>
      <c r="F27" s="433" t="s">
        <v>5206</v>
      </c>
    </row>
    <row r="28" spans="1:17">
      <c r="B28" s="430" t="s">
        <v>888</v>
      </c>
      <c r="C28" s="430">
        <f t="shared" si="0"/>
        <v>0.715426990675602</v>
      </c>
      <c r="D28" s="431" t="s">
        <v>94</v>
      </c>
      <c r="E28" s="433">
        <f>'FE - Aluminum'!CH19</f>
        <v>0.71543000000000001</v>
      </c>
      <c r="F28" s="433" t="s">
        <v>114</v>
      </c>
    </row>
    <row r="29" spans="1:17">
      <c r="B29" s="430" t="s">
        <v>845</v>
      </c>
      <c r="C29" s="430">
        <f t="shared" si="0"/>
        <v>1.9823289533303099</v>
      </c>
      <c r="D29" s="431" t="s">
        <v>607</v>
      </c>
      <c r="E29" s="433" t="e">
        <f>'FE - Aluminum'!#REF!*'FE - Aluminum'!#REF!</f>
        <v>#REF!</v>
      </c>
      <c r="F29" s="433" t="s">
        <v>5207</v>
      </c>
    </row>
    <row r="30" spans="1:17">
      <c r="B30" s="430" t="s">
        <v>703</v>
      </c>
      <c r="C30" s="430">
        <f t="shared" si="0"/>
        <v>0.59618915889633395</v>
      </c>
      <c r="D30" s="431" t="s">
        <v>94</v>
      </c>
      <c r="E30" s="433">
        <f>'FE - Aluminum'!DG19</f>
        <v>0.59619</v>
      </c>
      <c r="F30" s="433" t="s">
        <v>103</v>
      </c>
    </row>
    <row r="32" spans="1:17">
      <c r="B32" s="430" t="s">
        <v>127</v>
      </c>
      <c r="C32" s="430">
        <f>C29+3.6*C26</f>
        <v>2.8944983664417006</v>
      </c>
      <c r="D32" s="431" t="s">
        <v>607</v>
      </c>
      <c r="E32" s="433" t="e">
        <f>E29+3.6*E26</f>
        <v>#REF!</v>
      </c>
      <c r="F32" s="433" t="s">
        <v>127</v>
      </c>
    </row>
  </sheetData>
  <mergeCells count="1">
    <mergeCell ref="B25:F2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FD180-E3D7-4060-A98B-5757DAEAE1A4}">
  <sheetPr>
    <tabColor rgb="FF0070C0"/>
  </sheetPr>
  <dimension ref="A1:Q35"/>
  <sheetViews>
    <sheetView topLeftCell="A11" workbookViewId="0">
      <selection activeCell="B2" sqref="B2:B4"/>
    </sheetView>
  </sheetViews>
  <sheetFormatPr defaultRowHeight="14.4"/>
  <cols>
    <col min="2" max="2" width="30.88671875" customWidth="1"/>
    <col min="6" max="6" width="19.21875" customWidth="1"/>
  </cols>
  <sheetData>
    <row r="1" spans="1:17">
      <c r="A1" s="424" t="s">
        <v>564</v>
      </c>
    </row>
    <row r="2" spans="1:17">
      <c r="A2" s="423" t="s">
        <v>565</v>
      </c>
      <c r="B2" s="425" t="s">
        <v>1029</v>
      </c>
    </row>
    <row r="3" spans="1:17">
      <c r="A3" s="423" t="s">
        <v>567</v>
      </c>
      <c r="B3" t="s">
        <v>169</v>
      </c>
    </row>
    <row r="4" spans="1:17">
      <c r="A4" s="423" t="s">
        <v>568</v>
      </c>
      <c r="B4" t="s">
        <v>673</v>
      </c>
    </row>
    <row r="5" spans="1:17">
      <c r="A5" s="423" t="s">
        <v>585</v>
      </c>
      <c r="B5" t="s">
        <v>1030</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666</v>
      </c>
      <c r="C9" t="s">
        <v>667</v>
      </c>
      <c r="D9">
        <v>0.61899999999999999</v>
      </c>
      <c r="E9" t="s">
        <v>94</v>
      </c>
      <c r="H9" t="s">
        <v>588</v>
      </c>
      <c r="I9">
        <v>0.61899999999999999</v>
      </c>
      <c r="J9">
        <v>1.0247973619913604</v>
      </c>
      <c r="N9" t="s">
        <v>668</v>
      </c>
      <c r="O9" t="s">
        <v>873</v>
      </c>
      <c r="Q9" t="s">
        <v>1009</v>
      </c>
    </row>
    <row r="10" spans="1:17">
      <c r="B10" t="s">
        <v>903</v>
      </c>
      <c r="C10" t="s">
        <v>615</v>
      </c>
      <c r="D10">
        <v>4.0000000000000001E-10</v>
      </c>
      <c r="E10" t="s">
        <v>616</v>
      </c>
      <c r="H10" t="s">
        <v>588</v>
      </c>
      <c r="I10">
        <v>4.0000000000000001E-10</v>
      </c>
      <c r="J10">
        <v>1.8970734775263891</v>
      </c>
      <c r="N10" t="s">
        <v>904</v>
      </c>
      <c r="O10" t="s">
        <v>873</v>
      </c>
      <c r="Q10" t="s">
        <v>1010</v>
      </c>
    </row>
    <row r="11" spans="1:17">
      <c r="B11" t="s">
        <v>596</v>
      </c>
      <c r="C11" t="s">
        <v>597</v>
      </c>
      <c r="D11">
        <v>4.1975278549418304E-3</v>
      </c>
      <c r="E11" t="s">
        <v>598</v>
      </c>
      <c r="H11" t="s">
        <v>588</v>
      </c>
      <c r="I11">
        <v>4.1975278549418304E-3</v>
      </c>
      <c r="J11">
        <v>1.3268964411453439</v>
      </c>
      <c r="N11" t="s">
        <v>797</v>
      </c>
      <c r="O11" t="s">
        <v>1011</v>
      </c>
      <c r="Q11" t="s">
        <v>600</v>
      </c>
    </row>
    <row r="12" spans="1:17">
      <c r="B12" t="s">
        <v>596</v>
      </c>
      <c r="C12" t="s">
        <v>597</v>
      </c>
      <c r="D12">
        <v>8.0490520101165499E-4</v>
      </c>
      <c r="E12" t="s">
        <v>598</v>
      </c>
      <c r="H12" t="s">
        <v>588</v>
      </c>
      <c r="I12">
        <v>8.0490520101165499E-4</v>
      </c>
      <c r="J12">
        <v>1.3268964411453439</v>
      </c>
      <c r="N12" t="s">
        <v>797</v>
      </c>
      <c r="O12" t="s">
        <v>1011</v>
      </c>
      <c r="Q12" t="s">
        <v>600</v>
      </c>
    </row>
    <row r="13" spans="1:17">
      <c r="B13" t="s">
        <v>596</v>
      </c>
      <c r="C13" t="s">
        <v>597</v>
      </c>
      <c r="D13">
        <v>2.7700986525106198E-2</v>
      </c>
      <c r="E13" t="s">
        <v>598</v>
      </c>
      <c r="H13" t="s">
        <v>588</v>
      </c>
      <c r="I13">
        <v>2.7700986525106198E-2</v>
      </c>
      <c r="J13">
        <v>1.3268964411453439</v>
      </c>
      <c r="N13" t="s">
        <v>599</v>
      </c>
      <c r="O13" t="s">
        <v>1011</v>
      </c>
      <c r="Q13" t="s">
        <v>600</v>
      </c>
    </row>
    <row r="14" spans="1:17">
      <c r="B14" t="s">
        <v>596</v>
      </c>
      <c r="C14" t="s">
        <v>597</v>
      </c>
      <c r="D14">
        <v>1.3512684906322001E-2</v>
      </c>
      <c r="E14" t="s">
        <v>598</v>
      </c>
      <c r="H14" t="s">
        <v>588</v>
      </c>
      <c r="I14">
        <v>1.3512684906322001E-2</v>
      </c>
      <c r="J14">
        <v>1.3268964411453439</v>
      </c>
      <c r="N14" t="s">
        <v>599</v>
      </c>
      <c r="O14" t="s">
        <v>1011</v>
      </c>
      <c r="Q14" t="s">
        <v>600</v>
      </c>
    </row>
    <row r="15" spans="1:17">
      <c r="B15" t="s">
        <v>596</v>
      </c>
      <c r="C15" t="s">
        <v>597</v>
      </c>
      <c r="D15">
        <v>9.0253978892947798E-2</v>
      </c>
      <c r="E15" t="s">
        <v>598</v>
      </c>
      <c r="H15" t="s">
        <v>588</v>
      </c>
      <c r="I15">
        <v>9.0253978892947798E-2</v>
      </c>
      <c r="J15">
        <v>1.3268964411453439</v>
      </c>
      <c r="N15" t="s">
        <v>599</v>
      </c>
      <c r="O15" t="s">
        <v>1011</v>
      </c>
      <c r="Q15" t="s">
        <v>600</v>
      </c>
    </row>
    <row r="16" spans="1:17">
      <c r="B16" t="s">
        <v>596</v>
      </c>
      <c r="C16" t="s">
        <v>597</v>
      </c>
      <c r="D16">
        <v>0.19652991661967101</v>
      </c>
      <c r="E16" t="s">
        <v>598</v>
      </c>
      <c r="H16" t="s">
        <v>588</v>
      </c>
      <c r="I16">
        <v>0.19652991661967101</v>
      </c>
      <c r="J16">
        <v>1.3268964411453439</v>
      </c>
      <c r="N16" t="s">
        <v>599</v>
      </c>
      <c r="O16" t="s">
        <v>1011</v>
      </c>
      <c r="Q16" t="s">
        <v>600</v>
      </c>
    </row>
    <row r="17" spans="1:17">
      <c r="B17" t="s">
        <v>845</v>
      </c>
      <c r="C17" t="s">
        <v>597</v>
      </c>
      <c r="D17">
        <v>1.9696436443437799</v>
      </c>
      <c r="E17" t="s">
        <v>607</v>
      </c>
      <c r="H17" t="s">
        <v>588</v>
      </c>
      <c r="I17">
        <v>1.9696436443437799</v>
      </c>
      <c r="J17">
        <v>1.3268964411453439</v>
      </c>
      <c r="N17" t="s">
        <v>846</v>
      </c>
      <c r="O17" t="s">
        <v>1011</v>
      </c>
      <c r="Q17" t="s">
        <v>595</v>
      </c>
    </row>
    <row r="18" spans="1:17">
      <c r="B18" t="s">
        <v>845</v>
      </c>
      <c r="C18" t="s">
        <v>597</v>
      </c>
      <c r="D18">
        <v>3.03563556562183E-2</v>
      </c>
      <c r="E18" t="s">
        <v>607</v>
      </c>
      <c r="H18" t="s">
        <v>588</v>
      </c>
      <c r="I18">
        <v>3.03563556562183E-2</v>
      </c>
      <c r="J18">
        <v>1.3268964411453439</v>
      </c>
      <c r="N18" t="s">
        <v>846</v>
      </c>
      <c r="O18" t="s">
        <v>1011</v>
      </c>
      <c r="Q18" t="s">
        <v>595</v>
      </c>
    </row>
    <row r="19" spans="1:17">
      <c r="B19" t="s">
        <v>705</v>
      </c>
      <c r="C19" t="s">
        <v>639</v>
      </c>
      <c r="D19">
        <v>2.4E-2</v>
      </c>
      <c r="E19" t="s">
        <v>640</v>
      </c>
      <c r="H19" t="s">
        <v>588</v>
      </c>
      <c r="I19">
        <v>2.4E-2</v>
      </c>
      <c r="J19">
        <v>1.3268964411453439</v>
      </c>
      <c r="O19" t="s">
        <v>1011</v>
      </c>
      <c r="Q19" t="s">
        <v>1012</v>
      </c>
    </row>
    <row r="20" spans="1:17">
      <c r="B20" t="s">
        <v>706</v>
      </c>
      <c r="C20" t="s">
        <v>639</v>
      </c>
      <c r="D20">
        <v>1.2E-2</v>
      </c>
      <c r="E20" t="s">
        <v>640</v>
      </c>
      <c r="H20" t="s">
        <v>588</v>
      </c>
      <c r="I20">
        <v>1.2E-2</v>
      </c>
      <c r="J20">
        <v>1.3268964411453439</v>
      </c>
      <c r="O20" t="s">
        <v>1011</v>
      </c>
      <c r="Q20" t="s">
        <v>1012</v>
      </c>
    </row>
    <row r="22" spans="1:17">
      <c r="A22" t="s">
        <v>710</v>
      </c>
    </row>
    <row r="23" spans="1:17">
      <c r="A23" s="424" t="s">
        <v>570</v>
      </c>
      <c r="B23" s="424" t="s">
        <v>571</v>
      </c>
      <c r="C23" s="424" t="s">
        <v>568</v>
      </c>
      <c r="D23" s="424" t="s">
        <v>572</v>
      </c>
      <c r="E23" s="424" t="s">
        <v>573</v>
      </c>
      <c r="F23" s="424" t="s">
        <v>574</v>
      </c>
      <c r="G23" s="424" t="s">
        <v>575</v>
      </c>
      <c r="H23" s="424" t="s">
        <v>576</v>
      </c>
      <c r="I23" s="424" t="s">
        <v>577</v>
      </c>
      <c r="J23" s="424" t="s">
        <v>578</v>
      </c>
      <c r="K23" s="424" t="s">
        <v>579</v>
      </c>
      <c r="L23" s="424" t="s">
        <v>580</v>
      </c>
      <c r="M23" s="424" t="s">
        <v>581</v>
      </c>
      <c r="N23" s="424" t="s">
        <v>582</v>
      </c>
      <c r="O23" s="424" t="s">
        <v>583</v>
      </c>
      <c r="P23" s="424" t="s">
        <v>584</v>
      </c>
      <c r="Q23" s="424" t="s">
        <v>585</v>
      </c>
    </row>
    <row r="24" spans="1:17">
      <c r="A24" s="424" t="s">
        <v>645</v>
      </c>
      <c r="B24" s="424" t="s">
        <v>1031</v>
      </c>
      <c r="C24" s="424" t="s">
        <v>673</v>
      </c>
      <c r="D24" s="424">
        <v>1</v>
      </c>
      <c r="E24" s="424" t="s">
        <v>94</v>
      </c>
      <c r="F24" s="424">
        <v>0.71</v>
      </c>
      <c r="G24" s="424" t="s">
        <v>647</v>
      </c>
      <c r="M24" s="424"/>
      <c r="O24" s="424"/>
      <c r="P24" s="424"/>
      <c r="Q24" s="424" t="s">
        <v>595</v>
      </c>
    </row>
    <row r="25" spans="1:17">
      <c r="B25" t="s">
        <v>1025</v>
      </c>
      <c r="C25" t="s">
        <v>887</v>
      </c>
      <c r="D25">
        <v>1.75E-3</v>
      </c>
      <c r="E25" t="s">
        <v>94</v>
      </c>
      <c r="H25" t="s">
        <v>588</v>
      </c>
      <c r="I25">
        <v>1.75E-3</v>
      </c>
      <c r="J25">
        <v>1.4139824580805163</v>
      </c>
      <c r="O25" t="s">
        <v>952</v>
      </c>
      <c r="Q25" t="s">
        <v>1010</v>
      </c>
    </row>
    <row r="26" spans="1:17">
      <c r="B26" t="s">
        <v>1025</v>
      </c>
      <c r="C26" t="s">
        <v>661</v>
      </c>
      <c r="D26">
        <v>3.15E-3</v>
      </c>
      <c r="E26" t="s">
        <v>94</v>
      </c>
      <c r="H26" t="s">
        <v>588</v>
      </c>
      <c r="I26">
        <v>3.15E-3</v>
      </c>
      <c r="J26">
        <v>1.8523246175090917</v>
      </c>
      <c r="O26" t="s">
        <v>1011</v>
      </c>
      <c r="Q26" t="s">
        <v>1015</v>
      </c>
    </row>
    <row r="27" spans="1:17">
      <c r="B27" t="s">
        <v>251</v>
      </c>
      <c r="C27" t="s">
        <v>654</v>
      </c>
      <c r="D27">
        <v>1.11E-2</v>
      </c>
      <c r="E27" t="s">
        <v>640</v>
      </c>
      <c r="H27" t="s">
        <v>588</v>
      </c>
      <c r="I27">
        <v>1.11E-2</v>
      </c>
      <c r="J27">
        <v>1.2214027581601699</v>
      </c>
      <c r="O27" t="s">
        <v>841</v>
      </c>
      <c r="Q27" t="s">
        <v>835</v>
      </c>
    </row>
    <row r="28" spans="1:17">
      <c r="B28" t="s">
        <v>789</v>
      </c>
      <c r="C28" t="s">
        <v>712</v>
      </c>
      <c r="D28">
        <v>2.4899999999999999E-2</v>
      </c>
      <c r="E28" t="s">
        <v>640</v>
      </c>
      <c r="H28" t="s">
        <v>588</v>
      </c>
      <c r="I28">
        <v>2.4899999999999999E-2</v>
      </c>
      <c r="J28">
        <v>1.2214027581601699</v>
      </c>
      <c r="O28" t="s">
        <v>841</v>
      </c>
      <c r="Q28" t="s">
        <v>835</v>
      </c>
    </row>
    <row r="29" spans="1:17">
      <c r="B29" s="1043" t="s">
        <v>5218</v>
      </c>
      <c r="C29" s="1043"/>
      <c r="D29" s="1043"/>
      <c r="E29" s="1043"/>
      <c r="F29" s="1043"/>
      <c r="G29" s="444"/>
    </row>
    <row r="30" spans="1:17">
      <c r="B30" s="430" t="s">
        <v>666</v>
      </c>
      <c r="C30" s="430">
        <f>SUMIFS($D$9:$D$20,$B$9:$B$20,B30)</f>
        <v>0.61899999999999999</v>
      </c>
      <c r="D30" s="431" t="s">
        <v>94</v>
      </c>
      <c r="E30" s="433">
        <f>'FE - Aluminum'!CJ20</f>
        <v>0.6071428571428571</v>
      </c>
      <c r="F30" s="433" t="s">
        <v>5</v>
      </c>
    </row>
    <row r="31" spans="1:17">
      <c r="B31" s="430" t="s">
        <v>596</v>
      </c>
      <c r="C31" s="430">
        <f t="shared" ref="C31:C32" si="0">SUMIFS($D$9:$D$20,$B$9:$B$20,B31)</f>
        <v>0.33300000000000052</v>
      </c>
      <c r="D31" s="431" t="s">
        <v>598</v>
      </c>
      <c r="E31" s="432" t="e">
        <f>'FE - Aluminum'!#REF!*'FE - Aluminum'!#REF!/3.6</f>
        <v>#REF!</v>
      </c>
      <c r="F31" s="433" t="s">
        <v>5206</v>
      </c>
    </row>
    <row r="32" spans="1:17">
      <c r="B32" s="430" t="s">
        <v>845</v>
      </c>
      <c r="C32" s="430">
        <f t="shared" si="0"/>
        <v>1.9999999999999982</v>
      </c>
      <c r="D32" s="431" t="s">
        <v>607</v>
      </c>
      <c r="E32" s="433" t="e">
        <f>'FE - Aluminum'!#REF!*'FE - Aluminum'!#REF!</f>
        <v>#REF!</v>
      </c>
      <c r="F32" s="433" t="s">
        <v>5207</v>
      </c>
    </row>
    <row r="33" spans="2:6">
      <c r="D33" s="431" t="s">
        <v>94</v>
      </c>
      <c r="E33" s="433">
        <f>'FE - Aluminum'!CI20</f>
        <v>0.7142857142857143</v>
      </c>
      <c r="F33" s="433" t="s">
        <v>112</v>
      </c>
    </row>
    <row r="35" spans="2:6">
      <c r="B35" s="430" t="s">
        <v>127</v>
      </c>
      <c r="C35" s="430">
        <f>C32+3.6*C31</f>
        <v>3.1988000000000003</v>
      </c>
      <c r="D35" s="431" t="s">
        <v>607</v>
      </c>
      <c r="E35" s="433" t="e">
        <f>E32+3.6*E31</f>
        <v>#REF!</v>
      </c>
      <c r="F35" s="433" t="s">
        <v>127</v>
      </c>
    </row>
  </sheetData>
  <mergeCells count="1">
    <mergeCell ref="B29:F2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EA896-4272-4D5B-A0A7-ECACB93A4994}">
  <sheetPr>
    <tabColor rgb="FF0070C0"/>
  </sheetPr>
  <dimension ref="A1:Q25"/>
  <sheetViews>
    <sheetView workbookViewId="0">
      <selection activeCell="F27" sqref="F27"/>
    </sheetView>
  </sheetViews>
  <sheetFormatPr defaultRowHeight="14.4"/>
  <cols>
    <col min="2" max="2" width="40" customWidth="1"/>
    <col min="6" max="6" width="30.6640625" customWidth="1"/>
  </cols>
  <sheetData>
    <row r="1" spans="1:17">
      <c r="A1" s="424" t="s">
        <v>564</v>
      </c>
    </row>
    <row r="2" spans="1:17">
      <c r="A2" s="423" t="s">
        <v>565</v>
      </c>
      <c r="B2" t="s">
        <v>1032</v>
      </c>
    </row>
    <row r="3" spans="1:17">
      <c r="A3" s="423" t="s">
        <v>567</v>
      </c>
      <c r="B3" t="s">
        <v>1033</v>
      </c>
    </row>
    <row r="4" spans="1:17">
      <c r="A4" s="423" t="s">
        <v>568</v>
      </c>
      <c r="B4" t="s">
        <v>667</v>
      </c>
    </row>
    <row r="5" spans="1:17">
      <c r="A5" s="423" t="s">
        <v>585</v>
      </c>
      <c r="B5" t="s">
        <v>1034</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1035</v>
      </c>
      <c r="C9" t="s">
        <v>673</v>
      </c>
      <c r="D9">
        <v>1.53</v>
      </c>
      <c r="E9" t="s">
        <v>94</v>
      </c>
      <c r="H9" t="s">
        <v>588</v>
      </c>
      <c r="I9">
        <v>1.53</v>
      </c>
      <c r="J9">
        <v>1.0805386501323246</v>
      </c>
      <c r="N9" t="s">
        <v>1036</v>
      </c>
      <c r="O9" t="s">
        <v>1037</v>
      </c>
      <c r="Q9" t="s">
        <v>1038</v>
      </c>
    </row>
    <row r="10" spans="1:17">
      <c r="B10" t="s">
        <v>1039</v>
      </c>
      <c r="C10" t="s">
        <v>857</v>
      </c>
      <c r="D10">
        <v>2.5000000000000001E-11</v>
      </c>
      <c r="E10" t="s">
        <v>616</v>
      </c>
      <c r="H10" t="s">
        <v>588</v>
      </c>
      <c r="I10">
        <v>2.5000000000000001E-11</v>
      </c>
      <c r="J10">
        <v>1.7134630202947554</v>
      </c>
      <c r="N10" t="s">
        <v>1040</v>
      </c>
      <c r="O10" t="s">
        <v>952</v>
      </c>
      <c r="Q10" t="s">
        <v>595</v>
      </c>
    </row>
    <row r="11" spans="1:17">
      <c r="B11" t="s">
        <v>596</v>
      </c>
      <c r="C11" t="s">
        <v>597</v>
      </c>
      <c r="D11">
        <v>0.187</v>
      </c>
      <c r="E11" t="s">
        <v>598</v>
      </c>
      <c r="H11" t="s">
        <v>588</v>
      </c>
      <c r="I11">
        <v>0.187</v>
      </c>
      <c r="J11">
        <v>1.0247973619913604</v>
      </c>
      <c r="N11" t="s">
        <v>599</v>
      </c>
      <c r="O11" t="s">
        <v>589</v>
      </c>
      <c r="Q11" t="s">
        <v>1041</v>
      </c>
    </row>
    <row r="12" spans="1:17">
      <c r="B12" t="s">
        <v>845</v>
      </c>
      <c r="C12" t="s">
        <v>597</v>
      </c>
      <c r="D12">
        <v>1.8257692307692301E-2</v>
      </c>
      <c r="E12" t="s">
        <v>607</v>
      </c>
      <c r="H12" t="s">
        <v>588</v>
      </c>
      <c r="I12">
        <v>1.8257692307692301E-2</v>
      </c>
      <c r="J12">
        <v>1.0247973619913604</v>
      </c>
      <c r="N12" t="s">
        <v>846</v>
      </c>
      <c r="O12" t="s">
        <v>589</v>
      </c>
      <c r="Q12" t="s">
        <v>1042</v>
      </c>
    </row>
    <row r="13" spans="1:17">
      <c r="B13" t="s">
        <v>605</v>
      </c>
      <c r="C13" t="s">
        <v>606</v>
      </c>
      <c r="D13">
        <v>5.6412800000000001</v>
      </c>
      <c r="E13" t="s">
        <v>607</v>
      </c>
      <c r="H13" t="s">
        <v>588</v>
      </c>
      <c r="I13">
        <v>5.6412800000000001</v>
      </c>
      <c r="J13">
        <v>1.0247973619913604</v>
      </c>
      <c r="N13" t="s">
        <v>1043</v>
      </c>
      <c r="O13" t="s">
        <v>589</v>
      </c>
      <c r="Q13" t="s">
        <v>1042</v>
      </c>
    </row>
    <row r="14" spans="1:17">
      <c r="B14" t="s">
        <v>605</v>
      </c>
      <c r="C14" t="s">
        <v>606</v>
      </c>
      <c r="D14">
        <v>2.6590693257359898E-3</v>
      </c>
      <c r="E14" t="s">
        <v>607</v>
      </c>
      <c r="H14" t="s">
        <v>588</v>
      </c>
      <c r="I14">
        <v>2.6590693257359898E-3</v>
      </c>
      <c r="J14">
        <v>1.0247973619913604</v>
      </c>
      <c r="N14" t="s">
        <v>608</v>
      </c>
      <c r="O14" t="s">
        <v>589</v>
      </c>
      <c r="Q14" t="s">
        <v>1042</v>
      </c>
    </row>
    <row r="16" spans="1:17">
      <c r="A16" t="s">
        <v>710</v>
      </c>
    </row>
    <row r="17" spans="1:17">
      <c r="A17" s="424" t="s">
        <v>570</v>
      </c>
      <c r="B17" s="424" t="s">
        <v>571</v>
      </c>
      <c r="C17" s="424" t="s">
        <v>568</v>
      </c>
      <c r="D17" s="424" t="s">
        <v>572</v>
      </c>
      <c r="E17" s="424" t="s">
        <v>573</v>
      </c>
      <c r="F17" s="424" t="s">
        <v>574</v>
      </c>
      <c r="G17" s="424" t="s">
        <v>575</v>
      </c>
      <c r="H17" s="424" t="s">
        <v>576</v>
      </c>
      <c r="I17" s="424" t="s">
        <v>577</v>
      </c>
      <c r="J17" s="424" t="s">
        <v>578</v>
      </c>
      <c r="K17" s="424" t="s">
        <v>579</v>
      </c>
      <c r="L17" s="424" t="s">
        <v>580</v>
      </c>
      <c r="M17" s="424" t="s">
        <v>581</v>
      </c>
      <c r="N17" s="424" t="s">
        <v>582</v>
      </c>
      <c r="O17" s="424" t="s">
        <v>583</v>
      </c>
      <c r="P17" s="424" t="s">
        <v>584</v>
      </c>
      <c r="Q17" s="424" t="s">
        <v>585</v>
      </c>
    </row>
    <row r="18" spans="1:17">
      <c r="A18" s="424" t="s">
        <v>645</v>
      </c>
      <c r="B18" s="424" t="s">
        <v>1044</v>
      </c>
      <c r="C18" s="424" t="s">
        <v>667</v>
      </c>
      <c r="D18" s="424">
        <v>1</v>
      </c>
      <c r="E18" s="424" t="s">
        <v>94</v>
      </c>
      <c r="F18" s="424">
        <v>0.28000000000000003</v>
      </c>
      <c r="G18" s="424" t="s">
        <v>647</v>
      </c>
      <c r="M18" s="424"/>
      <c r="O18" s="424"/>
      <c r="P18" s="424"/>
      <c r="Q18" s="424"/>
    </row>
    <row r="19" spans="1:17">
      <c r="B19" s="1043" t="s">
        <v>5218</v>
      </c>
      <c r="C19" s="1043"/>
      <c r="D19" s="1043"/>
      <c r="E19" s="1043"/>
      <c r="F19" s="1043"/>
      <c r="G19" s="444"/>
    </row>
    <row r="20" spans="1:17">
      <c r="B20" s="430" t="s">
        <v>1035</v>
      </c>
      <c r="C20" s="430">
        <f>SUMIFS($D$9:$D$14,$B$9:$B$14,B20)</f>
        <v>1.53</v>
      </c>
      <c r="D20" s="431" t="s">
        <v>94</v>
      </c>
      <c r="E20" s="433">
        <f>'FE - Aluminum'!CR24</f>
        <v>1.53</v>
      </c>
      <c r="F20" s="433" t="s">
        <v>105</v>
      </c>
    </row>
    <row r="21" spans="1:17">
      <c r="B21" s="430" t="s">
        <v>596</v>
      </c>
      <c r="C21" s="430">
        <f t="shared" ref="C21:C23" si="0">SUMIFS($D$9:$D$14,$B$9:$B$14,B21)</f>
        <v>0.187</v>
      </c>
      <c r="D21" s="431" t="s">
        <v>598</v>
      </c>
      <c r="E21" s="432">
        <v>0</v>
      </c>
      <c r="F21" s="433" t="s">
        <v>5206</v>
      </c>
    </row>
    <row r="22" spans="1:17">
      <c r="B22" s="430" t="s">
        <v>845</v>
      </c>
      <c r="C22" s="430">
        <f t="shared" si="0"/>
        <v>1.8257692307692301E-2</v>
      </c>
      <c r="D22" s="431" t="s">
        <v>607</v>
      </c>
      <c r="E22" s="433">
        <v>0</v>
      </c>
      <c r="F22" s="433" t="s">
        <v>5209</v>
      </c>
    </row>
    <row r="23" spans="1:17">
      <c r="B23" s="430" t="s">
        <v>605</v>
      </c>
      <c r="C23" s="430">
        <f t="shared" si="0"/>
        <v>5.6439390693257359</v>
      </c>
      <c r="D23" s="431" t="s">
        <v>607</v>
      </c>
      <c r="E23" s="433" t="e">
        <f>'FE - Aluminum'!#REF!*'FE - Aluminum'!#REF!</f>
        <v>#REF!</v>
      </c>
      <c r="F23" s="433" t="s">
        <v>5208</v>
      </c>
    </row>
    <row r="25" spans="1:17">
      <c r="B25" s="430" t="s">
        <v>127</v>
      </c>
      <c r="C25" s="430">
        <f>C23+C22+3.6*C21</f>
        <v>6.3353967616334277</v>
      </c>
      <c r="D25" s="431" t="s">
        <v>607</v>
      </c>
      <c r="E25" s="433" t="e">
        <f>E23+E22+3.6*E21</f>
        <v>#REF!</v>
      </c>
      <c r="F25" s="433" t="s">
        <v>127</v>
      </c>
    </row>
  </sheetData>
  <mergeCells count="1">
    <mergeCell ref="B19:F19"/>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C8FC8-ED75-4E45-9666-54DFE45FEFA6}">
  <sheetPr>
    <tabColor rgb="FF0070C0"/>
  </sheetPr>
  <dimension ref="A1:Q53"/>
  <sheetViews>
    <sheetView topLeftCell="A28" workbookViewId="0">
      <selection activeCell="B8" sqref="B8"/>
    </sheetView>
  </sheetViews>
  <sheetFormatPr defaultRowHeight="14.4"/>
  <cols>
    <col min="2" max="2" width="45.33203125" customWidth="1"/>
    <col min="5" max="5" width="9.5546875" bestFit="1" customWidth="1"/>
    <col min="6" max="6" width="30.21875" customWidth="1"/>
  </cols>
  <sheetData>
    <row r="1" spans="1:17">
      <c r="A1" s="421" t="s">
        <v>564</v>
      </c>
    </row>
    <row r="2" spans="1:17">
      <c r="A2" s="423" t="s">
        <v>565</v>
      </c>
      <c r="B2" t="s">
        <v>5229</v>
      </c>
    </row>
    <row r="3" spans="1:17">
      <c r="A3" s="423" t="s">
        <v>567</v>
      </c>
      <c r="B3" t="s">
        <v>1036</v>
      </c>
    </row>
    <row r="4" spans="1:17">
      <c r="A4" s="423" t="s">
        <v>568</v>
      </c>
      <c r="B4" t="s">
        <v>673</v>
      </c>
    </row>
    <row r="5" spans="1:17">
      <c r="A5" s="423" t="s">
        <v>585</v>
      </c>
      <c r="B5" t="s">
        <v>5230</v>
      </c>
    </row>
    <row r="7" spans="1:17">
      <c r="A7" s="423"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1045</v>
      </c>
      <c r="C9" t="s">
        <v>857</v>
      </c>
      <c r="D9">
        <v>1.64E-11</v>
      </c>
      <c r="E9" t="s">
        <v>616</v>
      </c>
      <c r="H9" t="s">
        <v>588</v>
      </c>
      <c r="I9">
        <v>1.64E-11</v>
      </c>
      <c r="J9">
        <v>1.7293101253499219</v>
      </c>
      <c r="N9" t="s">
        <v>1046</v>
      </c>
      <c r="O9" t="s">
        <v>952</v>
      </c>
      <c r="Q9" t="s">
        <v>595</v>
      </c>
    </row>
    <row r="10" spans="1:17">
      <c r="B10" t="s">
        <v>646</v>
      </c>
      <c r="C10" t="s">
        <v>569</v>
      </c>
      <c r="D10">
        <v>1.5649999999999999</v>
      </c>
      <c r="E10" t="s">
        <v>94</v>
      </c>
      <c r="H10" t="s">
        <v>588</v>
      </c>
      <c r="I10">
        <v>1.5649999999999999</v>
      </c>
      <c r="J10">
        <v>1.0805386501323246</v>
      </c>
      <c r="N10" t="s">
        <v>1048</v>
      </c>
      <c r="O10" t="s">
        <v>993</v>
      </c>
      <c r="Q10" t="s">
        <v>5231</v>
      </c>
    </row>
    <row r="11" spans="1:17">
      <c r="B11" t="s">
        <v>596</v>
      </c>
      <c r="C11" t="s">
        <v>597</v>
      </c>
      <c r="D11">
        <v>5.0237687393919796E-3</v>
      </c>
      <c r="E11" t="s">
        <v>598</v>
      </c>
      <c r="H11" t="s">
        <v>588</v>
      </c>
      <c r="I11">
        <v>5.0237687393919796E-3</v>
      </c>
      <c r="J11">
        <v>1.0247973619913604</v>
      </c>
      <c r="N11" t="s">
        <v>797</v>
      </c>
      <c r="O11" t="s">
        <v>993</v>
      </c>
      <c r="Q11" t="s">
        <v>5232</v>
      </c>
    </row>
    <row r="12" spans="1:17">
      <c r="B12" t="s">
        <v>596</v>
      </c>
      <c r="C12" t="s">
        <v>597</v>
      </c>
      <c r="D12">
        <v>3.8073808835836803E-2</v>
      </c>
      <c r="E12" t="s">
        <v>598</v>
      </c>
      <c r="H12" t="s">
        <v>588</v>
      </c>
      <c r="I12">
        <v>3.8073808835836803E-2</v>
      </c>
      <c r="J12">
        <v>1.0247973619913604</v>
      </c>
      <c r="N12" t="s">
        <v>599</v>
      </c>
      <c r="O12" t="s">
        <v>993</v>
      </c>
      <c r="Q12" t="s">
        <v>5232</v>
      </c>
    </row>
    <row r="13" spans="1:17">
      <c r="B13" t="s">
        <v>596</v>
      </c>
      <c r="C13" t="s">
        <v>597</v>
      </c>
      <c r="D13">
        <v>7.9024224247712504E-3</v>
      </c>
      <c r="E13" t="s">
        <v>598</v>
      </c>
      <c r="H13" t="s">
        <v>588</v>
      </c>
      <c r="I13">
        <v>7.9024224247712504E-3</v>
      </c>
      <c r="J13">
        <v>1.0247973619913604</v>
      </c>
      <c r="N13" t="s">
        <v>797</v>
      </c>
      <c r="O13" t="s">
        <v>993</v>
      </c>
      <c r="Q13" t="s">
        <v>5232</v>
      </c>
    </row>
    <row r="14" spans="1:17">
      <c r="B14" t="s">
        <v>845</v>
      </c>
      <c r="C14" t="s">
        <v>597</v>
      </c>
      <c r="D14">
        <v>0.31076923076923102</v>
      </c>
      <c r="E14" t="s">
        <v>607</v>
      </c>
      <c r="H14" t="s">
        <v>588</v>
      </c>
      <c r="I14">
        <v>0.31076923076923102</v>
      </c>
      <c r="J14">
        <v>1.0247973619913604</v>
      </c>
      <c r="N14" t="s">
        <v>846</v>
      </c>
      <c r="O14" t="s">
        <v>589</v>
      </c>
      <c r="Q14" t="s">
        <v>1049</v>
      </c>
    </row>
    <row r="15" spans="1:17">
      <c r="B15" t="s">
        <v>605</v>
      </c>
      <c r="C15" t="s">
        <v>606</v>
      </c>
      <c r="D15">
        <v>1.2947200000000001</v>
      </c>
      <c r="E15" t="s">
        <v>607</v>
      </c>
      <c r="H15" t="s">
        <v>588</v>
      </c>
      <c r="I15">
        <v>1.2947200000000001</v>
      </c>
      <c r="J15">
        <v>1.0247973619913604</v>
      </c>
      <c r="N15" t="s">
        <v>1043</v>
      </c>
      <c r="O15" t="s">
        <v>589</v>
      </c>
      <c r="Q15" t="s">
        <v>1051</v>
      </c>
    </row>
    <row r="16" spans="1:17">
      <c r="B16" t="s">
        <v>605</v>
      </c>
      <c r="C16" t="s">
        <v>606</v>
      </c>
      <c r="D16">
        <v>4.0550807217473901E-3</v>
      </c>
      <c r="E16" t="s">
        <v>607</v>
      </c>
      <c r="H16" t="s">
        <v>588</v>
      </c>
      <c r="I16">
        <v>4.0550807217473901E-3</v>
      </c>
      <c r="J16">
        <v>1.0247973619913604</v>
      </c>
      <c r="N16" t="s">
        <v>611</v>
      </c>
      <c r="O16" t="s">
        <v>589</v>
      </c>
      <c r="Q16" t="s">
        <v>5233</v>
      </c>
    </row>
    <row r="17" spans="1:17">
      <c r="B17" t="s">
        <v>605</v>
      </c>
      <c r="C17" t="s">
        <v>606</v>
      </c>
      <c r="D17">
        <v>1.5954415954415999</v>
      </c>
      <c r="E17" t="s">
        <v>607</v>
      </c>
      <c r="H17" t="s">
        <v>588</v>
      </c>
      <c r="I17">
        <v>1.5954415954415999</v>
      </c>
      <c r="J17">
        <v>1.0247973619913604</v>
      </c>
      <c r="N17" t="s">
        <v>608</v>
      </c>
      <c r="O17" t="s">
        <v>589</v>
      </c>
      <c r="Q17" t="s">
        <v>1050</v>
      </c>
    </row>
    <row r="18" spans="1:17">
      <c r="B18" t="s">
        <v>1052</v>
      </c>
      <c r="C18" t="s">
        <v>621</v>
      </c>
      <c r="D18">
        <v>4.8999999999999996E-10</v>
      </c>
      <c r="E18" t="s">
        <v>622</v>
      </c>
      <c r="H18" t="s">
        <v>588</v>
      </c>
      <c r="I18">
        <v>4.8999999999999996E-10</v>
      </c>
      <c r="J18">
        <v>1.0457364348384068</v>
      </c>
      <c r="O18" t="s">
        <v>5234</v>
      </c>
      <c r="Q18" t="s">
        <v>1053</v>
      </c>
    </row>
    <row r="19" spans="1:17">
      <c r="B19" t="s">
        <v>860</v>
      </c>
      <c r="C19" t="s">
        <v>650</v>
      </c>
      <c r="D19">
        <v>8.0000000000000002E-3</v>
      </c>
      <c r="E19" t="s">
        <v>94</v>
      </c>
      <c r="H19" t="s">
        <v>588</v>
      </c>
      <c r="I19">
        <v>8.0000000000000002E-3</v>
      </c>
      <c r="J19">
        <v>1.0247973619913604</v>
      </c>
      <c r="N19" t="s">
        <v>861</v>
      </c>
      <c r="O19" t="s">
        <v>993</v>
      </c>
      <c r="Q19" t="s">
        <v>979</v>
      </c>
    </row>
    <row r="20" spans="1:17">
      <c r="B20" t="s">
        <v>703</v>
      </c>
      <c r="C20" t="s">
        <v>673</v>
      </c>
      <c r="D20">
        <v>6.2E-2</v>
      </c>
      <c r="E20" t="s">
        <v>94</v>
      </c>
      <c r="H20" t="s">
        <v>588</v>
      </c>
      <c r="I20">
        <v>6.2E-2</v>
      </c>
      <c r="J20">
        <v>1.0247973619913604</v>
      </c>
      <c r="N20" t="s">
        <v>704</v>
      </c>
      <c r="O20" t="s">
        <v>993</v>
      </c>
      <c r="Q20" t="s">
        <v>595</v>
      </c>
    </row>
    <row r="21" spans="1:17">
      <c r="B21" t="s">
        <v>1080</v>
      </c>
      <c r="C21" t="s">
        <v>639</v>
      </c>
      <c r="D21">
        <v>1.39E-3</v>
      </c>
      <c r="E21" t="s">
        <v>640</v>
      </c>
      <c r="H21" t="s">
        <v>588</v>
      </c>
      <c r="I21">
        <v>1.39E-3</v>
      </c>
      <c r="J21">
        <v>1.0247973619913604</v>
      </c>
      <c r="O21" t="s">
        <v>993</v>
      </c>
      <c r="Q21" t="s">
        <v>5235</v>
      </c>
    </row>
    <row r="23" spans="1:17">
      <c r="A23" t="s">
        <v>710</v>
      </c>
    </row>
    <row r="24" spans="1:17">
      <c r="A24" s="421" t="s">
        <v>570</v>
      </c>
      <c r="B24" s="421" t="s">
        <v>571</v>
      </c>
      <c r="C24" s="421" t="s">
        <v>568</v>
      </c>
      <c r="D24" s="421" t="s">
        <v>572</v>
      </c>
      <c r="E24" s="421" t="s">
        <v>573</v>
      </c>
      <c r="F24" s="421" t="s">
        <v>574</v>
      </c>
      <c r="G24" s="421" t="s">
        <v>575</v>
      </c>
      <c r="H24" s="421" t="s">
        <v>576</v>
      </c>
      <c r="I24" s="421" t="s">
        <v>577</v>
      </c>
      <c r="J24" s="421" t="s">
        <v>578</v>
      </c>
      <c r="K24" s="421" t="s">
        <v>579</v>
      </c>
      <c r="L24" s="421" t="s">
        <v>580</v>
      </c>
      <c r="M24" s="421" t="s">
        <v>581</v>
      </c>
      <c r="N24" s="421" t="s">
        <v>582</v>
      </c>
      <c r="O24" s="421" t="s">
        <v>583</v>
      </c>
      <c r="P24" s="421" t="s">
        <v>584</v>
      </c>
      <c r="Q24" s="421" t="s">
        <v>585</v>
      </c>
    </row>
    <row r="25" spans="1:17">
      <c r="A25" s="421" t="s">
        <v>645</v>
      </c>
      <c r="B25" s="421" t="s">
        <v>1035</v>
      </c>
      <c r="C25" s="421" t="s">
        <v>673</v>
      </c>
      <c r="D25" s="421">
        <v>1</v>
      </c>
      <c r="E25" s="421" t="s">
        <v>94</v>
      </c>
      <c r="F25" s="421">
        <v>0.42</v>
      </c>
      <c r="G25" s="421" t="s">
        <v>647</v>
      </c>
      <c r="M25" s="421"/>
      <c r="O25" s="421"/>
      <c r="P25" s="421"/>
      <c r="Q25" s="421" t="s">
        <v>5236</v>
      </c>
    </row>
    <row r="26" spans="1:17">
      <c r="B26" t="s">
        <v>722</v>
      </c>
      <c r="C26" t="s">
        <v>712</v>
      </c>
      <c r="D26">
        <v>4.5899999999999998E-5</v>
      </c>
      <c r="E26" t="s">
        <v>94</v>
      </c>
      <c r="H26" t="s">
        <v>588</v>
      </c>
      <c r="I26">
        <v>4.5899999999999998E-5</v>
      </c>
      <c r="J26">
        <v>1.2214027581601699</v>
      </c>
      <c r="O26" t="s">
        <v>1054</v>
      </c>
      <c r="Q26" t="s">
        <v>1055</v>
      </c>
    </row>
    <row r="27" spans="1:17">
      <c r="B27" t="s">
        <v>734</v>
      </c>
      <c r="C27" t="s">
        <v>712</v>
      </c>
      <c r="D27">
        <v>4.5899999999999998E-5</v>
      </c>
      <c r="E27" t="s">
        <v>94</v>
      </c>
      <c r="H27" t="s">
        <v>588</v>
      </c>
      <c r="I27">
        <v>4.5899999999999998E-5</v>
      </c>
      <c r="J27">
        <v>1.2214027581601699</v>
      </c>
      <c r="O27" t="s">
        <v>1054</v>
      </c>
      <c r="Q27" t="s">
        <v>1055</v>
      </c>
    </row>
    <row r="28" spans="1:17">
      <c r="B28" t="s">
        <v>740</v>
      </c>
      <c r="C28" t="s">
        <v>712</v>
      </c>
      <c r="D28">
        <v>1.8E-5</v>
      </c>
      <c r="E28" t="s">
        <v>94</v>
      </c>
      <c r="H28" t="s">
        <v>588</v>
      </c>
      <c r="I28">
        <v>1.8E-5</v>
      </c>
      <c r="J28">
        <v>1.2214027581601699</v>
      </c>
      <c r="O28" t="s">
        <v>1054</v>
      </c>
      <c r="Q28" t="s">
        <v>1055</v>
      </c>
    </row>
    <row r="29" spans="1:17">
      <c r="B29" t="s">
        <v>977</v>
      </c>
      <c r="C29" t="s">
        <v>787</v>
      </c>
      <c r="D29">
        <v>4.6999999999999999E-4</v>
      </c>
      <c r="E29" t="s">
        <v>94</v>
      </c>
      <c r="H29" t="s">
        <v>588</v>
      </c>
      <c r="I29">
        <v>4.6999999999999999E-4</v>
      </c>
      <c r="J29">
        <v>1.0247973619913604</v>
      </c>
      <c r="N29" t="s">
        <v>978</v>
      </c>
      <c r="O29" t="s">
        <v>641</v>
      </c>
      <c r="Q29" t="s">
        <v>5237</v>
      </c>
    </row>
    <row r="30" spans="1:17">
      <c r="B30" t="s">
        <v>754</v>
      </c>
      <c r="C30" t="s">
        <v>654</v>
      </c>
      <c r="D30">
        <v>1.3E-7</v>
      </c>
      <c r="E30" t="s">
        <v>94</v>
      </c>
      <c r="H30" t="s">
        <v>588</v>
      </c>
      <c r="I30">
        <v>1.3E-7</v>
      </c>
      <c r="J30">
        <v>2.2394398661220611</v>
      </c>
      <c r="O30" t="s">
        <v>641</v>
      </c>
      <c r="Q30" t="s">
        <v>5238</v>
      </c>
    </row>
    <row r="31" spans="1:17">
      <c r="B31" t="s">
        <v>754</v>
      </c>
      <c r="C31" t="s">
        <v>712</v>
      </c>
      <c r="D31">
        <v>6.9999999999999996E-10</v>
      </c>
      <c r="E31" t="s">
        <v>94</v>
      </c>
      <c r="H31" t="s">
        <v>588</v>
      </c>
      <c r="I31">
        <v>6.9999999999999996E-10</v>
      </c>
      <c r="J31">
        <v>1.2214027581601699</v>
      </c>
      <c r="O31" t="s">
        <v>993</v>
      </c>
      <c r="Q31" t="s">
        <v>5238</v>
      </c>
    </row>
    <row r="32" spans="1:17">
      <c r="B32" t="s">
        <v>761</v>
      </c>
      <c r="C32" t="s">
        <v>654</v>
      </c>
      <c r="D32">
        <v>6.5099999999999999E-4</v>
      </c>
      <c r="E32" t="s">
        <v>94</v>
      </c>
      <c r="H32" t="s">
        <v>588</v>
      </c>
      <c r="I32">
        <v>6.5099999999999999E-4</v>
      </c>
      <c r="J32">
        <v>1.000774896746716</v>
      </c>
      <c r="O32" t="s">
        <v>1002</v>
      </c>
      <c r="Q32" t="s">
        <v>5239</v>
      </c>
    </row>
    <row r="33" spans="2:17">
      <c r="B33" t="s">
        <v>980</v>
      </c>
      <c r="C33" t="s">
        <v>712</v>
      </c>
      <c r="D33">
        <v>1.7799999999999999E-3</v>
      </c>
      <c r="E33" t="s">
        <v>94</v>
      </c>
      <c r="H33" t="s">
        <v>588</v>
      </c>
      <c r="I33">
        <v>1.7799999999999999E-3</v>
      </c>
      <c r="J33">
        <v>1.2214027581601699</v>
      </c>
      <c r="O33" t="s">
        <v>993</v>
      </c>
      <c r="Q33" t="s">
        <v>5240</v>
      </c>
    </row>
    <row r="34" spans="2:17">
      <c r="B34" t="s">
        <v>653</v>
      </c>
      <c r="C34" t="s">
        <v>654</v>
      </c>
      <c r="D34">
        <v>1.9944E-4</v>
      </c>
      <c r="E34" t="s">
        <v>94</v>
      </c>
      <c r="H34" t="s">
        <v>588</v>
      </c>
      <c r="I34">
        <v>1.9944E-4</v>
      </c>
      <c r="J34">
        <v>1.0100501670841679</v>
      </c>
      <c r="O34" t="s">
        <v>589</v>
      </c>
      <c r="Q34" t="s">
        <v>1090</v>
      </c>
    </row>
    <row r="35" spans="2:17">
      <c r="B35" t="s">
        <v>656</v>
      </c>
      <c r="C35" t="s">
        <v>654</v>
      </c>
      <c r="D35">
        <v>1.108E-4</v>
      </c>
      <c r="E35" t="s">
        <v>94</v>
      </c>
      <c r="H35" t="s">
        <v>588</v>
      </c>
      <c r="I35">
        <v>1.108E-4</v>
      </c>
      <c r="J35">
        <v>2.0709573513308901</v>
      </c>
      <c r="O35" t="s">
        <v>589</v>
      </c>
      <c r="Q35" t="s">
        <v>1090</v>
      </c>
    </row>
    <row r="36" spans="2:17">
      <c r="B36" t="s">
        <v>657</v>
      </c>
      <c r="C36" t="s">
        <v>654</v>
      </c>
      <c r="D36">
        <v>2.4376000000000001E-4</v>
      </c>
      <c r="E36" t="s">
        <v>94</v>
      </c>
      <c r="H36" t="s">
        <v>588</v>
      </c>
      <c r="I36">
        <v>2.4376000000000001E-4</v>
      </c>
      <c r="J36">
        <v>1.0031672829348004</v>
      </c>
      <c r="O36" t="s">
        <v>589</v>
      </c>
      <c r="Q36" t="s">
        <v>1090</v>
      </c>
    </row>
    <row r="37" spans="2:17">
      <c r="B37" t="s">
        <v>1056</v>
      </c>
      <c r="C37" t="s">
        <v>744</v>
      </c>
      <c r="D37">
        <v>0.48099999999999998</v>
      </c>
      <c r="E37" t="s">
        <v>94</v>
      </c>
      <c r="H37" t="s">
        <v>588</v>
      </c>
      <c r="I37">
        <v>0.48099999999999998</v>
      </c>
      <c r="J37">
        <v>1.0247973619913604</v>
      </c>
      <c r="N37" t="s">
        <v>1057</v>
      </c>
      <c r="O37" t="s">
        <v>993</v>
      </c>
      <c r="Q37" t="s">
        <v>1058</v>
      </c>
    </row>
    <row r="38" spans="2:17">
      <c r="B38" t="s">
        <v>773</v>
      </c>
      <c r="C38" t="s">
        <v>712</v>
      </c>
      <c r="D38">
        <v>1.2800000000000001E-3</v>
      </c>
      <c r="E38" t="s">
        <v>94</v>
      </c>
      <c r="H38" t="s">
        <v>588</v>
      </c>
      <c r="I38">
        <v>1.2800000000000001E-3</v>
      </c>
      <c r="J38">
        <v>1.2214027581601699</v>
      </c>
      <c r="O38" t="s">
        <v>1054</v>
      </c>
      <c r="Q38" t="s">
        <v>1055</v>
      </c>
    </row>
    <row r="39" spans="2:17">
      <c r="B39" t="s">
        <v>776</v>
      </c>
      <c r="C39" t="s">
        <v>654</v>
      </c>
      <c r="D39">
        <v>1.7260000000000001E-3</v>
      </c>
      <c r="E39" t="s">
        <v>94</v>
      </c>
      <c r="H39" t="s">
        <v>588</v>
      </c>
      <c r="I39">
        <v>1.7260000000000001E-3</v>
      </c>
      <c r="J39">
        <v>1.0247973619913604</v>
      </c>
      <c r="O39" t="s">
        <v>993</v>
      </c>
      <c r="Q39" t="s">
        <v>5238</v>
      </c>
    </row>
    <row r="40" spans="2:17">
      <c r="B40" t="s">
        <v>777</v>
      </c>
      <c r="C40" t="s">
        <v>712</v>
      </c>
      <c r="D40">
        <v>1.0000000000000001E-5</v>
      </c>
      <c r="E40" t="s">
        <v>94</v>
      </c>
      <c r="H40" t="s">
        <v>588</v>
      </c>
      <c r="I40">
        <v>1.0000000000000001E-5</v>
      </c>
      <c r="J40">
        <v>1.2214027581601699</v>
      </c>
      <c r="O40" t="s">
        <v>641</v>
      </c>
      <c r="Q40" t="s">
        <v>5238</v>
      </c>
    </row>
    <row r="41" spans="2:17">
      <c r="B41" t="s">
        <v>783</v>
      </c>
      <c r="C41" t="s">
        <v>712</v>
      </c>
      <c r="D41">
        <v>1.8E-5</v>
      </c>
      <c r="E41" t="s">
        <v>94</v>
      </c>
      <c r="H41" t="s">
        <v>588</v>
      </c>
      <c r="I41">
        <v>1.8E-5</v>
      </c>
      <c r="J41">
        <v>1.2214027581601699</v>
      </c>
      <c r="O41" t="s">
        <v>1054</v>
      </c>
      <c r="Q41" t="s">
        <v>1059</v>
      </c>
    </row>
    <row r="42" spans="2:17">
      <c r="B42" t="s">
        <v>251</v>
      </c>
      <c r="C42" t="s">
        <v>887</v>
      </c>
      <c r="D42">
        <v>5.9999999999999995E-4</v>
      </c>
      <c r="E42" t="s">
        <v>640</v>
      </c>
      <c r="H42" t="s">
        <v>588</v>
      </c>
      <c r="I42">
        <v>5.9999999999999995E-4</v>
      </c>
      <c r="J42">
        <v>1.0247973619913604</v>
      </c>
      <c r="O42" t="s">
        <v>952</v>
      </c>
      <c r="Q42" t="s">
        <v>5241</v>
      </c>
    </row>
    <row r="43" spans="2:17">
      <c r="B43" t="s">
        <v>1094</v>
      </c>
      <c r="C43" t="s">
        <v>661</v>
      </c>
      <c r="D43">
        <v>1.3749999999999999E-3</v>
      </c>
      <c r="E43" t="s">
        <v>640</v>
      </c>
      <c r="H43" t="s">
        <v>588</v>
      </c>
      <c r="I43">
        <v>1.3749999999999999E-3</v>
      </c>
      <c r="J43">
        <v>1.2214027581601699</v>
      </c>
      <c r="O43" t="s">
        <v>993</v>
      </c>
      <c r="Q43" t="s">
        <v>5238</v>
      </c>
    </row>
    <row r="45" spans="2:17">
      <c r="B45" s="1043" t="s">
        <v>5218</v>
      </c>
      <c r="C45" s="1043"/>
      <c r="D45" s="1043"/>
      <c r="E45" s="1043"/>
      <c r="F45" s="1043"/>
      <c r="G45" s="444"/>
    </row>
    <row r="46" spans="2:17">
      <c r="B46" s="430" t="str">
        <f>B10</f>
        <v>bauxite</v>
      </c>
      <c r="C46" s="430">
        <f t="shared" ref="C46:C50" si="0">SUMIFS($D$9:$D$20,$B$9:$B$20,B46)</f>
        <v>1.5649999999999999</v>
      </c>
      <c r="D46" s="431" t="s">
        <v>94</v>
      </c>
      <c r="E46" s="441">
        <v>1.3903617297042501</v>
      </c>
      <c r="F46" s="433" t="s">
        <v>6</v>
      </c>
      <c r="G46" t="s">
        <v>5242</v>
      </c>
    </row>
    <row r="47" spans="2:17">
      <c r="B47" s="430" t="s">
        <v>596</v>
      </c>
      <c r="C47" s="430">
        <f t="shared" si="0"/>
        <v>5.1000000000000031E-2</v>
      </c>
      <c r="D47" s="431" t="s">
        <v>598</v>
      </c>
      <c r="E47" s="433">
        <v>0</v>
      </c>
      <c r="F47" s="433" t="s">
        <v>5206</v>
      </c>
    </row>
    <row r="48" spans="2:17">
      <c r="B48" s="430" t="s">
        <v>845</v>
      </c>
      <c r="C48" s="430">
        <f t="shared" si="0"/>
        <v>0.31076923076923102</v>
      </c>
      <c r="D48" s="431" t="s">
        <v>607</v>
      </c>
      <c r="E48" s="433">
        <v>11.74</v>
      </c>
      <c r="F48" s="433" t="s">
        <v>5209</v>
      </c>
    </row>
    <row r="49" spans="2:6">
      <c r="B49" s="430" t="s">
        <v>605</v>
      </c>
      <c r="C49" s="430">
        <f t="shared" si="0"/>
        <v>2.8942166761633477</v>
      </c>
      <c r="D49" s="431" t="s">
        <v>607</v>
      </c>
      <c r="E49" s="433">
        <v>0</v>
      </c>
      <c r="F49" s="433" t="s">
        <v>5208</v>
      </c>
    </row>
    <row r="50" spans="2:6">
      <c r="B50" s="430" t="s">
        <v>860</v>
      </c>
      <c r="C50" s="430">
        <f t="shared" si="0"/>
        <v>8.0000000000000002E-3</v>
      </c>
      <c r="D50" s="431" t="s">
        <v>94</v>
      </c>
      <c r="E50" s="433">
        <f>SUM('FE - Aluminum'!DG21:DG24)</f>
        <v>-0.12756627553237726</v>
      </c>
      <c r="F50" s="433" t="s">
        <v>103</v>
      </c>
    </row>
    <row r="51" spans="2:6">
      <c r="B51" s="430" t="s">
        <v>703</v>
      </c>
      <c r="C51" s="430">
        <f>SUMIFS($D$9:$D$20,$B$9:$B$20,B51)</f>
        <v>6.2E-2</v>
      </c>
      <c r="D51" s="431" t="s">
        <v>94</v>
      </c>
      <c r="E51" s="433"/>
      <c r="F51" s="433"/>
    </row>
    <row r="53" spans="2:6">
      <c r="B53" s="430" t="s">
        <v>127</v>
      </c>
      <c r="C53" s="430">
        <f>C49+C48+3.6*C47</f>
        <v>3.3885859069325788</v>
      </c>
      <c r="D53" s="431" t="s">
        <v>607</v>
      </c>
      <c r="E53" s="433">
        <f>E48</f>
        <v>11.74</v>
      </c>
      <c r="F53" s="433" t="s">
        <v>127</v>
      </c>
    </row>
  </sheetData>
  <mergeCells count="1">
    <mergeCell ref="B45:F45"/>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45C67-D692-42EB-B2C7-F3EA232CA6C0}">
  <sheetPr>
    <tabColor rgb="FF0070C0"/>
  </sheetPr>
  <dimension ref="A1:R64"/>
  <sheetViews>
    <sheetView topLeftCell="B44" workbookViewId="0">
      <selection activeCell="D70" sqref="D70"/>
    </sheetView>
  </sheetViews>
  <sheetFormatPr defaultRowHeight="14.4"/>
  <cols>
    <col min="1" max="1" width="11.21875" customWidth="1"/>
    <col min="2" max="2" width="47.33203125" customWidth="1"/>
    <col min="5" max="5" width="10.5546875" customWidth="1"/>
    <col min="6" max="7" width="20.33203125" customWidth="1"/>
    <col min="9" max="9" width="39.88671875" customWidth="1"/>
    <col min="13" max="13" width="10.5546875" customWidth="1"/>
  </cols>
  <sheetData>
    <row r="1" spans="1:18">
      <c r="A1" s="424" t="s">
        <v>564</v>
      </c>
    </row>
    <row r="2" spans="1:18">
      <c r="A2" s="423" t="s">
        <v>565</v>
      </c>
      <c r="B2" t="s">
        <v>1060</v>
      </c>
    </row>
    <row r="3" spans="1:18">
      <c r="A3" s="423" t="s">
        <v>567</v>
      </c>
      <c r="B3" t="s">
        <v>167</v>
      </c>
    </row>
    <row r="4" spans="1:18">
      <c r="A4" s="423" t="s">
        <v>568</v>
      </c>
      <c r="B4" t="s">
        <v>667</v>
      </c>
    </row>
    <row r="5" spans="1:18">
      <c r="A5" s="423" t="s">
        <v>585</v>
      </c>
      <c r="B5" t="s">
        <v>1061</v>
      </c>
    </row>
    <row r="7" spans="1:18">
      <c r="A7" s="423" t="s">
        <v>665</v>
      </c>
    </row>
    <row r="8" spans="1:18">
      <c r="A8" s="424" t="s">
        <v>570</v>
      </c>
      <c r="B8" s="424" t="s">
        <v>571</v>
      </c>
      <c r="C8" s="424" t="s">
        <v>568</v>
      </c>
      <c r="D8" s="424" t="s">
        <v>572</v>
      </c>
      <c r="E8" s="424" t="s">
        <v>573</v>
      </c>
      <c r="F8" s="424" t="s">
        <v>574</v>
      </c>
      <c r="G8" s="424"/>
      <c r="H8" s="424" t="s">
        <v>575</v>
      </c>
      <c r="I8" s="424" t="s">
        <v>576</v>
      </c>
      <c r="J8" s="424" t="s">
        <v>577</v>
      </c>
      <c r="K8" s="424" t="s">
        <v>578</v>
      </c>
      <c r="L8" s="424" t="s">
        <v>579</v>
      </c>
      <c r="M8" s="424" t="s">
        <v>580</v>
      </c>
      <c r="N8" s="424" t="s">
        <v>581</v>
      </c>
      <c r="O8" s="424" t="s">
        <v>582</v>
      </c>
      <c r="P8" s="424" t="s">
        <v>583</v>
      </c>
      <c r="Q8" s="424" t="s">
        <v>584</v>
      </c>
      <c r="R8" s="424" t="s">
        <v>585</v>
      </c>
    </row>
    <row r="9" spans="1:18">
      <c r="B9" t="s">
        <v>1062</v>
      </c>
      <c r="C9" t="s">
        <v>857</v>
      </c>
      <c r="D9">
        <v>1.53849999252327E-10</v>
      </c>
      <c r="E9" t="s">
        <v>616</v>
      </c>
      <c r="I9" t="s">
        <v>588</v>
      </c>
      <c r="J9">
        <v>1.53849999252327E-10</v>
      </c>
      <c r="K9">
        <v>1.7134630202947554</v>
      </c>
      <c r="O9" t="s">
        <v>1063</v>
      </c>
      <c r="P9" t="s">
        <v>952</v>
      </c>
      <c r="R9" t="s">
        <v>1047</v>
      </c>
    </row>
    <row r="10" spans="1:18">
      <c r="B10" t="s">
        <v>1031</v>
      </c>
      <c r="C10" t="s">
        <v>673</v>
      </c>
      <c r="D10">
        <v>2.0999999897945199E-2</v>
      </c>
      <c r="E10" t="s">
        <v>94</v>
      </c>
      <c r="I10" t="s">
        <v>588</v>
      </c>
      <c r="J10">
        <v>2.0999999897945199E-2</v>
      </c>
      <c r="K10">
        <v>1.0247973619913604</v>
      </c>
      <c r="O10" t="s">
        <v>1064</v>
      </c>
      <c r="P10" t="s">
        <v>993</v>
      </c>
      <c r="R10" t="s">
        <v>595</v>
      </c>
    </row>
    <row r="11" spans="1:18">
      <c r="B11" t="s">
        <v>1044</v>
      </c>
      <c r="C11" t="s">
        <v>667</v>
      </c>
      <c r="D11">
        <v>1.89699999078105</v>
      </c>
      <c r="E11" t="s">
        <v>94</v>
      </c>
      <c r="I11" t="s">
        <v>588</v>
      </c>
      <c r="J11">
        <v>1.89699999078105</v>
      </c>
      <c r="K11">
        <v>1.0247973619913604</v>
      </c>
      <c r="O11" t="s">
        <v>1065</v>
      </c>
      <c r="P11" t="s">
        <v>993</v>
      </c>
    </row>
    <row r="12" spans="1:18">
      <c r="B12" t="s">
        <v>971</v>
      </c>
      <c r="C12" t="s">
        <v>948</v>
      </c>
      <c r="D12">
        <v>0.47499999769161799</v>
      </c>
      <c r="E12" t="s">
        <v>94</v>
      </c>
      <c r="I12" t="s">
        <v>588</v>
      </c>
      <c r="J12">
        <v>0.47499999769161799</v>
      </c>
      <c r="K12">
        <v>1.0247973619913604</v>
      </c>
      <c r="O12" t="s">
        <v>1066</v>
      </c>
      <c r="P12" t="s">
        <v>993</v>
      </c>
    </row>
    <row r="13" spans="1:18">
      <c r="B13" t="s">
        <v>591</v>
      </c>
      <c r="C13" t="s">
        <v>592</v>
      </c>
      <c r="D13">
        <v>4.0199999804638002E-4</v>
      </c>
      <c r="E13" t="s">
        <v>94</v>
      </c>
      <c r="I13" t="s">
        <v>588</v>
      </c>
      <c r="J13">
        <v>4.0199999804638002E-4</v>
      </c>
      <c r="K13">
        <v>1.0247973619913604</v>
      </c>
      <c r="O13" t="s">
        <v>593</v>
      </c>
      <c r="P13" t="s">
        <v>1067</v>
      </c>
      <c r="R13" t="s">
        <v>1068</v>
      </c>
    </row>
    <row r="14" spans="1:18">
      <c r="B14" t="s">
        <v>954</v>
      </c>
      <c r="C14" t="s">
        <v>821</v>
      </c>
      <c r="D14">
        <v>8.0399999609275896E-4</v>
      </c>
      <c r="E14" t="s">
        <v>94</v>
      </c>
      <c r="I14" t="s">
        <v>588</v>
      </c>
      <c r="J14">
        <v>8.0399999609275896E-4</v>
      </c>
      <c r="K14">
        <v>1.0247973619913604</v>
      </c>
      <c r="O14" t="s">
        <v>955</v>
      </c>
      <c r="P14" t="s">
        <v>1067</v>
      </c>
      <c r="R14" t="s">
        <v>1068</v>
      </c>
    </row>
    <row r="15" spans="1:18">
      <c r="B15" t="s">
        <v>1069</v>
      </c>
      <c r="C15" t="s">
        <v>948</v>
      </c>
      <c r="D15">
        <v>5.6999999722994101E-3</v>
      </c>
      <c r="E15" t="s">
        <v>94</v>
      </c>
      <c r="I15" t="s">
        <v>588</v>
      </c>
      <c r="J15">
        <v>5.6999999722994101E-3</v>
      </c>
      <c r="K15">
        <v>1.0247973619913604</v>
      </c>
      <c r="O15" t="s">
        <v>1070</v>
      </c>
      <c r="P15" t="s">
        <v>641</v>
      </c>
      <c r="R15" t="s">
        <v>1071</v>
      </c>
    </row>
    <row r="16" spans="1:18">
      <c r="B16" t="s">
        <v>823</v>
      </c>
      <c r="C16" t="s">
        <v>795</v>
      </c>
      <c r="D16">
        <v>0.12699999938281101</v>
      </c>
      <c r="E16" t="s">
        <v>607</v>
      </c>
      <c r="I16" t="s">
        <v>588</v>
      </c>
      <c r="J16">
        <v>0.12699999938281101</v>
      </c>
      <c r="K16">
        <v>1.0247973619913604</v>
      </c>
      <c r="O16" t="s">
        <v>1072</v>
      </c>
      <c r="P16" t="s">
        <v>1067</v>
      </c>
      <c r="R16" t="s">
        <v>1073</v>
      </c>
    </row>
    <row r="17" spans="1:18">
      <c r="B17" t="s">
        <v>1014</v>
      </c>
      <c r="C17" t="s">
        <v>673</v>
      </c>
      <c r="D17">
        <v>1.5999999922244E-3</v>
      </c>
      <c r="E17" t="s">
        <v>94</v>
      </c>
      <c r="I17" t="s">
        <v>588</v>
      </c>
      <c r="J17">
        <v>1.5999999922244E-3</v>
      </c>
      <c r="K17">
        <v>1.0247973619913604</v>
      </c>
      <c r="O17" t="s">
        <v>1074</v>
      </c>
      <c r="P17" t="s">
        <v>834</v>
      </c>
      <c r="R17" t="s">
        <v>595</v>
      </c>
    </row>
    <row r="18" spans="1:18">
      <c r="B18" t="s">
        <v>1075</v>
      </c>
      <c r="C18" t="s">
        <v>597</v>
      </c>
      <c r="D18">
        <v>15.750999923454</v>
      </c>
      <c r="E18" t="s">
        <v>598</v>
      </c>
      <c r="I18" t="s">
        <v>588</v>
      </c>
      <c r="J18">
        <v>15.750999923454</v>
      </c>
      <c r="K18">
        <v>1.0247973619913604</v>
      </c>
      <c r="O18" t="s">
        <v>1076</v>
      </c>
      <c r="P18" t="s">
        <v>993</v>
      </c>
      <c r="R18" t="s">
        <v>811</v>
      </c>
    </row>
    <row r="19" spans="1:18">
      <c r="B19" t="s">
        <v>767</v>
      </c>
      <c r="C19" t="s">
        <v>664</v>
      </c>
      <c r="D19">
        <v>1.9099999907178701E-3</v>
      </c>
      <c r="E19" t="s">
        <v>94</v>
      </c>
      <c r="I19" t="s">
        <v>588</v>
      </c>
      <c r="J19">
        <v>1.9099999907178701E-3</v>
      </c>
      <c r="K19">
        <v>1.0247973619913604</v>
      </c>
      <c r="O19" t="s">
        <v>962</v>
      </c>
      <c r="P19" t="s">
        <v>1067</v>
      </c>
      <c r="R19" t="s">
        <v>1073</v>
      </c>
    </row>
    <row r="20" spans="1:18">
      <c r="B20" t="s">
        <v>963</v>
      </c>
      <c r="C20" t="s">
        <v>964</v>
      </c>
      <c r="D20">
        <v>5.3999999737573403E-3</v>
      </c>
      <c r="E20" t="s">
        <v>94</v>
      </c>
      <c r="I20" t="s">
        <v>588</v>
      </c>
      <c r="J20">
        <v>5.3999999737573403E-3</v>
      </c>
      <c r="K20">
        <v>1.0247973619913604</v>
      </c>
      <c r="O20" t="s">
        <v>965</v>
      </c>
      <c r="P20" t="s">
        <v>993</v>
      </c>
      <c r="R20" t="s">
        <v>1077</v>
      </c>
    </row>
    <row r="21" spans="1:18">
      <c r="B21" t="s">
        <v>1078</v>
      </c>
      <c r="C21" t="s">
        <v>821</v>
      </c>
      <c r="D21">
        <v>5.2599999744377002E-3</v>
      </c>
      <c r="E21" t="s">
        <v>94</v>
      </c>
      <c r="I21" t="s">
        <v>588</v>
      </c>
      <c r="J21">
        <v>5.2599999744377002E-3</v>
      </c>
      <c r="K21">
        <v>1.0247973619913604</v>
      </c>
      <c r="O21" t="s">
        <v>1079</v>
      </c>
      <c r="P21" t="s">
        <v>641</v>
      </c>
    </row>
    <row r="22" spans="1:18">
      <c r="B22" t="s">
        <v>1080</v>
      </c>
      <c r="C22" t="s">
        <v>639</v>
      </c>
      <c r="D22">
        <v>2.39999998833659E-4</v>
      </c>
      <c r="E22" t="s">
        <v>640</v>
      </c>
      <c r="I22" t="s">
        <v>588</v>
      </c>
      <c r="J22">
        <v>2.39999998833659E-4</v>
      </c>
      <c r="K22">
        <v>1.0247973619913604</v>
      </c>
      <c r="P22" t="s">
        <v>641</v>
      </c>
    </row>
    <row r="24" spans="1:18">
      <c r="A24" t="s">
        <v>710</v>
      </c>
    </row>
    <row r="25" spans="1:18">
      <c r="A25" s="424" t="s">
        <v>570</v>
      </c>
      <c r="B25" s="424" t="s">
        <v>571</v>
      </c>
      <c r="C25" s="424" t="s">
        <v>568</v>
      </c>
      <c r="D25" s="424" t="s">
        <v>572</v>
      </c>
      <c r="E25" s="424" t="s">
        <v>573</v>
      </c>
      <c r="F25" s="424" t="s">
        <v>574</v>
      </c>
      <c r="G25" s="424"/>
      <c r="H25" s="424" t="s">
        <v>575</v>
      </c>
      <c r="I25" s="424" t="s">
        <v>576</v>
      </c>
      <c r="J25" s="424" t="s">
        <v>577</v>
      </c>
      <c r="K25" s="424" t="s">
        <v>578</v>
      </c>
      <c r="L25" s="424" t="s">
        <v>579</v>
      </c>
      <c r="M25" s="424" t="s">
        <v>580</v>
      </c>
      <c r="N25" s="424" t="s">
        <v>581</v>
      </c>
      <c r="O25" s="424" t="s">
        <v>582</v>
      </c>
      <c r="P25" s="424" t="s">
        <v>583</v>
      </c>
      <c r="Q25" s="424" t="s">
        <v>584</v>
      </c>
      <c r="R25" s="424" t="s">
        <v>585</v>
      </c>
    </row>
    <row r="26" spans="1:18">
      <c r="A26" s="424" t="s">
        <v>645</v>
      </c>
      <c r="B26" s="424" t="s">
        <v>1081</v>
      </c>
      <c r="C26" s="424" t="s">
        <v>667</v>
      </c>
      <c r="D26" s="424">
        <v>1</v>
      </c>
      <c r="E26" s="424" t="s">
        <v>94</v>
      </c>
      <c r="F26" s="424">
        <v>3.67</v>
      </c>
      <c r="G26" s="424"/>
      <c r="H26" s="424" t="s">
        <v>647</v>
      </c>
      <c r="N26" s="424"/>
      <c r="P26" s="424"/>
      <c r="Q26" s="424"/>
      <c r="R26" s="424"/>
    </row>
    <row r="27" spans="1:18">
      <c r="B27" t="s">
        <v>720</v>
      </c>
      <c r="C27" t="s">
        <v>654</v>
      </c>
      <c r="D27">
        <v>7.5599999632602704E-8</v>
      </c>
      <c r="E27" t="s">
        <v>94</v>
      </c>
      <c r="I27" t="s">
        <v>588</v>
      </c>
      <c r="J27">
        <v>7.5599999632602704E-8</v>
      </c>
      <c r="K27">
        <v>1.7293101253499219</v>
      </c>
      <c r="P27" t="s">
        <v>641</v>
      </c>
    </row>
    <row r="28" spans="1:18">
      <c r="B28" t="s">
        <v>726</v>
      </c>
      <c r="C28" t="s">
        <v>654</v>
      </c>
      <c r="D28">
        <v>1.4964999927273801</v>
      </c>
      <c r="E28" t="s">
        <v>94</v>
      </c>
      <c r="I28" t="s">
        <v>588</v>
      </c>
      <c r="J28">
        <v>1.4964999927273801</v>
      </c>
      <c r="K28">
        <v>1</v>
      </c>
      <c r="P28" t="s">
        <v>1082</v>
      </c>
    </row>
    <row r="29" spans="1:18">
      <c r="B29" t="s">
        <v>728</v>
      </c>
      <c r="C29" t="s">
        <v>654</v>
      </c>
      <c r="D29">
        <v>9.1707999554321795E-2</v>
      </c>
      <c r="E29" t="s">
        <v>94</v>
      </c>
      <c r="I29" t="s">
        <v>588</v>
      </c>
      <c r="J29">
        <v>9.1707999554321795E-2</v>
      </c>
      <c r="K29">
        <v>2.2394398661220611</v>
      </c>
      <c r="P29" t="s">
        <v>1082</v>
      </c>
    </row>
    <row r="30" spans="1:18">
      <c r="B30" t="s">
        <v>1083</v>
      </c>
      <c r="C30" t="s">
        <v>654</v>
      </c>
      <c r="D30">
        <v>6.3999999688975801E-6</v>
      </c>
      <c r="E30" t="s">
        <v>94</v>
      </c>
      <c r="I30" t="s">
        <v>588</v>
      </c>
      <c r="J30">
        <v>6.3999999688975801E-6</v>
      </c>
      <c r="K30">
        <v>1.2214027581601699</v>
      </c>
      <c r="P30" t="s">
        <v>956</v>
      </c>
      <c r="R30" t="s">
        <v>1084</v>
      </c>
    </row>
    <row r="31" spans="1:18">
      <c r="B31" t="s">
        <v>1085</v>
      </c>
      <c r="C31" t="s">
        <v>744</v>
      </c>
      <c r="D31">
        <v>2.6999999868786699E-2</v>
      </c>
      <c r="E31" t="s">
        <v>94</v>
      </c>
      <c r="I31" t="s">
        <v>588</v>
      </c>
      <c r="J31">
        <v>2.6999999868786699E-2</v>
      </c>
      <c r="K31">
        <v>1.0247973619913604</v>
      </c>
      <c r="O31" t="s">
        <v>1086</v>
      </c>
      <c r="P31" t="s">
        <v>641</v>
      </c>
      <c r="R31" t="s">
        <v>975</v>
      </c>
    </row>
    <row r="32" spans="1:18">
      <c r="B32" t="s">
        <v>741</v>
      </c>
      <c r="C32" t="s">
        <v>712</v>
      </c>
      <c r="D32">
        <v>2.2999999888225698E-5</v>
      </c>
      <c r="E32" t="s">
        <v>94</v>
      </c>
      <c r="I32" t="s">
        <v>588</v>
      </c>
      <c r="J32">
        <v>2.2999999888225698E-5</v>
      </c>
      <c r="K32">
        <v>1.2214027581601699</v>
      </c>
      <c r="P32" t="s">
        <v>641</v>
      </c>
    </row>
    <row r="33" spans="2:18">
      <c r="B33" t="s">
        <v>243</v>
      </c>
      <c r="C33" t="s">
        <v>654</v>
      </c>
      <c r="D33">
        <v>7.9999999611219796E-4</v>
      </c>
      <c r="E33" t="s">
        <v>94</v>
      </c>
      <c r="I33" t="s">
        <v>588</v>
      </c>
      <c r="J33">
        <v>7.9999999611219796E-4</v>
      </c>
      <c r="K33">
        <v>1.2214027581601699</v>
      </c>
      <c r="P33" t="s">
        <v>641</v>
      </c>
      <c r="R33" t="s">
        <v>1087</v>
      </c>
    </row>
    <row r="34" spans="2:18">
      <c r="B34" t="s">
        <v>649</v>
      </c>
      <c r="C34" t="s">
        <v>650</v>
      </c>
      <c r="D34">
        <v>1.2999999936823201E-2</v>
      </c>
      <c r="E34" t="s">
        <v>94</v>
      </c>
      <c r="I34" t="s">
        <v>588</v>
      </c>
      <c r="J34">
        <v>1.2999999936823201E-2</v>
      </c>
      <c r="K34">
        <v>1.0247973619913604</v>
      </c>
      <c r="O34" t="s">
        <v>651</v>
      </c>
      <c r="P34" t="s">
        <v>993</v>
      </c>
      <c r="R34" t="s">
        <v>1088</v>
      </c>
    </row>
    <row r="35" spans="2:18">
      <c r="B35" t="s">
        <v>977</v>
      </c>
      <c r="C35" t="s">
        <v>787</v>
      </c>
      <c r="D35">
        <v>6.0999999703555104E-3</v>
      </c>
      <c r="E35" t="s">
        <v>94</v>
      </c>
      <c r="I35" t="s">
        <v>588</v>
      </c>
      <c r="J35">
        <v>6.0999999703555104E-3</v>
      </c>
      <c r="K35">
        <v>1</v>
      </c>
      <c r="O35" t="s">
        <v>978</v>
      </c>
      <c r="P35" t="s">
        <v>956</v>
      </c>
      <c r="R35" t="s">
        <v>979</v>
      </c>
    </row>
    <row r="36" spans="2:18">
      <c r="B36" t="s">
        <v>1089</v>
      </c>
      <c r="C36" t="s">
        <v>654</v>
      </c>
      <c r="D36">
        <v>5.5999999727853897E-5</v>
      </c>
      <c r="E36" t="s">
        <v>94</v>
      </c>
      <c r="I36" t="s">
        <v>588</v>
      </c>
      <c r="J36">
        <v>5.5999999727853897E-5</v>
      </c>
      <c r="K36">
        <v>1.2214027581601699</v>
      </c>
      <c r="P36" t="s">
        <v>956</v>
      </c>
      <c r="R36" t="s">
        <v>1084</v>
      </c>
    </row>
    <row r="37" spans="2:18">
      <c r="B37" t="s">
        <v>761</v>
      </c>
      <c r="C37" t="s">
        <v>654</v>
      </c>
      <c r="D37">
        <v>5.3099999741947101E-4</v>
      </c>
      <c r="E37" t="s">
        <v>94</v>
      </c>
      <c r="I37" t="s">
        <v>588</v>
      </c>
      <c r="J37">
        <v>5.3099999741947101E-4</v>
      </c>
      <c r="K37">
        <v>1.1891099436471448</v>
      </c>
      <c r="P37" t="s">
        <v>641</v>
      </c>
    </row>
    <row r="38" spans="2:18">
      <c r="B38" t="s">
        <v>980</v>
      </c>
      <c r="C38" t="s">
        <v>712</v>
      </c>
      <c r="D38">
        <v>1.29999999368232E-5</v>
      </c>
      <c r="E38" t="s">
        <v>94</v>
      </c>
      <c r="I38" t="s">
        <v>588</v>
      </c>
      <c r="J38">
        <v>1.29999999368232E-5</v>
      </c>
      <c r="K38">
        <v>1.2214027581601699</v>
      </c>
      <c r="P38" t="s">
        <v>641</v>
      </c>
    </row>
    <row r="39" spans="2:18">
      <c r="B39" t="s">
        <v>763</v>
      </c>
      <c r="C39" t="s">
        <v>654</v>
      </c>
      <c r="D39">
        <v>4.1999999795890399E-6</v>
      </c>
      <c r="E39" t="s">
        <v>94</v>
      </c>
      <c r="I39" t="s">
        <v>588</v>
      </c>
      <c r="J39">
        <v>4.1999999795890399E-6</v>
      </c>
      <c r="K39">
        <v>1.7293101253499219</v>
      </c>
      <c r="P39" t="s">
        <v>641</v>
      </c>
    </row>
    <row r="40" spans="2:18">
      <c r="B40" t="s">
        <v>763</v>
      </c>
      <c r="C40" t="s">
        <v>712</v>
      </c>
      <c r="D40">
        <v>2.4299999881907999E-8</v>
      </c>
      <c r="E40" t="s">
        <v>94</v>
      </c>
      <c r="I40" t="s">
        <v>588</v>
      </c>
      <c r="J40">
        <v>2.4299999881907999E-8</v>
      </c>
      <c r="K40">
        <v>1.2214027581601699</v>
      </c>
      <c r="P40" t="s">
        <v>641</v>
      </c>
      <c r="R40" t="s">
        <v>981</v>
      </c>
    </row>
    <row r="41" spans="2:18">
      <c r="B41" t="s">
        <v>653</v>
      </c>
      <c r="C41" t="s">
        <v>654</v>
      </c>
      <c r="D41">
        <v>7.9199999615107595E-4</v>
      </c>
      <c r="E41" t="s">
        <v>94</v>
      </c>
      <c r="I41" t="s">
        <v>588</v>
      </c>
      <c r="J41">
        <v>7.9199999615107595E-4</v>
      </c>
      <c r="K41">
        <v>1.0247973619913604</v>
      </c>
      <c r="P41" t="s">
        <v>589</v>
      </c>
      <c r="R41" t="s">
        <v>1090</v>
      </c>
    </row>
    <row r="42" spans="2:18">
      <c r="B42" t="s">
        <v>656</v>
      </c>
      <c r="C42" t="s">
        <v>654</v>
      </c>
      <c r="D42">
        <v>4.3999999786170901E-4</v>
      </c>
      <c r="E42" t="s">
        <v>94</v>
      </c>
      <c r="I42" t="s">
        <v>588</v>
      </c>
      <c r="J42">
        <v>4.3999999786170901E-4</v>
      </c>
      <c r="K42">
        <v>1.0247973619913604</v>
      </c>
      <c r="P42" t="s">
        <v>589</v>
      </c>
      <c r="R42" t="s">
        <v>1090</v>
      </c>
    </row>
    <row r="43" spans="2:18">
      <c r="B43" t="s">
        <v>657</v>
      </c>
      <c r="C43" t="s">
        <v>654</v>
      </c>
      <c r="D43">
        <v>9.6799999529575997E-4</v>
      </c>
      <c r="E43" t="s">
        <v>94</v>
      </c>
      <c r="I43" t="s">
        <v>588</v>
      </c>
      <c r="J43">
        <v>9.6799999529575997E-4</v>
      </c>
      <c r="K43">
        <v>1.0247973619913604</v>
      </c>
      <c r="P43" t="s">
        <v>589</v>
      </c>
      <c r="R43" t="s">
        <v>1090</v>
      </c>
    </row>
    <row r="44" spans="2:18">
      <c r="B44" t="s">
        <v>1091</v>
      </c>
      <c r="C44" t="s">
        <v>744</v>
      </c>
      <c r="D44">
        <v>1.4499999929533601E-2</v>
      </c>
      <c r="E44" t="s">
        <v>94</v>
      </c>
      <c r="I44" t="s">
        <v>588</v>
      </c>
      <c r="J44">
        <v>1.4499999929533601E-2</v>
      </c>
      <c r="K44">
        <v>1.0247973619913604</v>
      </c>
      <c r="O44" t="s">
        <v>1092</v>
      </c>
      <c r="P44" t="s">
        <v>641</v>
      </c>
      <c r="R44" t="s">
        <v>979</v>
      </c>
    </row>
    <row r="45" spans="2:18">
      <c r="B45" t="s">
        <v>983</v>
      </c>
      <c r="C45" t="s">
        <v>787</v>
      </c>
      <c r="D45">
        <v>7.4999999635518601E-3</v>
      </c>
      <c r="E45" t="s">
        <v>94</v>
      </c>
      <c r="I45" t="s">
        <v>588</v>
      </c>
      <c r="J45">
        <v>7.4999999635518601E-3</v>
      </c>
      <c r="K45">
        <v>1.0247973619913604</v>
      </c>
      <c r="O45" t="s">
        <v>984</v>
      </c>
      <c r="P45" t="s">
        <v>641</v>
      </c>
    </row>
    <row r="46" spans="2:18">
      <c r="B46" t="s">
        <v>776</v>
      </c>
      <c r="C46" t="s">
        <v>654</v>
      </c>
      <c r="D46">
        <v>1.31999999358513E-2</v>
      </c>
      <c r="E46" t="s">
        <v>94</v>
      </c>
      <c r="I46" t="s">
        <v>588</v>
      </c>
      <c r="J46">
        <v>1.31999999358513E-2</v>
      </c>
      <c r="K46">
        <v>1.0247973619913604</v>
      </c>
      <c r="P46" t="s">
        <v>641</v>
      </c>
    </row>
    <row r="47" spans="2:18">
      <c r="B47" t="s">
        <v>777</v>
      </c>
      <c r="C47" t="s">
        <v>712</v>
      </c>
      <c r="D47">
        <v>1.7699999913982399E-4</v>
      </c>
      <c r="E47" t="s">
        <v>94</v>
      </c>
      <c r="I47" t="s">
        <v>588</v>
      </c>
      <c r="J47">
        <v>1.7699999913982399E-4</v>
      </c>
      <c r="K47">
        <v>1.2214027581601699</v>
      </c>
      <c r="P47" t="s">
        <v>641</v>
      </c>
    </row>
    <row r="48" spans="2:18">
      <c r="B48" t="s">
        <v>986</v>
      </c>
      <c r="C48" t="s">
        <v>787</v>
      </c>
      <c r="D48">
        <v>1.39999999319635E-2</v>
      </c>
      <c r="E48" t="s">
        <v>94</v>
      </c>
      <c r="I48" t="s">
        <v>588</v>
      </c>
      <c r="J48">
        <v>1.39999999319635E-2</v>
      </c>
      <c r="K48">
        <v>1</v>
      </c>
      <c r="O48" t="s">
        <v>987</v>
      </c>
      <c r="P48" t="s">
        <v>956</v>
      </c>
      <c r="R48" t="s">
        <v>1093</v>
      </c>
    </row>
    <row r="49" spans="1:18">
      <c r="B49" t="s">
        <v>251</v>
      </c>
      <c r="C49" t="s">
        <v>654</v>
      </c>
      <c r="D49">
        <v>2.1999999893085398E-3</v>
      </c>
      <c r="E49" t="s">
        <v>640</v>
      </c>
      <c r="I49" t="s">
        <v>588</v>
      </c>
      <c r="J49">
        <v>2.1999999893085398E-3</v>
      </c>
      <c r="K49">
        <v>1.0247973619913604</v>
      </c>
      <c r="P49" t="s">
        <v>952</v>
      </c>
      <c r="R49" t="s">
        <v>1005</v>
      </c>
    </row>
    <row r="50" spans="1:18">
      <c r="B50" t="s">
        <v>1094</v>
      </c>
      <c r="C50" t="s">
        <v>661</v>
      </c>
      <c r="D50">
        <v>1.06999999480006E-2</v>
      </c>
      <c r="E50" t="s">
        <v>640</v>
      </c>
      <c r="I50" t="s">
        <v>588</v>
      </c>
      <c r="J50">
        <v>1.06999999480006E-2</v>
      </c>
      <c r="K50">
        <v>1.0247973619913604</v>
      </c>
      <c r="P50" t="s">
        <v>641</v>
      </c>
    </row>
    <row r="52" spans="1:18" ht="24" customHeight="1">
      <c r="A52" s="204" t="s">
        <v>5220</v>
      </c>
      <c r="B52" s="1043" t="s">
        <v>5218</v>
      </c>
      <c r="C52" s="1043"/>
      <c r="D52" s="1043"/>
      <c r="E52" s="1043"/>
      <c r="F52" s="1043"/>
      <c r="G52" s="444"/>
      <c r="I52" s="1043" t="s">
        <v>5219</v>
      </c>
      <c r="J52" s="1043"/>
      <c r="K52" s="1043"/>
      <c r="L52" s="1043"/>
      <c r="M52" s="1043"/>
    </row>
    <row r="53" spans="1:18">
      <c r="A53" s="204" t="s">
        <v>544</v>
      </c>
      <c r="B53" s="445" t="str">
        <f>B10</f>
        <v>aluminium fluoride</v>
      </c>
      <c r="C53" s="442">
        <f>SUMIFS($D$10:$D$22,$B$10:$B$22,B53)</f>
        <v>2.0999999897945199E-2</v>
      </c>
      <c r="D53" s="431" t="str">
        <f>E10</f>
        <v>kg</v>
      </c>
      <c r="E53" s="441">
        <f>'FE - Aluminum'!CP26</f>
        <v>2.1000000000000001E-2</v>
      </c>
      <c r="F53" s="443" t="s">
        <v>109</v>
      </c>
      <c r="G53" s="204"/>
      <c r="I53" s="430" t="str">
        <f>B18</f>
        <v>electricity, medium voltage, aluminium industry</v>
      </c>
      <c r="J53" s="442">
        <f>SUMIFS($D$10:$D$22,$B$10:$B$22,I53)</f>
        <v>15.750999923454</v>
      </c>
      <c r="K53" s="431" t="str">
        <f>E18</f>
        <v>kWh</v>
      </c>
      <c r="L53" s="441" t="e">
        <f>'FE - Aluminum'!#REF!/3.6</f>
        <v>#REF!</v>
      </c>
      <c r="M53" s="433" t="s">
        <v>5206</v>
      </c>
    </row>
    <row r="54" spans="1:18">
      <c r="A54" s="204" t="s">
        <v>544</v>
      </c>
      <c r="B54" s="445" t="str">
        <f t="shared" ref="B54:B55" si="0">B11</f>
        <v>aluminium oxide, metallurgical</v>
      </c>
      <c r="C54" s="442">
        <f t="shared" ref="C54:C55" si="1">SUMIFS($D$10:$D$22,$B$10:$B$22,B54)</f>
        <v>1.89699999078105</v>
      </c>
      <c r="D54" s="431" t="str">
        <f>E11</f>
        <v>kg</v>
      </c>
      <c r="E54" s="441">
        <f>'FE - Aluminum'!CJ26</f>
        <v>1.8970434642885836</v>
      </c>
      <c r="F54" s="443" t="s">
        <v>5</v>
      </c>
      <c r="G54" s="204" t="s">
        <v>5223</v>
      </c>
    </row>
    <row r="55" spans="1:18">
      <c r="A55" s="204" t="s">
        <v>544</v>
      </c>
      <c r="B55" s="445" t="str">
        <f t="shared" si="0"/>
        <v>anode, prebake, for aluminium electrolysis</v>
      </c>
      <c r="C55" s="442">
        <f t="shared" si="1"/>
        <v>0.47499999769161799</v>
      </c>
      <c r="D55" s="431" t="str">
        <f>E12</f>
        <v>kg</v>
      </c>
      <c r="E55" s="441">
        <f>'FE - Aluminum'!CM26</f>
        <v>0.47499999999999998</v>
      </c>
      <c r="F55" s="443" t="s">
        <v>504</v>
      </c>
      <c r="G55" s="204"/>
      <c r="I55" s="430" t="s">
        <v>127</v>
      </c>
      <c r="J55" s="430">
        <f>J53*3.6</f>
        <v>56.703599724434397</v>
      </c>
      <c r="K55" s="431" t="s">
        <v>607</v>
      </c>
      <c r="L55" s="433" t="e">
        <f>L53*3.6</f>
        <v>#REF!</v>
      </c>
      <c r="M55" s="433" t="s">
        <v>127</v>
      </c>
    </row>
    <row r="56" spans="1:18">
      <c r="A56" s="204" t="s">
        <v>544</v>
      </c>
      <c r="B56" s="445" t="str">
        <f>B17</f>
        <v>cryolite</v>
      </c>
      <c r="C56" s="442">
        <f t="shared" ref="C56:C64" si="2">SUMIFS($D$10:$D$22,$B$10:$B$22,B56)</f>
        <v>1.5999999922244E-3</v>
      </c>
      <c r="D56" s="431" t="str">
        <f>E17</f>
        <v>kg</v>
      </c>
      <c r="E56" s="441">
        <f>'FE - Aluminum'!CO26</f>
        <v>1.6000000000000001E-3</v>
      </c>
      <c r="F56" s="443" t="s">
        <v>244</v>
      </c>
      <c r="G56" s="204"/>
    </row>
    <row r="57" spans="1:18">
      <c r="A57" s="204" t="s">
        <v>5221</v>
      </c>
      <c r="B57" s="445" t="str">
        <f>B13</f>
        <v>blasting</v>
      </c>
      <c r="C57" s="442">
        <f t="shared" si="2"/>
        <v>4.0199999804638002E-4</v>
      </c>
      <c r="D57" s="431" t="str">
        <f>E13</f>
        <v>kg</v>
      </c>
      <c r="E57" s="441"/>
      <c r="F57" s="443"/>
      <c r="G57" s="204"/>
    </row>
    <row r="58" spans="1:18">
      <c r="A58" s="204" t="s">
        <v>5221</v>
      </c>
      <c r="B58" s="445" t="str">
        <f>B14</f>
        <v>cast iron</v>
      </c>
      <c r="C58" s="442">
        <f t="shared" si="2"/>
        <v>8.0399999609275896E-4</v>
      </c>
      <c r="D58" s="431" t="str">
        <f>E14</f>
        <v>kg</v>
      </c>
      <c r="E58" s="441"/>
      <c r="F58" s="443"/>
      <c r="G58" s="204"/>
    </row>
    <row r="59" spans="1:18">
      <c r="A59" s="204" t="s">
        <v>5221</v>
      </c>
      <c r="B59" s="445" t="str">
        <f>B15</f>
        <v>cathode, for aluminium electrolysis</v>
      </c>
      <c r="C59" s="442">
        <f t="shared" si="2"/>
        <v>5.6999999722994101E-3</v>
      </c>
      <c r="D59" s="431" t="str">
        <f>E15</f>
        <v>kg</v>
      </c>
      <c r="E59" s="441"/>
      <c r="F59" s="443"/>
      <c r="G59" s="204"/>
    </row>
    <row r="60" spans="1:18">
      <c r="A60" s="204" t="s">
        <v>5221</v>
      </c>
      <c r="B60" s="445" t="str">
        <f>B16</f>
        <v>coke</v>
      </c>
      <c r="C60" s="442">
        <f t="shared" si="2"/>
        <v>0.12699999938281101</v>
      </c>
      <c r="D60" s="431" t="str">
        <f>E16</f>
        <v>MJ</v>
      </c>
      <c r="E60" s="441"/>
      <c r="F60" s="443"/>
      <c r="G60" s="204"/>
    </row>
    <row r="61" spans="1:18">
      <c r="A61" s="204" t="s">
        <v>5221</v>
      </c>
      <c r="B61" s="445" t="str">
        <f>B19</f>
        <v>pitch</v>
      </c>
      <c r="C61" s="442">
        <f t="shared" si="2"/>
        <v>1.9099999907178701E-3</v>
      </c>
      <c r="D61" s="431" t="str">
        <f>E19</f>
        <v>kg</v>
      </c>
      <c r="E61" s="441"/>
      <c r="F61" s="443"/>
      <c r="G61" s="204"/>
    </row>
    <row r="62" spans="1:18">
      <c r="A62" s="204" t="s">
        <v>5221</v>
      </c>
      <c r="B62" s="445" t="str">
        <f>B20</f>
        <v>refractory, fireclay, packed</v>
      </c>
      <c r="C62" s="442">
        <f t="shared" si="2"/>
        <v>5.3999999737573403E-3</v>
      </c>
      <c r="D62" s="431" t="str">
        <f>E20</f>
        <v>kg</v>
      </c>
      <c r="E62" s="441"/>
      <c r="F62" s="443"/>
      <c r="G62" s="204"/>
    </row>
    <row r="63" spans="1:18">
      <c r="A63" s="204" t="s">
        <v>5221</v>
      </c>
      <c r="B63" s="445" t="str">
        <f>B21</f>
        <v>reinforcing steel</v>
      </c>
      <c r="C63" s="442">
        <f t="shared" si="2"/>
        <v>5.2599999744377002E-3</v>
      </c>
      <c r="D63" s="431" t="str">
        <f>E21</f>
        <v>kg</v>
      </c>
      <c r="E63" s="441"/>
      <c r="F63" s="443"/>
      <c r="G63" s="204"/>
    </row>
    <row r="64" spans="1:18">
      <c r="A64" s="204" t="s">
        <v>5222</v>
      </c>
      <c r="B64" s="445" t="str">
        <f>B22</f>
        <v>Water, unspecified natural origin, IAI Area, South America</v>
      </c>
      <c r="C64" s="442">
        <f t="shared" si="2"/>
        <v>2.39999998833659E-4</v>
      </c>
      <c r="D64" s="431" t="str">
        <f>E22</f>
        <v>m3</v>
      </c>
      <c r="E64" s="441"/>
      <c r="F64" s="443"/>
      <c r="G64" s="204"/>
    </row>
  </sheetData>
  <mergeCells count="2">
    <mergeCell ref="B52:F52"/>
    <mergeCell ref="I52:M52"/>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0A903-C093-4389-BC4B-4393D6AC5240}">
  <sheetPr>
    <tabColor rgb="FF0070C0"/>
  </sheetPr>
  <dimension ref="A1:Q64"/>
  <sheetViews>
    <sheetView topLeftCell="A43" workbookViewId="0">
      <selection activeCell="B52" sqref="B52:F53"/>
    </sheetView>
  </sheetViews>
  <sheetFormatPr defaultRowHeight="14.4"/>
  <cols>
    <col min="1" max="1" width="10.5546875" customWidth="1"/>
    <col min="2" max="2" width="47.109375" customWidth="1"/>
    <col min="6" max="6" width="17.44140625" customWidth="1"/>
    <col min="9" max="9" width="39.88671875" customWidth="1"/>
    <col min="13" max="13" width="10.5546875" customWidth="1"/>
  </cols>
  <sheetData>
    <row r="1" spans="1:17">
      <c r="A1" s="424" t="s">
        <v>564</v>
      </c>
    </row>
    <row r="2" spans="1:17">
      <c r="A2" s="423" t="s">
        <v>565</v>
      </c>
      <c r="B2" t="s">
        <v>1095</v>
      </c>
    </row>
    <row r="3" spans="1:17">
      <c r="A3" s="423" t="s">
        <v>567</v>
      </c>
      <c r="B3" t="s">
        <v>168</v>
      </c>
    </row>
    <row r="4" spans="1:17">
      <c r="A4" s="423" t="s">
        <v>568</v>
      </c>
      <c r="B4" t="s">
        <v>667</v>
      </c>
    </row>
    <row r="5" spans="1:17">
      <c r="A5" s="423" t="s">
        <v>585</v>
      </c>
      <c r="B5" t="s">
        <v>1096</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1062</v>
      </c>
      <c r="C9" t="s">
        <v>857</v>
      </c>
      <c r="D9">
        <v>1.5384999790626899E-10</v>
      </c>
      <c r="E9" t="s">
        <v>616</v>
      </c>
      <c r="H9" t="s">
        <v>588</v>
      </c>
      <c r="I9">
        <v>1.5384999790626899E-10</v>
      </c>
      <c r="J9">
        <v>1.7134630202947554</v>
      </c>
      <c r="N9" t="s">
        <v>1063</v>
      </c>
      <c r="O9" t="s">
        <v>952</v>
      </c>
      <c r="Q9" t="s">
        <v>1047</v>
      </c>
    </row>
    <row r="10" spans="1:17">
      <c r="B10" t="s">
        <v>1031</v>
      </c>
      <c r="C10" t="s">
        <v>673</v>
      </c>
      <c r="D10">
        <v>2.06999997182955E-2</v>
      </c>
      <c r="E10" t="s">
        <v>94</v>
      </c>
      <c r="H10" t="s">
        <v>588</v>
      </c>
      <c r="I10">
        <v>2.06999997182955E-2</v>
      </c>
      <c r="J10">
        <v>1.0247973619913604</v>
      </c>
      <c r="N10" t="s">
        <v>1064</v>
      </c>
      <c r="O10" t="s">
        <v>641</v>
      </c>
      <c r="Q10" t="s">
        <v>595</v>
      </c>
    </row>
    <row r="11" spans="1:17">
      <c r="B11" t="s">
        <v>1044</v>
      </c>
      <c r="C11" t="s">
        <v>667</v>
      </c>
      <c r="D11">
        <v>2.1049999713532399</v>
      </c>
      <c r="E11" t="s">
        <v>94</v>
      </c>
      <c r="H11" t="s">
        <v>588</v>
      </c>
      <c r="I11">
        <v>2.1049999713532399</v>
      </c>
      <c r="J11">
        <v>1.0247973619913604</v>
      </c>
      <c r="N11" t="s">
        <v>1065</v>
      </c>
      <c r="O11" t="s">
        <v>641</v>
      </c>
    </row>
    <row r="12" spans="1:17">
      <c r="B12" t="s">
        <v>996</v>
      </c>
      <c r="C12" t="s">
        <v>948</v>
      </c>
      <c r="D12">
        <v>0.51499999299140997</v>
      </c>
      <c r="E12" t="s">
        <v>94</v>
      </c>
      <c r="H12" t="s">
        <v>588</v>
      </c>
      <c r="I12">
        <v>0.51499999299140997</v>
      </c>
      <c r="J12">
        <v>1.0247973619913604</v>
      </c>
      <c r="N12" t="s">
        <v>1097</v>
      </c>
      <c r="O12" t="s">
        <v>956</v>
      </c>
    </row>
    <row r="13" spans="1:17">
      <c r="B13" t="s">
        <v>591</v>
      </c>
      <c r="C13" t="s">
        <v>592</v>
      </c>
      <c r="D13">
        <v>4.0199999452921701E-4</v>
      </c>
      <c r="E13" t="s">
        <v>94</v>
      </c>
      <c r="H13" t="s">
        <v>588</v>
      </c>
      <c r="I13">
        <v>4.0199999452921701E-4</v>
      </c>
      <c r="J13">
        <v>1.0247973619913604</v>
      </c>
      <c r="N13" t="s">
        <v>593</v>
      </c>
      <c r="O13" t="s">
        <v>1067</v>
      </c>
      <c r="Q13" t="s">
        <v>1068</v>
      </c>
    </row>
    <row r="14" spans="1:17">
      <c r="B14" t="s">
        <v>954</v>
      </c>
      <c r="C14" t="s">
        <v>821</v>
      </c>
      <c r="D14">
        <v>8.0399998905843401E-4</v>
      </c>
      <c r="E14" t="s">
        <v>94</v>
      </c>
      <c r="H14" t="s">
        <v>588</v>
      </c>
      <c r="I14">
        <v>8.0399998905843401E-4</v>
      </c>
      <c r="J14">
        <v>1.0247973619913604</v>
      </c>
      <c r="N14" t="s">
        <v>955</v>
      </c>
      <c r="O14" t="s">
        <v>1067</v>
      </c>
      <c r="Q14" t="s">
        <v>1068</v>
      </c>
    </row>
    <row r="15" spans="1:17">
      <c r="B15" t="s">
        <v>1069</v>
      </c>
      <c r="C15" t="s">
        <v>948</v>
      </c>
      <c r="D15">
        <v>7.3399999001105797E-3</v>
      </c>
      <c r="E15" t="s">
        <v>94</v>
      </c>
      <c r="H15" t="s">
        <v>588</v>
      </c>
      <c r="I15">
        <v>7.3399999001105797E-3</v>
      </c>
      <c r="J15">
        <v>1.0247973619913604</v>
      </c>
      <c r="N15" t="s">
        <v>1070</v>
      </c>
      <c r="O15" t="s">
        <v>641</v>
      </c>
    </row>
    <row r="16" spans="1:17">
      <c r="B16" t="s">
        <v>823</v>
      </c>
      <c r="C16" t="s">
        <v>795</v>
      </c>
      <c r="D16">
        <v>0.126999998271668</v>
      </c>
      <c r="E16" t="s">
        <v>607</v>
      </c>
      <c r="H16" t="s">
        <v>588</v>
      </c>
      <c r="I16">
        <v>0.126999998271668</v>
      </c>
      <c r="J16">
        <v>1.0247973619913604</v>
      </c>
      <c r="N16" t="s">
        <v>1072</v>
      </c>
      <c r="O16" t="s">
        <v>1067</v>
      </c>
      <c r="Q16" t="s">
        <v>1073</v>
      </c>
    </row>
    <row r="17" spans="1:17">
      <c r="B17" t="s">
        <v>1014</v>
      </c>
      <c r="C17" t="s">
        <v>673</v>
      </c>
      <c r="D17">
        <v>1.5999999782257399E-3</v>
      </c>
      <c r="E17" t="s">
        <v>94</v>
      </c>
      <c r="H17" t="s">
        <v>588</v>
      </c>
      <c r="I17">
        <v>1.5999999782257399E-3</v>
      </c>
      <c r="J17">
        <v>1.0247973619913604</v>
      </c>
      <c r="N17" t="s">
        <v>1074</v>
      </c>
      <c r="O17" t="s">
        <v>834</v>
      </c>
      <c r="Q17" t="s">
        <v>595</v>
      </c>
    </row>
    <row r="18" spans="1:17">
      <c r="B18" t="s">
        <v>1075</v>
      </c>
      <c r="C18" t="s">
        <v>597</v>
      </c>
      <c r="D18">
        <v>16.950999769315299</v>
      </c>
      <c r="E18" t="s">
        <v>598</v>
      </c>
      <c r="H18" t="s">
        <v>588</v>
      </c>
      <c r="I18">
        <v>16.950999769315299</v>
      </c>
      <c r="J18">
        <v>1.0247973619913604</v>
      </c>
      <c r="N18" t="s">
        <v>1076</v>
      </c>
      <c r="O18" t="s">
        <v>956</v>
      </c>
      <c r="Q18" t="s">
        <v>811</v>
      </c>
    </row>
    <row r="19" spans="1:17">
      <c r="B19" t="s">
        <v>767</v>
      </c>
      <c r="C19" t="s">
        <v>664</v>
      </c>
      <c r="D19">
        <v>1.90999997400698E-3</v>
      </c>
      <c r="E19" t="s">
        <v>94</v>
      </c>
      <c r="H19" t="s">
        <v>588</v>
      </c>
      <c r="I19">
        <v>1.90999997400698E-3</v>
      </c>
      <c r="J19">
        <v>1.0247973619913604</v>
      </c>
      <c r="N19" t="s">
        <v>962</v>
      </c>
      <c r="O19" t="s">
        <v>1067</v>
      </c>
      <c r="Q19" t="s">
        <v>1073</v>
      </c>
    </row>
    <row r="20" spans="1:17">
      <c r="B20" t="s">
        <v>963</v>
      </c>
      <c r="C20" t="s">
        <v>964</v>
      </c>
      <c r="D20">
        <v>3.3949999537977401E-3</v>
      </c>
      <c r="E20" t="s">
        <v>94</v>
      </c>
      <c r="H20" t="s">
        <v>588</v>
      </c>
      <c r="I20">
        <v>3.3949999537977401E-3</v>
      </c>
      <c r="J20">
        <v>1.0247973619913604</v>
      </c>
      <c r="N20" t="s">
        <v>965</v>
      </c>
      <c r="O20" t="s">
        <v>641</v>
      </c>
      <c r="Q20" t="s">
        <v>1077</v>
      </c>
    </row>
    <row r="21" spans="1:17">
      <c r="B21" t="s">
        <v>1078</v>
      </c>
      <c r="C21" t="s">
        <v>821</v>
      </c>
      <c r="D21">
        <v>4.89999993331633E-3</v>
      </c>
      <c r="E21" t="s">
        <v>94</v>
      </c>
      <c r="H21" t="s">
        <v>588</v>
      </c>
      <c r="I21">
        <v>4.89999993331633E-3</v>
      </c>
      <c r="J21">
        <v>1.0247973619913604</v>
      </c>
      <c r="N21" t="s">
        <v>1079</v>
      </c>
      <c r="O21" t="s">
        <v>641</v>
      </c>
    </row>
    <row r="22" spans="1:17">
      <c r="B22" t="s">
        <v>1080</v>
      </c>
      <c r="C22" t="s">
        <v>639</v>
      </c>
      <c r="D22">
        <v>2.7959999619494798E-2</v>
      </c>
      <c r="E22" t="s">
        <v>640</v>
      </c>
      <c r="H22" t="s">
        <v>588</v>
      </c>
      <c r="I22">
        <v>2.7959999619494798E-2</v>
      </c>
      <c r="J22">
        <v>1.0247973619913604</v>
      </c>
      <c r="O22" t="s">
        <v>641</v>
      </c>
    </row>
    <row r="24" spans="1:17">
      <c r="A24" t="s">
        <v>710</v>
      </c>
    </row>
    <row r="25" spans="1:17">
      <c r="A25" s="424" t="s">
        <v>570</v>
      </c>
      <c r="B25" s="424" t="s">
        <v>571</v>
      </c>
      <c r="C25" s="424" t="s">
        <v>568</v>
      </c>
      <c r="D25" s="424" t="s">
        <v>572</v>
      </c>
      <c r="E25" s="424" t="s">
        <v>573</v>
      </c>
      <c r="F25" s="424" t="s">
        <v>574</v>
      </c>
      <c r="G25" s="424" t="s">
        <v>575</v>
      </c>
      <c r="H25" s="424" t="s">
        <v>576</v>
      </c>
      <c r="I25" s="424" t="s">
        <v>577</v>
      </c>
      <c r="J25" s="424" t="s">
        <v>578</v>
      </c>
      <c r="K25" s="424" t="s">
        <v>579</v>
      </c>
      <c r="L25" s="424" t="s">
        <v>580</v>
      </c>
      <c r="M25" s="424" t="s">
        <v>581</v>
      </c>
      <c r="N25" s="424" t="s">
        <v>582</v>
      </c>
      <c r="O25" s="424" t="s">
        <v>583</v>
      </c>
      <c r="P25" s="424" t="s">
        <v>584</v>
      </c>
      <c r="Q25" s="424" t="s">
        <v>585</v>
      </c>
    </row>
    <row r="26" spans="1:17">
      <c r="A26" s="424" t="s">
        <v>645</v>
      </c>
      <c r="B26" s="424" t="s">
        <v>1081</v>
      </c>
      <c r="C26" s="424" t="s">
        <v>667</v>
      </c>
      <c r="D26" s="424">
        <v>1</v>
      </c>
      <c r="E26" s="424" t="s">
        <v>94</v>
      </c>
      <c r="F26" s="424">
        <v>3.67</v>
      </c>
      <c r="G26" s="424" t="s">
        <v>647</v>
      </c>
      <c r="M26" s="424"/>
      <c r="O26" s="424" t="s">
        <v>1098</v>
      </c>
      <c r="P26" s="424"/>
      <c r="Q26" s="424"/>
    </row>
    <row r="27" spans="1:17">
      <c r="B27" t="s">
        <v>720</v>
      </c>
      <c r="C27" t="s">
        <v>654</v>
      </c>
      <c r="D27">
        <v>2.9999999591732602E-6</v>
      </c>
      <c r="E27" t="s">
        <v>94</v>
      </c>
      <c r="H27" t="s">
        <v>588</v>
      </c>
      <c r="I27">
        <v>2.9999999591732602E-6</v>
      </c>
      <c r="J27">
        <v>1.7293101253499219</v>
      </c>
      <c r="O27" t="s">
        <v>993</v>
      </c>
    </row>
    <row r="28" spans="1:17">
      <c r="B28" t="s">
        <v>726</v>
      </c>
      <c r="C28" t="s">
        <v>654</v>
      </c>
      <c r="D28">
        <v>1.49649997963426</v>
      </c>
      <c r="E28" t="s">
        <v>94</v>
      </c>
      <c r="H28" t="s">
        <v>588</v>
      </c>
      <c r="I28">
        <v>1.49649997963426</v>
      </c>
      <c r="J28">
        <v>1</v>
      </c>
      <c r="O28" t="s">
        <v>1082</v>
      </c>
    </row>
    <row r="29" spans="1:17">
      <c r="B29" t="s">
        <v>728</v>
      </c>
      <c r="C29" t="s">
        <v>654</v>
      </c>
      <c r="D29">
        <v>9.1707998751953804E-2</v>
      </c>
      <c r="E29" t="s">
        <v>94</v>
      </c>
      <c r="H29" t="s">
        <v>588</v>
      </c>
      <c r="I29">
        <v>9.1707998751953804E-2</v>
      </c>
      <c r="J29">
        <v>2.2394398661220611</v>
      </c>
      <c r="O29" t="s">
        <v>1082</v>
      </c>
    </row>
    <row r="30" spans="1:17">
      <c r="B30" t="s">
        <v>1083</v>
      </c>
      <c r="C30" t="s">
        <v>654</v>
      </c>
      <c r="D30">
        <v>7.8699998928978499E-6</v>
      </c>
      <c r="E30" t="s">
        <v>94</v>
      </c>
      <c r="H30" t="s">
        <v>588</v>
      </c>
      <c r="I30">
        <v>7.8699998928978499E-6</v>
      </c>
      <c r="J30">
        <v>1.2214027581601699</v>
      </c>
      <c r="O30" t="s">
        <v>641</v>
      </c>
      <c r="Q30" t="s">
        <v>1099</v>
      </c>
    </row>
    <row r="31" spans="1:17">
      <c r="B31" t="s">
        <v>1085</v>
      </c>
      <c r="C31" t="s">
        <v>744</v>
      </c>
      <c r="D31">
        <v>1.7999999755039599E-2</v>
      </c>
      <c r="E31" t="s">
        <v>94</v>
      </c>
      <c r="H31" t="s">
        <v>588</v>
      </c>
      <c r="I31">
        <v>1.7999999755039599E-2</v>
      </c>
      <c r="J31">
        <v>1.0247973619913604</v>
      </c>
      <c r="N31" t="s">
        <v>1086</v>
      </c>
      <c r="O31" t="s">
        <v>641</v>
      </c>
      <c r="Q31" t="s">
        <v>975</v>
      </c>
    </row>
    <row r="32" spans="1:17">
      <c r="B32" t="s">
        <v>741</v>
      </c>
      <c r="C32" t="s">
        <v>712</v>
      </c>
      <c r="D32">
        <v>1.34999998162797E-3</v>
      </c>
      <c r="E32" t="s">
        <v>94</v>
      </c>
      <c r="H32" t="s">
        <v>588</v>
      </c>
      <c r="I32">
        <v>1.34999998162797E-3</v>
      </c>
      <c r="J32">
        <v>1.2214027581601699</v>
      </c>
      <c r="O32" t="s">
        <v>641</v>
      </c>
    </row>
    <row r="33" spans="2:17">
      <c r="B33" t="s">
        <v>243</v>
      </c>
      <c r="C33" t="s">
        <v>654</v>
      </c>
      <c r="D33">
        <v>1.0999999850301999E-3</v>
      </c>
      <c r="E33" t="s">
        <v>94</v>
      </c>
      <c r="H33" t="s">
        <v>588</v>
      </c>
      <c r="I33">
        <v>1.0999999850301999E-3</v>
      </c>
      <c r="J33">
        <v>1.2214027581601699</v>
      </c>
      <c r="O33" t="s">
        <v>641</v>
      </c>
      <c r="Q33" t="s">
        <v>1100</v>
      </c>
    </row>
    <row r="34" spans="2:17">
      <c r="B34" t="s">
        <v>649</v>
      </c>
      <c r="C34" t="s">
        <v>650</v>
      </c>
      <c r="D34">
        <v>1.87699997445607E-2</v>
      </c>
      <c r="E34" t="s">
        <v>94</v>
      </c>
      <c r="H34" t="s">
        <v>588</v>
      </c>
      <c r="I34">
        <v>1.87699997445607E-2</v>
      </c>
      <c r="J34">
        <v>1.0247973619913604</v>
      </c>
      <c r="N34" t="s">
        <v>651</v>
      </c>
      <c r="O34" t="s">
        <v>641</v>
      </c>
      <c r="Q34" t="s">
        <v>1088</v>
      </c>
    </row>
    <row r="35" spans="2:17">
      <c r="B35" t="s">
        <v>977</v>
      </c>
      <c r="C35" t="s">
        <v>787</v>
      </c>
      <c r="D35">
        <v>1.85399997476908E-3</v>
      </c>
      <c r="E35" t="s">
        <v>94</v>
      </c>
      <c r="H35" t="s">
        <v>588</v>
      </c>
      <c r="I35">
        <v>1.85399997476908E-3</v>
      </c>
      <c r="J35">
        <v>1</v>
      </c>
      <c r="N35" t="s">
        <v>978</v>
      </c>
      <c r="O35" t="s">
        <v>956</v>
      </c>
      <c r="Q35" t="s">
        <v>1101</v>
      </c>
    </row>
    <row r="36" spans="2:17">
      <c r="B36" t="s">
        <v>1089</v>
      </c>
      <c r="C36" t="s">
        <v>654</v>
      </c>
      <c r="D36">
        <v>1.4899999797227199E-4</v>
      </c>
      <c r="E36" t="s">
        <v>94</v>
      </c>
      <c r="H36" t="s">
        <v>588</v>
      </c>
      <c r="I36">
        <v>1.4899999797227199E-4</v>
      </c>
      <c r="J36">
        <v>1.2214027581601699</v>
      </c>
      <c r="O36" t="s">
        <v>641</v>
      </c>
      <c r="Q36" t="s">
        <v>1099</v>
      </c>
    </row>
    <row r="37" spans="2:17">
      <c r="B37" t="s">
        <v>761</v>
      </c>
      <c r="C37" t="s">
        <v>654</v>
      </c>
      <c r="D37">
        <v>3.8999999469252402E-4</v>
      </c>
      <c r="E37" t="s">
        <v>94</v>
      </c>
      <c r="H37" t="s">
        <v>588</v>
      </c>
      <c r="I37">
        <v>3.8999999469252402E-4</v>
      </c>
      <c r="J37">
        <v>1.1891099436471448</v>
      </c>
      <c r="O37" t="s">
        <v>993</v>
      </c>
    </row>
    <row r="38" spans="2:17">
      <c r="B38" t="s">
        <v>980</v>
      </c>
      <c r="C38" t="s">
        <v>712</v>
      </c>
      <c r="D38">
        <v>1.6999999768648498E-5</v>
      </c>
      <c r="E38" t="s">
        <v>94</v>
      </c>
      <c r="H38" t="s">
        <v>588</v>
      </c>
      <c r="I38">
        <v>1.6999999768648498E-5</v>
      </c>
      <c r="J38">
        <v>1.2214027581601699</v>
      </c>
      <c r="O38" t="s">
        <v>641</v>
      </c>
      <c r="Q38" t="s">
        <v>1102</v>
      </c>
    </row>
    <row r="39" spans="2:17">
      <c r="B39" t="s">
        <v>763</v>
      </c>
      <c r="C39" t="s">
        <v>712</v>
      </c>
      <c r="D39">
        <v>6.6799999090924604E-6</v>
      </c>
      <c r="E39" t="s">
        <v>94</v>
      </c>
      <c r="H39" t="s">
        <v>588</v>
      </c>
      <c r="I39">
        <v>6.6799999090924604E-6</v>
      </c>
      <c r="J39">
        <v>1.2214027581601699</v>
      </c>
      <c r="O39" t="s">
        <v>641</v>
      </c>
      <c r="Q39" t="s">
        <v>981</v>
      </c>
    </row>
    <row r="40" spans="2:17">
      <c r="B40" t="s">
        <v>763</v>
      </c>
      <c r="C40" t="s">
        <v>654</v>
      </c>
      <c r="D40">
        <v>2.7699999623033103E-4</v>
      </c>
      <c r="E40" t="s">
        <v>94</v>
      </c>
      <c r="H40" t="s">
        <v>588</v>
      </c>
      <c r="I40">
        <v>2.7699999623033103E-4</v>
      </c>
      <c r="J40">
        <v>1.7293101253499219</v>
      </c>
      <c r="O40" t="s">
        <v>993</v>
      </c>
    </row>
    <row r="41" spans="2:17">
      <c r="B41" t="s">
        <v>653</v>
      </c>
      <c r="C41" t="s">
        <v>654</v>
      </c>
      <c r="D41">
        <v>8.8559998794794702E-4</v>
      </c>
      <c r="E41" t="s">
        <v>94</v>
      </c>
      <c r="H41" t="s">
        <v>588</v>
      </c>
      <c r="I41">
        <v>8.8559998794794702E-4</v>
      </c>
      <c r="J41">
        <v>1</v>
      </c>
      <c r="O41" t="s">
        <v>956</v>
      </c>
      <c r="Q41" t="s">
        <v>1103</v>
      </c>
    </row>
    <row r="42" spans="2:17">
      <c r="B42" t="s">
        <v>656</v>
      </c>
      <c r="C42" t="s">
        <v>654</v>
      </c>
      <c r="D42">
        <v>4.9199999330441497E-4</v>
      </c>
      <c r="E42" t="s">
        <v>94</v>
      </c>
      <c r="H42" t="s">
        <v>588</v>
      </c>
      <c r="I42">
        <v>4.9199999330441497E-4</v>
      </c>
      <c r="J42">
        <v>1</v>
      </c>
      <c r="O42" t="s">
        <v>956</v>
      </c>
      <c r="Q42" t="s">
        <v>1104</v>
      </c>
    </row>
    <row r="43" spans="2:17">
      <c r="B43" t="s">
        <v>657</v>
      </c>
      <c r="C43" t="s">
        <v>654</v>
      </c>
      <c r="D43">
        <v>1.08239998526971E-3</v>
      </c>
      <c r="E43" t="s">
        <v>94</v>
      </c>
      <c r="H43" t="s">
        <v>588</v>
      </c>
      <c r="I43">
        <v>1.08239998526971E-3</v>
      </c>
      <c r="J43">
        <v>1</v>
      </c>
      <c r="O43" t="s">
        <v>956</v>
      </c>
      <c r="Q43" t="s">
        <v>1103</v>
      </c>
    </row>
    <row r="44" spans="2:17">
      <c r="B44" t="s">
        <v>1091</v>
      </c>
      <c r="C44" t="s">
        <v>744</v>
      </c>
      <c r="D44">
        <v>2.6499999639363801E-2</v>
      </c>
      <c r="E44" t="s">
        <v>94</v>
      </c>
      <c r="H44" t="s">
        <v>588</v>
      </c>
      <c r="I44">
        <v>2.6499999639363801E-2</v>
      </c>
      <c r="J44">
        <v>1.0247973619913604</v>
      </c>
      <c r="N44" t="s">
        <v>1092</v>
      </c>
      <c r="O44" t="s">
        <v>641</v>
      </c>
      <c r="Q44" t="s">
        <v>979</v>
      </c>
    </row>
    <row r="45" spans="2:17">
      <c r="B45" t="s">
        <v>983</v>
      </c>
      <c r="C45" t="s">
        <v>787</v>
      </c>
      <c r="D45">
        <v>5.6399999232457296E-3</v>
      </c>
      <c r="E45" t="s">
        <v>94</v>
      </c>
      <c r="H45" t="s">
        <v>588</v>
      </c>
      <c r="I45">
        <v>5.6399999232457296E-3</v>
      </c>
      <c r="J45">
        <v>1.0247973619913604</v>
      </c>
      <c r="N45" t="s">
        <v>984</v>
      </c>
      <c r="O45" t="s">
        <v>641</v>
      </c>
    </row>
    <row r="46" spans="2:17">
      <c r="B46" t="s">
        <v>776</v>
      </c>
      <c r="C46" t="s">
        <v>654</v>
      </c>
      <c r="D46">
        <v>8.3599998862294907E-3</v>
      </c>
      <c r="E46" t="s">
        <v>94</v>
      </c>
      <c r="H46" t="s">
        <v>588</v>
      </c>
      <c r="I46">
        <v>8.3599998862294907E-3</v>
      </c>
      <c r="J46">
        <v>1.0247973619913604</v>
      </c>
      <c r="O46" t="s">
        <v>993</v>
      </c>
    </row>
    <row r="47" spans="2:17">
      <c r="B47" t="s">
        <v>777</v>
      </c>
      <c r="C47" t="s">
        <v>712</v>
      </c>
      <c r="D47">
        <v>1.9999999727821701E-3</v>
      </c>
      <c r="E47" t="s">
        <v>94</v>
      </c>
      <c r="H47" t="s">
        <v>588</v>
      </c>
      <c r="I47">
        <v>1.9999999727821701E-3</v>
      </c>
      <c r="J47">
        <v>1.2214027581601699</v>
      </c>
      <c r="O47" t="s">
        <v>641</v>
      </c>
    </row>
    <row r="48" spans="2:17">
      <c r="B48" t="s">
        <v>986</v>
      </c>
      <c r="C48" t="s">
        <v>787</v>
      </c>
      <c r="D48">
        <v>4.5399999382155401E-2</v>
      </c>
      <c r="E48" t="s">
        <v>94</v>
      </c>
      <c r="H48" t="s">
        <v>588</v>
      </c>
      <c r="I48">
        <v>4.5399999382155401E-2</v>
      </c>
      <c r="J48">
        <v>1</v>
      </c>
      <c r="N48" t="s">
        <v>987</v>
      </c>
      <c r="O48" t="s">
        <v>956</v>
      </c>
      <c r="Q48" t="s">
        <v>1105</v>
      </c>
    </row>
    <row r="49" spans="1:17">
      <c r="B49" t="s">
        <v>251</v>
      </c>
      <c r="C49" t="s">
        <v>654</v>
      </c>
      <c r="D49">
        <v>7.0999999033767201E-4</v>
      </c>
      <c r="E49" t="s">
        <v>640</v>
      </c>
      <c r="H49" t="s">
        <v>588</v>
      </c>
      <c r="I49">
        <v>7.0999999033767201E-4</v>
      </c>
      <c r="J49">
        <v>1.0247973619913604</v>
      </c>
      <c r="O49" t="s">
        <v>952</v>
      </c>
      <c r="Q49" t="s">
        <v>1005</v>
      </c>
    </row>
    <row r="50" spans="1:17">
      <c r="B50" t="s">
        <v>1094</v>
      </c>
      <c r="C50" t="s">
        <v>661</v>
      </c>
      <c r="D50">
        <v>6.7219999085208898E-2</v>
      </c>
      <c r="E50" t="s">
        <v>640</v>
      </c>
      <c r="H50" t="s">
        <v>588</v>
      </c>
      <c r="I50">
        <v>6.7219999085208898E-2</v>
      </c>
      <c r="J50">
        <v>1.0247973619913604</v>
      </c>
      <c r="O50" t="s">
        <v>641</v>
      </c>
    </row>
    <row r="52" spans="1:17">
      <c r="A52" s="204" t="s">
        <v>5220</v>
      </c>
      <c r="B52" s="1043" t="s">
        <v>5218</v>
      </c>
      <c r="C52" s="1043"/>
      <c r="D52" s="1043"/>
      <c r="E52" s="1043"/>
      <c r="F52" s="1043"/>
      <c r="I52" s="1043" t="s">
        <v>5219</v>
      </c>
      <c r="J52" s="1043"/>
      <c r="K52" s="1043"/>
      <c r="L52" s="1043"/>
      <c r="M52" s="1043"/>
    </row>
    <row r="53" spans="1:17">
      <c r="A53" s="204" t="s">
        <v>544</v>
      </c>
      <c r="B53" s="430" t="str">
        <f>B10</f>
        <v>aluminium fluoride</v>
      </c>
      <c r="C53" s="430">
        <f>SUMIFS($D$9:$D$22,$B$9:$B$22,B53)</f>
        <v>2.06999997182955E-2</v>
      </c>
      <c r="D53" s="431" t="str">
        <f>E10</f>
        <v>kg</v>
      </c>
      <c r="E53" s="433">
        <f>'FE - Aluminum'!CP27</f>
        <v>2.07E-2</v>
      </c>
      <c r="F53" s="433" t="s">
        <v>109</v>
      </c>
      <c r="I53" s="430" t="str">
        <f>B18</f>
        <v>electricity, medium voltage, aluminium industry</v>
      </c>
      <c r="J53" s="430">
        <f>SUMIFS($D$9:$D$22,$B$9:$B$22,I53)</f>
        <v>16.950999769315299</v>
      </c>
      <c r="K53" s="431" t="str">
        <f>E18</f>
        <v>kWh</v>
      </c>
      <c r="L53" s="432" t="e">
        <f>'FE - Aluminum'!#REF!/3.6</f>
        <v>#REF!</v>
      </c>
      <c r="M53" s="433" t="s">
        <v>5206</v>
      </c>
    </row>
    <row r="54" spans="1:17">
      <c r="A54" s="204" t="s">
        <v>544</v>
      </c>
      <c r="B54" s="430" t="str">
        <f t="shared" ref="B54:B55" si="0">B11</f>
        <v>aluminium oxide, metallurgical</v>
      </c>
      <c r="C54" s="430">
        <f t="shared" ref="C54:C55" si="1">SUMIFS($D$9:$D$22,$B$9:$B$22,B54)</f>
        <v>2.1049999713532399</v>
      </c>
      <c r="D54" s="431" t="str">
        <f>E11</f>
        <v>kg</v>
      </c>
      <c r="E54" s="433">
        <f>'FE - Aluminum'!CJ27</f>
        <v>2.1049933696609053</v>
      </c>
      <c r="F54" s="433" t="s">
        <v>5</v>
      </c>
    </row>
    <row r="55" spans="1:17">
      <c r="A55" s="204" t="s">
        <v>544</v>
      </c>
      <c r="B55" s="430" t="str">
        <f t="shared" si="0"/>
        <v>anode, paste, for aluminium electrolysis</v>
      </c>
      <c r="C55" s="430">
        <f t="shared" si="1"/>
        <v>0.51499999299140997</v>
      </c>
      <c r="D55" s="431" t="str">
        <f>E12</f>
        <v>kg</v>
      </c>
      <c r="E55" s="433">
        <f>'FE - Aluminum'!CN27</f>
        <v>0.51500000000000001</v>
      </c>
      <c r="F55" s="433" t="s">
        <v>505</v>
      </c>
      <c r="I55" s="430" t="s">
        <v>127</v>
      </c>
      <c r="J55" s="430">
        <f>J53*3.6</f>
        <v>61.023599169535075</v>
      </c>
      <c r="K55" s="431" t="s">
        <v>607</v>
      </c>
      <c r="L55" s="433" t="e">
        <f>L53*3.6</f>
        <v>#REF!</v>
      </c>
      <c r="M55" s="433" t="s">
        <v>127</v>
      </c>
    </row>
    <row r="56" spans="1:17">
      <c r="A56" s="204" t="s">
        <v>544</v>
      </c>
      <c r="B56" s="430" t="str">
        <f>B17</f>
        <v>cryolite</v>
      </c>
      <c r="C56" s="430">
        <f t="shared" ref="C56:C64" si="2">SUMIFS($D$9:$D$22,$B$9:$B$22,B56)</f>
        <v>1.5999999782257399E-3</v>
      </c>
      <c r="D56" s="431" t="str">
        <f>E17</f>
        <v>kg</v>
      </c>
      <c r="E56" s="433">
        <f>'FE - Aluminum'!CO27</f>
        <v>1.6000000000000001E-3</v>
      </c>
      <c r="F56" s="433" t="s">
        <v>244</v>
      </c>
    </row>
    <row r="57" spans="1:17">
      <c r="A57" s="204" t="s">
        <v>5221</v>
      </c>
      <c r="B57" s="430" t="str">
        <f>B13</f>
        <v>blasting</v>
      </c>
      <c r="C57" s="430">
        <f t="shared" si="2"/>
        <v>4.0199999452921701E-4</v>
      </c>
      <c r="D57" s="431" t="str">
        <f>E13</f>
        <v>kg</v>
      </c>
      <c r="E57" s="433"/>
      <c r="F57" s="433"/>
    </row>
    <row r="58" spans="1:17">
      <c r="A58" s="204" t="s">
        <v>5221</v>
      </c>
      <c r="B58" s="430" t="str">
        <f>B14</f>
        <v>cast iron</v>
      </c>
      <c r="C58" s="430">
        <f t="shared" si="2"/>
        <v>8.0399998905843401E-4</v>
      </c>
      <c r="D58" s="431" t="str">
        <f>E14</f>
        <v>kg</v>
      </c>
      <c r="E58" s="433"/>
      <c r="F58" s="433"/>
    </row>
    <row r="59" spans="1:17">
      <c r="A59" s="204" t="s">
        <v>5221</v>
      </c>
      <c r="B59" s="430" t="str">
        <f>B15</f>
        <v>cathode, for aluminium electrolysis</v>
      </c>
      <c r="C59" s="430">
        <f t="shared" si="2"/>
        <v>7.3399999001105797E-3</v>
      </c>
      <c r="D59" s="431" t="str">
        <f>E15</f>
        <v>kg</v>
      </c>
      <c r="E59" s="433"/>
      <c r="F59" s="433"/>
    </row>
    <row r="60" spans="1:17">
      <c r="A60" s="204" t="s">
        <v>5221</v>
      </c>
      <c r="B60" s="430" t="str">
        <f>B16</f>
        <v>coke</v>
      </c>
      <c r="C60" s="430">
        <f t="shared" si="2"/>
        <v>0.126999998271668</v>
      </c>
      <c r="D60" s="431" t="str">
        <f>E16</f>
        <v>MJ</v>
      </c>
      <c r="E60" s="433"/>
      <c r="F60" s="433"/>
    </row>
    <row r="61" spans="1:17">
      <c r="A61" s="204" t="s">
        <v>5221</v>
      </c>
      <c r="B61" s="430" t="str">
        <f>B19</f>
        <v>pitch</v>
      </c>
      <c r="C61" s="430">
        <f t="shared" si="2"/>
        <v>1.90999997400698E-3</v>
      </c>
      <c r="D61" s="431" t="str">
        <f>E19</f>
        <v>kg</v>
      </c>
      <c r="E61" s="433"/>
      <c r="F61" s="433"/>
    </row>
    <row r="62" spans="1:17">
      <c r="A62" s="204" t="s">
        <v>5221</v>
      </c>
      <c r="B62" s="430" t="str">
        <f>B20</f>
        <v>refractory, fireclay, packed</v>
      </c>
      <c r="C62" s="430">
        <f t="shared" si="2"/>
        <v>3.3949999537977401E-3</v>
      </c>
      <c r="D62" s="431" t="str">
        <f>E20</f>
        <v>kg</v>
      </c>
      <c r="E62" s="433"/>
      <c r="F62" s="433"/>
    </row>
    <row r="63" spans="1:17">
      <c r="A63" s="204" t="s">
        <v>5221</v>
      </c>
      <c r="B63" s="430" t="str">
        <f>B21</f>
        <v>reinforcing steel</v>
      </c>
      <c r="C63" s="430">
        <f t="shared" si="2"/>
        <v>4.89999993331633E-3</v>
      </c>
      <c r="D63" s="431" t="str">
        <f>E21</f>
        <v>kg</v>
      </c>
      <c r="E63" s="433"/>
      <c r="F63" s="433"/>
    </row>
    <row r="64" spans="1:17">
      <c r="A64" s="204" t="s">
        <v>5221</v>
      </c>
      <c r="B64" s="430" t="str">
        <f>B22</f>
        <v>Water, unspecified natural origin, IAI Area, South America</v>
      </c>
      <c r="C64" s="430">
        <f t="shared" si="2"/>
        <v>2.7959999619494798E-2</v>
      </c>
      <c r="D64" s="431" t="str">
        <f>E22</f>
        <v>m3</v>
      </c>
      <c r="E64" s="433"/>
      <c r="F64" s="433"/>
    </row>
  </sheetData>
  <mergeCells count="2">
    <mergeCell ref="B52:F52"/>
    <mergeCell ref="I52:M52"/>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624A2-AC4C-4904-827C-82E1D3752899}">
  <sheetPr>
    <tabColor rgb="FF0070C0"/>
  </sheetPr>
  <dimension ref="A1:Q4043"/>
  <sheetViews>
    <sheetView topLeftCell="A4027" workbookViewId="0">
      <selection activeCell="B4039" sqref="B4039"/>
    </sheetView>
  </sheetViews>
  <sheetFormatPr defaultRowHeight="14.4"/>
  <cols>
    <col min="1" max="1" width="10.6640625" customWidth="1"/>
    <col min="2" max="2" width="20.88671875" customWidth="1"/>
    <col min="3" max="3" width="11" bestFit="1" customWidth="1"/>
  </cols>
  <sheetData>
    <row r="1" spans="1:17">
      <c r="A1" s="424" t="s">
        <v>564</v>
      </c>
    </row>
    <row r="2" spans="1:17">
      <c r="A2" s="423" t="s">
        <v>565</v>
      </c>
      <c r="B2" t="s">
        <v>1106</v>
      </c>
    </row>
    <row r="3" spans="1:17">
      <c r="A3" s="423" t="s">
        <v>567</v>
      </c>
      <c r="B3" t="s">
        <v>1107</v>
      </c>
    </row>
    <row r="4" spans="1:17">
      <c r="A4" s="423" t="s">
        <v>568</v>
      </c>
      <c r="B4" t="s">
        <v>667</v>
      </c>
    </row>
    <row r="5" spans="1:17">
      <c r="A5" s="423" t="s">
        <v>585</v>
      </c>
      <c r="B5" t="s">
        <v>1108</v>
      </c>
    </row>
    <row r="7" spans="1:17">
      <c r="A7" s="423" t="s">
        <v>665</v>
      </c>
    </row>
    <row r="8" spans="1:17">
      <c r="A8" s="424" t="s">
        <v>570</v>
      </c>
      <c r="B8" s="424" t="s">
        <v>571</v>
      </c>
      <c r="C8" s="424" t="s">
        <v>568</v>
      </c>
      <c r="D8" s="424" t="s">
        <v>572</v>
      </c>
      <c r="E8" s="424" t="s">
        <v>573</v>
      </c>
      <c r="F8" s="424" t="s">
        <v>574</v>
      </c>
      <c r="G8" s="424" t="s">
        <v>575</v>
      </c>
      <c r="H8" s="424" t="s">
        <v>576</v>
      </c>
      <c r="I8" s="424" t="s">
        <v>577</v>
      </c>
      <c r="J8" s="424" t="s">
        <v>578</v>
      </c>
      <c r="K8" s="424" t="s">
        <v>579</v>
      </c>
      <c r="L8" s="424" t="s">
        <v>580</v>
      </c>
      <c r="M8" s="424" t="s">
        <v>581</v>
      </c>
      <c r="N8" s="424" t="s">
        <v>582</v>
      </c>
      <c r="O8" s="424" t="s">
        <v>583</v>
      </c>
      <c r="P8" s="424" t="s">
        <v>584</v>
      </c>
      <c r="Q8" s="424" t="s">
        <v>585</v>
      </c>
    </row>
    <row r="9" spans="1:17">
      <c r="B9" t="s">
        <v>1109</v>
      </c>
      <c r="C9" t="s">
        <v>667</v>
      </c>
      <c r="D9">
        <v>6.5080377429302394E-2</v>
      </c>
      <c r="E9" t="s">
        <v>94</v>
      </c>
      <c r="F9">
        <v>8.4604490658093112E-2</v>
      </c>
      <c r="G9" t="s">
        <v>647</v>
      </c>
      <c r="N9" t="s">
        <v>1110</v>
      </c>
    </row>
    <row r="10" spans="1:17">
      <c r="B10" t="s">
        <v>1109</v>
      </c>
      <c r="C10" t="s">
        <v>667</v>
      </c>
      <c r="D10">
        <v>0.42731847097308201</v>
      </c>
      <c r="E10" t="s">
        <v>94</v>
      </c>
      <c r="F10">
        <v>0.55551401226500663</v>
      </c>
      <c r="G10" t="s">
        <v>647</v>
      </c>
      <c r="N10" t="s">
        <v>1110</v>
      </c>
    </row>
    <row r="11" spans="1:17">
      <c r="B11" t="s">
        <v>1109</v>
      </c>
      <c r="C11" t="s">
        <v>667</v>
      </c>
      <c r="D11">
        <v>0.261401641074198</v>
      </c>
      <c r="E11" t="s">
        <v>94</v>
      </c>
      <c r="F11">
        <v>0.33982213339645739</v>
      </c>
      <c r="G11" t="s">
        <v>647</v>
      </c>
      <c r="N11" t="s">
        <v>1111</v>
      </c>
    </row>
    <row r="12" spans="1:17">
      <c r="B12" t="s">
        <v>1109</v>
      </c>
      <c r="C12" t="s">
        <v>667</v>
      </c>
      <c r="D12">
        <v>0.24619942420119201</v>
      </c>
      <c r="E12" t="s">
        <v>94</v>
      </c>
      <c r="F12">
        <v>0.32005925146154962</v>
      </c>
      <c r="G12" t="s">
        <v>647</v>
      </c>
      <c r="N12" t="s">
        <v>1112</v>
      </c>
    </row>
    <row r="13" spans="1:17">
      <c r="B13" t="s">
        <v>1113</v>
      </c>
      <c r="C13" t="s">
        <v>1114</v>
      </c>
      <c r="D13">
        <v>0.3448</v>
      </c>
      <c r="E13" t="s">
        <v>1115</v>
      </c>
      <c r="H13" t="s">
        <v>588</v>
      </c>
      <c r="I13">
        <v>0.3448</v>
      </c>
      <c r="J13">
        <v>1.4139824580805163</v>
      </c>
      <c r="N13" t="s">
        <v>1116</v>
      </c>
      <c r="O13" t="s">
        <v>1117</v>
      </c>
      <c r="Q13" t="s">
        <v>1118</v>
      </c>
    </row>
    <row r="14" spans="1:17">
      <c r="B14" t="s">
        <v>1119</v>
      </c>
      <c r="C14" t="s">
        <v>1120</v>
      </c>
      <c r="D14">
        <v>3.6299999999999999E-2</v>
      </c>
      <c r="E14" t="s">
        <v>1115</v>
      </c>
      <c r="H14" t="s">
        <v>588</v>
      </c>
      <c r="I14">
        <v>3.6299999999999999E-2</v>
      </c>
      <c r="J14">
        <v>1.4139824580805163</v>
      </c>
      <c r="N14" t="s">
        <v>1121</v>
      </c>
      <c r="O14" t="s">
        <v>1117</v>
      </c>
      <c r="Q14" t="s">
        <v>1118</v>
      </c>
    </row>
    <row r="15" spans="1:17">
      <c r="B15" t="s">
        <v>1122</v>
      </c>
      <c r="C15" t="s">
        <v>1123</v>
      </c>
      <c r="D15">
        <v>0.3614</v>
      </c>
      <c r="E15" t="s">
        <v>1115</v>
      </c>
      <c r="H15" t="s">
        <v>588</v>
      </c>
      <c r="I15">
        <v>0.3614</v>
      </c>
      <c r="J15">
        <v>1.4139824580805163</v>
      </c>
      <c r="N15" t="s">
        <v>1124</v>
      </c>
      <c r="O15" t="s">
        <v>1117</v>
      </c>
      <c r="Q15" t="s">
        <v>1125</v>
      </c>
    </row>
    <row r="16" spans="1:17">
      <c r="B16" t="s">
        <v>1126</v>
      </c>
      <c r="C16" t="s">
        <v>1127</v>
      </c>
      <c r="D16">
        <v>0.36330000000000001</v>
      </c>
      <c r="E16" t="s">
        <v>1115</v>
      </c>
      <c r="H16" t="s">
        <v>588</v>
      </c>
      <c r="I16">
        <v>0.36330000000000001</v>
      </c>
      <c r="J16">
        <v>1.4139824580805163</v>
      </c>
      <c r="N16" t="s">
        <v>1128</v>
      </c>
      <c r="O16" t="s">
        <v>1117</v>
      </c>
      <c r="Q16" t="s">
        <v>1129</v>
      </c>
    </row>
    <row r="18" spans="1:17">
      <c r="A18" t="s">
        <v>710</v>
      </c>
    </row>
    <row r="19" spans="1:17">
      <c r="A19" s="424" t="s">
        <v>570</v>
      </c>
      <c r="B19" s="424" t="s">
        <v>571</v>
      </c>
      <c r="C19" s="424" t="s">
        <v>568</v>
      </c>
      <c r="D19" s="424" t="s">
        <v>572</v>
      </c>
      <c r="E19" s="424" t="s">
        <v>573</v>
      </c>
      <c r="F19" s="424" t="s">
        <v>574</v>
      </c>
      <c r="G19" s="424" t="s">
        <v>575</v>
      </c>
      <c r="H19" s="424" t="s">
        <v>576</v>
      </c>
      <c r="I19" s="424" t="s">
        <v>577</v>
      </c>
      <c r="J19" s="424" t="s">
        <v>578</v>
      </c>
      <c r="K19" s="424" t="s">
        <v>579</v>
      </c>
      <c r="L19" s="424" t="s">
        <v>580</v>
      </c>
      <c r="M19" s="424" t="s">
        <v>581</v>
      </c>
      <c r="N19" s="424" t="s">
        <v>582</v>
      </c>
      <c r="O19" s="424" t="s">
        <v>583</v>
      </c>
      <c r="P19" s="424" t="s">
        <v>584</v>
      </c>
      <c r="Q19" s="424" t="s">
        <v>585</v>
      </c>
    </row>
    <row r="20" spans="1:17">
      <c r="A20" s="424" t="s">
        <v>645</v>
      </c>
      <c r="B20" s="424" t="s">
        <v>1109</v>
      </c>
      <c r="C20" s="424" t="s">
        <v>667</v>
      </c>
      <c r="D20" s="424">
        <v>1</v>
      </c>
      <c r="E20" s="424" t="s">
        <v>94</v>
      </c>
      <c r="F20" s="424">
        <v>1.3</v>
      </c>
      <c r="G20" s="424" t="s">
        <v>647</v>
      </c>
      <c r="M20" s="421"/>
      <c r="O20" s="421"/>
      <c r="P20" s="424"/>
      <c r="Q20" s="424"/>
    </row>
    <row r="21" spans="1:17">
      <c r="A21" s="424"/>
      <c r="B21" s="424"/>
      <c r="C21" s="424"/>
      <c r="D21" s="424"/>
      <c r="E21" s="424"/>
      <c r="F21" s="424"/>
      <c r="G21" s="424"/>
      <c r="M21" s="421"/>
      <c r="O21" s="421"/>
      <c r="P21" s="424"/>
      <c r="Q21" s="424"/>
    </row>
    <row r="22" spans="1:17">
      <c r="A22" s="424"/>
      <c r="B22" s="10" t="s">
        <v>5287</v>
      </c>
      <c r="C22" s="10" t="s">
        <v>607</v>
      </c>
      <c r="D22" s="424"/>
      <c r="E22" s="424"/>
      <c r="F22" s="424"/>
      <c r="G22" s="424"/>
      <c r="M22" s="421"/>
      <c r="O22" s="421"/>
      <c r="P22" s="424"/>
      <c r="Q22" s="424"/>
    </row>
    <row r="23" spans="1:17">
      <c r="A23" s="10" t="s">
        <v>5284</v>
      </c>
      <c r="B23" s="5">
        <f>(D9+D10)/SUM(D9:D12)</f>
        <v>0.49239889090735256</v>
      </c>
      <c r="C23" s="5">
        <f>3.6*SUM(D73:D76)+SUM(D93:D100)</f>
        <v>3.3669945602789531</v>
      </c>
      <c r="D23" s="424"/>
      <c r="E23" s="10" t="s">
        <v>127</v>
      </c>
      <c r="F23" s="424"/>
      <c r="G23" s="424"/>
      <c r="M23" s="421"/>
      <c r="O23" s="421"/>
      <c r="P23" s="424"/>
      <c r="Q23" s="424"/>
    </row>
    <row r="24" spans="1:17">
      <c r="A24" s="10" t="s">
        <v>5285</v>
      </c>
      <c r="B24" s="5">
        <f>D11/SUM(D9:D12)</f>
        <v>0.26140166363897138</v>
      </c>
      <c r="C24" s="5">
        <v>0</v>
      </c>
      <c r="D24" s="424"/>
      <c r="E24" s="5">
        <f>C23*B23+C25*B25+C24*B24</f>
        <v>2.6179127912838838</v>
      </c>
      <c r="F24" s="501">
        <v>1.131</v>
      </c>
      <c r="G24" s="424"/>
      <c r="M24" s="421"/>
      <c r="O24" s="421"/>
      <c r="P24" s="424"/>
      <c r="Q24" s="424"/>
    </row>
    <row r="25" spans="1:17">
      <c r="A25" s="10" t="s">
        <v>5286</v>
      </c>
      <c r="B25" s="5">
        <f>D12/SUM(D9:D12)</f>
        <v>0.24619944545367609</v>
      </c>
      <c r="C25" s="5">
        <f>3.6*SUM(D820:D1081)+SUM(D1263:D1308)</f>
        <v>3.8993118052821512</v>
      </c>
      <c r="D25" s="424"/>
      <c r="E25" s="424"/>
      <c r="F25" s="424"/>
      <c r="G25" s="424"/>
      <c r="M25" s="421"/>
      <c r="O25" s="421"/>
      <c r="P25" s="424"/>
      <c r="Q25" s="424"/>
    </row>
    <row r="26" spans="1:17">
      <c r="A26" s="424"/>
      <c r="B26" s="424"/>
      <c r="C26" s="424"/>
      <c r="D26" s="424"/>
      <c r="E26" s="424"/>
      <c r="F26" s="424"/>
      <c r="G26" s="424"/>
      <c r="M26" s="421"/>
      <c r="O26" s="421"/>
      <c r="P26" s="424"/>
      <c r="Q26" s="424"/>
    </row>
    <row r="28" spans="1:17" ht="21">
      <c r="A28" s="426" t="s">
        <v>1132</v>
      </c>
    </row>
    <row r="30" spans="1:17">
      <c r="A30" s="424" t="s">
        <v>564</v>
      </c>
    </row>
    <row r="31" spans="1:17">
      <c r="A31" s="423" t="s">
        <v>565</v>
      </c>
      <c r="B31" t="s">
        <v>1130</v>
      </c>
    </row>
    <row r="32" spans="1:17">
      <c r="A32" s="423" t="s">
        <v>567</v>
      </c>
      <c r="B32" t="s">
        <v>1110</v>
      </c>
    </row>
    <row r="33" spans="1:17">
      <c r="A33" s="423" t="s">
        <v>568</v>
      </c>
      <c r="B33" t="s">
        <v>667</v>
      </c>
    </row>
    <row r="34" spans="1:17">
      <c r="A34" s="423" t="s">
        <v>585</v>
      </c>
      <c r="B34" t="s">
        <v>1131</v>
      </c>
    </row>
    <row r="36" spans="1:17">
      <c r="A36" s="423" t="s">
        <v>665</v>
      </c>
    </row>
    <row r="37" spans="1:17">
      <c r="A37" s="421" t="s">
        <v>570</v>
      </c>
      <c r="B37" s="421" t="s">
        <v>571</v>
      </c>
      <c r="C37" s="421" t="s">
        <v>568</v>
      </c>
      <c r="D37" s="421" t="s">
        <v>572</v>
      </c>
      <c r="E37" s="421" t="s">
        <v>573</v>
      </c>
      <c r="F37" s="421" t="s">
        <v>574</v>
      </c>
      <c r="G37" s="421" t="s">
        <v>575</v>
      </c>
      <c r="H37" s="421" t="s">
        <v>576</v>
      </c>
      <c r="I37" s="421" t="s">
        <v>577</v>
      </c>
      <c r="J37" s="421" t="s">
        <v>578</v>
      </c>
      <c r="K37" s="421" t="s">
        <v>579</v>
      </c>
      <c r="L37" s="421" t="s">
        <v>580</v>
      </c>
      <c r="M37" s="421" t="s">
        <v>581</v>
      </c>
      <c r="N37" s="421" t="s">
        <v>582</v>
      </c>
      <c r="O37" s="421" t="s">
        <v>583</v>
      </c>
      <c r="P37" s="421" t="s">
        <v>584</v>
      </c>
      <c r="Q37" s="421" t="s">
        <v>585</v>
      </c>
    </row>
    <row r="38" spans="1:17">
      <c r="B38" t="s">
        <v>1133</v>
      </c>
      <c r="C38" t="s">
        <v>701</v>
      </c>
      <c r="D38">
        <v>4.7522573456069804E-6</v>
      </c>
      <c r="E38" t="s">
        <v>94</v>
      </c>
      <c r="H38" t="s">
        <v>588</v>
      </c>
      <c r="I38">
        <v>4.7522573456069804E-6</v>
      </c>
      <c r="J38">
        <v>1.0247973619913604</v>
      </c>
      <c r="N38" t="s">
        <v>1134</v>
      </c>
      <c r="O38" t="s">
        <v>1135</v>
      </c>
      <c r="Q38" t="s">
        <v>1136</v>
      </c>
    </row>
    <row r="39" spans="1:17">
      <c r="B39" t="s">
        <v>1137</v>
      </c>
      <c r="C39" t="s">
        <v>1138</v>
      </c>
      <c r="D39">
        <v>3.03642637676485E-5</v>
      </c>
      <c r="E39" t="s">
        <v>94</v>
      </c>
      <c r="H39" t="s">
        <v>588</v>
      </c>
      <c r="I39">
        <v>3.03642637676485E-5</v>
      </c>
      <c r="J39">
        <v>1.0247973619913604</v>
      </c>
      <c r="N39" t="s">
        <v>1139</v>
      </c>
      <c r="O39" t="s">
        <v>1140</v>
      </c>
      <c r="Q39" t="s">
        <v>1141</v>
      </c>
    </row>
    <row r="40" spans="1:17">
      <c r="B40" t="s">
        <v>1142</v>
      </c>
      <c r="C40" t="s">
        <v>1143</v>
      </c>
      <c r="D40">
        <v>4.2635978698646097E-6</v>
      </c>
      <c r="E40" t="s">
        <v>94</v>
      </c>
      <c r="H40" t="s">
        <v>588</v>
      </c>
      <c r="I40">
        <v>4.2635978698646097E-6</v>
      </c>
      <c r="J40">
        <v>1.2214027581601699</v>
      </c>
      <c r="N40" t="s">
        <v>1144</v>
      </c>
      <c r="O40" t="s">
        <v>1145</v>
      </c>
      <c r="Q40" t="s">
        <v>1146</v>
      </c>
    </row>
    <row r="41" spans="1:17">
      <c r="B41" t="s">
        <v>1142</v>
      </c>
      <c r="C41" t="s">
        <v>1143</v>
      </c>
      <c r="D41">
        <v>8.9814289268334296E-7</v>
      </c>
      <c r="E41" t="s">
        <v>94</v>
      </c>
      <c r="H41" t="s">
        <v>588</v>
      </c>
      <c r="I41">
        <v>8.9814289268334296E-7</v>
      </c>
      <c r="J41">
        <v>1.2214027581601699</v>
      </c>
      <c r="N41" t="s">
        <v>1144</v>
      </c>
      <c r="O41" t="s">
        <v>1145</v>
      </c>
      <c r="Q41" t="s">
        <v>1146</v>
      </c>
    </row>
    <row r="42" spans="1:17">
      <c r="B42" t="s">
        <v>1147</v>
      </c>
      <c r="C42" t="s">
        <v>857</v>
      </c>
      <c r="D42">
        <v>1.48784892461478E-13</v>
      </c>
      <c r="E42" t="s">
        <v>616</v>
      </c>
      <c r="H42" t="s">
        <v>588</v>
      </c>
      <c r="I42">
        <v>1.48784892461478E-13</v>
      </c>
      <c r="J42">
        <v>1.0247973619913604</v>
      </c>
      <c r="N42" t="s">
        <v>1148</v>
      </c>
      <c r="O42" t="s">
        <v>952</v>
      </c>
      <c r="Q42" t="s">
        <v>1149</v>
      </c>
    </row>
    <row r="43" spans="1:17">
      <c r="B43" t="s">
        <v>666</v>
      </c>
      <c r="C43" t="s">
        <v>667</v>
      </c>
      <c r="D43">
        <v>2.8798913898834898E-6</v>
      </c>
      <c r="E43" t="s">
        <v>94</v>
      </c>
      <c r="H43" t="s">
        <v>588</v>
      </c>
      <c r="I43">
        <v>2.8798913898834898E-6</v>
      </c>
      <c r="J43">
        <v>1.0247973619913604</v>
      </c>
      <c r="N43" t="s">
        <v>668</v>
      </c>
      <c r="O43" t="s">
        <v>1150</v>
      </c>
      <c r="Q43" t="s">
        <v>1151</v>
      </c>
    </row>
    <row r="44" spans="1:17">
      <c r="B44" t="s">
        <v>666</v>
      </c>
      <c r="C44" t="s">
        <v>667</v>
      </c>
      <c r="D44">
        <v>4.2215502420957897E-3</v>
      </c>
      <c r="E44" t="s">
        <v>94</v>
      </c>
      <c r="H44" t="s">
        <v>588</v>
      </c>
      <c r="I44">
        <v>4.2215502420957897E-3</v>
      </c>
      <c r="J44">
        <v>1.0247973619913604</v>
      </c>
      <c r="N44" t="s">
        <v>668</v>
      </c>
      <c r="O44" t="s">
        <v>1140</v>
      </c>
      <c r="Q44" t="s">
        <v>1152</v>
      </c>
    </row>
    <row r="45" spans="1:17">
      <c r="B45" t="s">
        <v>1109</v>
      </c>
      <c r="C45" t="s">
        <v>667</v>
      </c>
      <c r="D45">
        <v>3.1442959628370701E-3</v>
      </c>
      <c r="E45" t="s">
        <v>94</v>
      </c>
      <c r="H45" t="s">
        <v>588</v>
      </c>
      <c r="I45">
        <v>3.1442959628370701E-3</v>
      </c>
      <c r="J45">
        <v>1.0247973619913604</v>
      </c>
      <c r="N45" t="s">
        <v>1107</v>
      </c>
      <c r="O45" t="s">
        <v>1153</v>
      </c>
      <c r="Q45" t="s">
        <v>1154</v>
      </c>
    </row>
    <row r="46" spans="1:17">
      <c r="B46" t="s">
        <v>1155</v>
      </c>
      <c r="C46" t="s">
        <v>667</v>
      </c>
      <c r="D46">
        <v>1.25619816251699E-2</v>
      </c>
      <c r="E46" t="s">
        <v>94</v>
      </c>
      <c r="H46" t="s">
        <v>588</v>
      </c>
      <c r="I46">
        <v>1.25619816251699E-2</v>
      </c>
      <c r="J46">
        <v>1</v>
      </c>
      <c r="N46" t="s">
        <v>1156</v>
      </c>
      <c r="O46" t="s">
        <v>1157</v>
      </c>
      <c r="Q46" t="s">
        <v>1158</v>
      </c>
    </row>
    <row r="47" spans="1:17">
      <c r="B47" t="s">
        <v>1159</v>
      </c>
      <c r="C47" t="s">
        <v>667</v>
      </c>
      <c r="D47">
        <v>1.6712030242340399E-3</v>
      </c>
      <c r="E47" t="s">
        <v>94</v>
      </c>
      <c r="H47" t="s">
        <v>588</v>
      </c>
      <c r="I47">
        <v>1.6712030242340399E-3</v>
      </c>
      <c r="J47">
        <v>1.0247973619913604</v>
      </c>
      <c r="N47" t="s">
        <v>1160</v>
      </c>
      <c r="O47" t="s">
        <v>1150</v>
      </c>
      <c r="Q47" t="s">
        <v>1151</v>
      </c>
    </row>
    <row r="48" spans="1:17">
      <c r="B48" t="s">
        <v>1161</v>
      </c>
      <c r="C48" t="s">
        <v>809</v>
      </c>
      <c r="D48">
        <v>8.0425825441370695E-5</v>
      </c>
      <c r="E48" t="s">
        <v>94</v>
      </c>
      <c r="H48" t="s">
        <v>588</v>
      </c>
      <c r="I48">
        <v>8.0425825441370695E-5</v>
      </c>
      <c r="J48">
        <v>1.0247973619913604</v>
      </c>
      <c r="N48" t="s">
        <v>1162</v>
      </c>
      <c r="O48" t="s">
        <v>1140</v>
      </c>
      <c r="Q48" t="s">
        <v>1163</v>
      </c>
    </row>
    <row r="49" spans="2:17">
      <c r="B49" t="s">
        <v>1164</v>
      </c>
      <c r="C49" t="s">
        <v>809</v>
      </c>
      <c r="D49">
        <v>5.4658350329573E-5</v>
      </c>
      <c r="E49" t="s">
        <v>94</v>
      </c>
      <c r="H49" t="s">
        <v>588</v>
      </c>
      <c r="I49">
        <v>5.4658350329573E-5</v>
      </c>
      <c r="J49">
        <v>1.0247973619913604</v>
      </c>
      <c r="N49" t="s">
        <v>1165</v>
      </c>
      <c r="O49" t="s">
        <v>1157</v>
      </c>
      <c r="Q49" t="s">
        <v>1166</v>
      </c>
    </row>
    <row r="50" spans="2:17">
      <c r="B50" t="s">
        <v>1167</v>
      </c>
      <c r="C50" t="s">
        <v>667</v>
      </c>
      <c r="D50">
        <v>6.7295998383873402E-5</v>
      </c>
      <c r="E50" t="s">
        <v>94</v>
      </c>
      <c r="H50" t="s">
        <v>588</v>
      </c>
      <c r="I50">
        <v>6.7295998383873402E-5</v>
      </c>
      <c r="J50">
        <v>1.0247973619913604</v>
      </c>
      <c r="N50" t="s">
        <v>1168</v>
      </c>
      <c r="O50" t="s">
        <v>1150</v>
      </c>
      <c r="Q50" t="s">
        <v>1151</v>
      </c>
    </row>
    <row r="51" spans="2:17">
      <c r="B51" t="s">
        <v>1167</v>
      </c>
      <c r="C51" t="s">
        <v>667</v>
      </c>
      <c r="D51">
        <v>3.3817084615011702E-7</v>
      </c>
      <c r="E51" t="s">
        <v>94</v>
      </c>
      <c r="H51" t="s">
        <v>588</v>
      </c>
      <c r="I51">
        <v>3.3817084615011702E-7</v>
      </c>
      <c r="J51">
        <v>1.0247973619913604</v>
      </c>
      <c r="N51" t="s">
        <v>1168</v>
      </c>
      <c r="O51" t="s">
        <v>1150</v>
      </c>
      <c r="Q51" t="s">
        <v>1151</v>
      </c>
    </row>
    <row r="52" spans="2:17">
      <c r="B52" t="s">
        <v>1169</v>
      </c>
      <c r="C52" t="s">
        <v>1170</v>
      </c>
      <c r="D52">
        <v>8.37808487587755E-4</v>
      </c>
      <c r="E52" t="s">
        <v>1171</v>
      </c>
      <c r="H52" t="s">
        <v>588</v>
      </c>
      <c r="I52">
        <v>8.37808487587755E-4</v>
      </c>
      <c r="J52">
        <v>1.0247973619913604</v>
      </c>
      <c r="N52" t="s">
        <v>1172</v>
      </c>
      <c r="O52" t="s">
        <v>1173</v>
      </c>
      <c r="Q52" t="s">
        <v>1154</v>
      </c>
    </row>
    <row r="53" spans="2:17">
      <c r="B53" t="s">
        <v>1174</v>
      </c>
      <c r="C53" t="s">
        <v>1170</v>
      </c>
      <c r="D53">
        <v>4.0376312654831598E-5</v>
      </c>
      <c r="E53" t="s">
        <v>1171</v>
      </c>
      <c r="H53" t="s">
        <v>588</v>
      </c>
      <c r="I53">
        <v>4.0376312654831598E-5</v>
      </c>
      <c r="J53">
        <v>1.0247973619913604</v>
      </c>
      <c r="N53" t="s">
        <v>1175</v>
      </c>
      <c r="O53" t="s">
        <v>1173</v>
      </c>
      <c r="Q53" t="s">
        <v>1154</v>
      </c>
    </row>
    <row r="54" spans="2:17">
      <c r="B54" t="s">
        <v>1176</v>
      </c>
      <c r="C54" t="s">
        <v>1170</v>
      </c>
      <c r="D54">
        <v>2.884501807253E-5</v>
      </c>
      <c r="E54" t="s">
        <v>94</v>
      </c>
      <c r="H54" t="s">
        <v>588</v>
      </c>
      <c r="I54">
        <v>2.884501807253E-5</v>
      </c>
      <c r="J54">
        <v>1.0247973619913604</v>
      </c>
      <c r="N54" t="s">
        <v>1177</v>
      </c>
      <c r="O54" t="s">
        <v>1173</v>
      </c>
      <c r="Q54" t="s">
        <v>1154</v>
      </c>
    </row>
    <row r="55" spans="2:17">
      <c r="B55" t="s">
        <v>1178</v>
      </c>
      <c r="C55" t="s">
        <v>1170</v>
      </c>
      <c r="D55">
        <v>1.9081391755662301E-4</v>
      </c>
      <c r="E55" t="s">
        <v>94</v>
      </c>
      <c r="H55" t="s">
        <v>588</v>
      </c>
      <c r="I55">
        <v>1.9081391755662301E-4</v>
      </c>
      <c r="J55">
        <v>1.0247973619913604</v>
      </c>
      <c r="N55" t="s">
        <v>1179</v>
      </c>
      <c r="O55" t="s">
        <v>1173</v>
      </c>
      <c r="Q55" t="s">
        <v>1154</v>
      </c>
    </row>
    <row r="56" spans="2:17">
      <c r="B56" t="s">
        <v>1180</v>
      </c>
      <c r="C56" t="s">
        <v>1170</v>
      </c>
      <c r="D56">
        <v>2.0834177329893101E-6</v>
      </c>
      <c r="E56" t="s">
        <v>94</v>
      </c>
      <c r="H56" t="s">
        <v>588</v>
      </c>
      <c r="I56">
        <v>2.0834177329893101E-6</v>
      </c>
      <c r="J56">
        <v>1.0247973619913604</v>
      </c>
      <c r="N56" t="s">
        <v>1181</v>
      </c>
      <c r="O56" t="s">
        <v>1173</v>
      </c>
      <c r="Q56" t="s">
        <v>1154</v>
      </c>
    </row>
    <row r="57" spans="2:17">
      <c r="B57" t="s">
        <v>1182</v>
      </c>
      <c r="C57" t="s">
        <v>1170</v>
      </c>
      <c r="D57">
        <v>1.6221137674729601E-4</v>
      </c>
      <c r="E57" t="s">
        <v>94</v>
      </c>
      <c r="H57" t="s">
        <v>588</v>
      </c>
      <c r="I57">
        <v>1.6221137674729601E-4</v>
      </c>
      <c r="J57">
        <v>1.0247973619913604</v>
      </c>
      <c r="N57" t="s">
        <v>1183</v>
      </c>
      <c r="O57" t="s">
        <v>1173</v>
      </c>
      <c r="Q57" t="s">
        <v>1154</v>
      </c>
    </row>
    <row r="58" spans="2:17">
      <c r="B58" t="s">
        <v>1184</v>
      </c>
      <c r="C58" t="s">
        <v>1170</v>
      </c>
      <c r="D58">
        <v>1.09466125614409E-4</v>
      </c>
      <c r="E58" t="s">
        <v>94</v>
      </c>
      <c r="H58" t="s">
        <v>588</v>
      </c>
      <c r="I58">
        <v>1.09466125614409E-4</v>
      </c>
      <c r="J58">
        <v>1.0247973619913604</v>
      </c>
      <c r="N58" t="s">
        <v>1185</v>
      </c>
      <c r="O58" t="s">
        <v>1150</v>
      </c>
      <c r="Q58" t="s">
        <v>1151</v>
      </c>
    </row>
    <row r="59" spans="2:17">
      <c r="B59" t="s">
        <v>1186</v>
      </c>
      <c r="C59" t="s">
        <v>1170</v>
      </c>
      <c r="D59">
        <v>9.1369959028708099E-7</v>
      </c>
      <c r="E59" t="s">
        <v>94</v>
      </c>
      <c r="H59" t="s">
        <v>588</v>
      </c>
      <c r="I59">
        <v>9.1369959028708099E-7</v>
      </c>
      <c r="J59">
        <v>1.0247973619913604</v>
      </c>
      <c r="N59" t="s">
        <v>1187</v>
      </c>
      <c r="O59" t="s">
        <v>1173</v>
      </c>
      <c r="Q59" t="s">
        <v>1154</v>
      </c>
    </row>
    <row r="60" spans="2:17">
      <c r="B60" t="s">
        <v>954</v>
      </c>
      <c r="C60" t="s">
        <v>821</v>
      </c>
      <c r="D60">
        <v>4.2046025232719301E-3</v>
      </c>
      <c r="E60" t="s">
        <v>94</v>
      </c>
      <c r="H60" t="s">
        <v>588</v>
      </c>
      <c r="I60">
        <v>4.2046025232719301E-3</v>
      </c>
      <c r="J60">
        <v>1.151909910168909</v>
      </c>
      <c r="N60" t="s">
        <v>955</v>
      </c>
      <c r="O60" t="s">
        <v>798</v>
      </c>
      <c r="Q60" t="s">
        <v>1188</v>
      </c>
    </row>
    <row r="61" spans="2:17">
      <c r="B61" t="s">
        <v>1189</v>
      </c>
      <c r="C61" t="s">
        <v>650</v>
      </c>
      <c r="D61">
        <v>6.3715920470065303E-3</v>
      </c>
      <c r="E61" t="s">
        <v>94</v>
      </c>
      <c r="H61" t="s">
        <v>588</v>
      </c>
      <c r="I61">
        <v>6.3715920470065303E-3</v>
      </c>
      <c r="J61">
        <v>1.0247973619913604</v>
      </c>
      <c r="N61" t="s">
        <v>1190</v>
      </c>
      <c r="O61" t="s">
        <v>1157</v>
      </c>
      <c r="Q61" t="s">
        <v>1191</v>
      </c>
    </row>
    <row r="62" spans="2:17">
      <c r="B62" t="s">
        <v>1192</v>
      </c>
      <c r="C62" t="s">
        <v>673</v>
      </c>
      <c r="D62">
        <v>1.3206684024178E-5</v>
      </c>
      <c r="E62" t="s">
        <v>94</v>
      </c>
      <c r="H62" t="s">
        <v>588</v>
      </c>
      <c r="I62">
        <v>1.3206684024178E-5</v>
      </c>
      <c r="J62">
        <v>1</v>
      </c>
      <c r="N62" t="s">
        <v>1193</v>
      </c>
      <c r="O62" t="s">
        <v>1157</v>
      </c>
      <c r="Q62" t="s">
        <v>1194</v>
      </c>
    </row>
    <row r="63" spans="2:17">
      <c r="B63" t="s">
        <v>1195</v>
      </c>
      <c r="C63" t="s">
        <v>667</v>
      </c>
      <c r="D63">
        <v>1.9926056467730202E-6</v>
      </c>
      <c r="E63" t="s">
        <v>94</v>
      </c>
      <c r="H63" t="s">
        <v>588</v>
      </c>
      <c r="I63">
        <v>1.9926056467730202E-6</v>
      </c>
      <c r="J63">
        <v>1.2214027581601699</v>
      </c>
      <c r="N63" t="s">
        <v>1196</v>
      </c>
      <c r="O63" t="s">
        <v>1145</v>
      </c>
      <c r="Q63" t="s">
        <v>1146</v>
      </c>
    </row>
    <row r="64" spans="2:17">
      <c r="B64" t="s">
        <v>1197</v>
      </c>
      <c r="C64" t="s">
        <v>676</v>
      </c>
      <c r="D64">
        <v>1.58886849212143E-4</v>
      </c>
      <c r="E64" t="s">
        <v>94</v>
      </c>
      <c r="H64" t="s">
        <v>588</v>
      </c>
      <c r="I64">
        <v>1.58886849212143E-4</v>
      </c>
      <c r="J64">
        <v>1.0247973619913604</v>
      </c>
      <c r="N64" t="s">
        <v>1198</v>
      </c>
      <c r="O64" t="s">
        <v>1140</v>
      </c>
      <c r="Q64" t="s">
        <v>1199</v>
      </c>
    </row>
    <row r="65" spans="2:17">
      <c r="B65" t="s">
        <v>1200</v>
      </c>
      <c r="C65" t="s">
        <v>1143</v>
      </c>
      <c r="D65">
        <v>8.3547789558088996E-6</v>
      </c>
      <c r="E65" t="s">
        <v>94</v>
      </c>
      <c r="H65" t="s">
        <v>588</v>
      </c>
      <c r="I65">
        <v>8.3547789558088996E-6</v>
      </c>
      <c r="J65">
        <v>1.0247973619913604</v>
      </c>
      <c r="N65" t="s">
        <v>1201</v>
      </c>
      <c r="O65" t="s">
        <v>1135</v>
      </c>
      <c r="Q65" t="s">
        <v>1136</v>
      </c>
    </row>
    <row r="66" spans="2:17">
      <c r="B66" t="s">
        <v>1200</v>
      </c>
      <c r="C66" t="s">
        <v>1143</v>
      </c>
      <c r="D66">
        <v>4.1260747904379503E-6</v>
      </c>
      <c r="E66" t="s">
        <v>94</v>
      </c>
      <c r="H66" t="s">
        <v>588</v>
      </c>
      <c r="I66">
        <v>4.1260747904379503E-6</v>
      </c>
      <c r="J66">
        <v>1.0247973619913604</v>
      </c>
      <c r="N66" t="s">
        <v>1201</v>
      </c>
      <c r="O66" t="s">
        <v>1135</v>
      </c>
      <c r="Q66" t="s">
        <v>1136</v>
      </c>
    </row>
    <row r="67" spans="2:17">
      <c r="B67" t="s">
        <v>1202</v>
      </c>
      <c r="C67" t="s">
        <v>673</v>
      </c>
      <c r="D67">
        <v>1.7619668593836601E-5</v>
      </c>
      <c r="E67" t="s">
        <v>94</v>
      </c>
      <c r="H67" t="s">
        <v>588</v>
      </c>
      <c r="I67">
        <v>1.7619668593836601E-5</v>
      </c>
      <c r="J67">
        <v>1.0247973619913604</v>
      </c>
      <c r="N67" t="s">
        <v>1203</v>
      </c>
      <c r="O67" t="s">
        <v>1157</v>
      </c>
      <c r="Q67" t="s">
        <v>1166</v>
      </c>
    </row>
    <row r="68" spans="2:17">
      <c r="B68" t="s">
        <v>1204</v>
      </c>
      <c r="C68" t="s">
        <v>667</v>
      </c>
      <c r="D68">
        <v>1.9865136655393498E-3</v>
      </c>
      <c r="E68" t="s">
        <v>94</v>
      </c>
      <c r="H68" t="s">
        <v>588</v>
      </c>
      <c r="I68">
        <v>1.9865136655393498E-3</v>
      </c>
      <c r="J68">
        <v>1.0247973619913604</v>
      </c>
      <c r="N68" t="s">
        <v>1205</v>
      </c>
      <c r="O68" t="s">
        <v>855</v>
      </c>
      <c r="Q68" t="s">
        <v>1206</v>
      </c>
    </row>
    <row r="69" spans="2:17">
      <c r="B69" t="s">
        <v>1207</v>
      </c>
      <c r="C69" t="s">
        <v>592</v>
      </c>
      <c r="D69">
        <v>3.93765431603292E-3</v>
      </c>
      <c r="E69" t="s">
        <v>607</v>
      </c>
      <c r="H69" t="s">
        <v>588</v>
      </c>
      <c r="I69">
        <v>3.93765431603292E-3</v>
      </c>
      <c r="J69">
        <v>1</v>
      </c>
      <c r="N69" t="s">
        <v>1208</v>
      </c>
      <c r="O69" t="s">
        <v>1157</v>
      </c>
      <c r="Q69" t="s">
        <v>1209</v>
      </c>
    </row>
    <row r="70" spans="2:17">
      <c r="B70" t="s">
        <v>1210</v>
      </c>
      <c r="C70" t="s">
        <v>597</v>
      </c>
      <c r="D70">
        <v>7.5573763820982996E-4</v>
      </c>
      <c r="E70" t="s">
        <v>607</v>
      </c>
      <c r="H70" t="s">
        <v>588</v>
      </c>
      <c r="I70">
        <v>7.5573763820982996E-4</v>
      </c>
      <c r="J70">
        <v>1</v>
      </c>
      <c r="N70" t="s">
        <v>1211</v>
      </c>
      <c r="O70" t="s">
        <v>1157</v>
      </c>
      <c r="Q70" t="s">
        <v>1212</v>
      </c>
    </row>
    <row r="71" spans="2:17">
      <c r="B71" t="s">
        <v>1213</v>
      </c>
      <c r="C71" t="s">
        <v>1170</v>
      </c>
      <c r="D71">
        <v>1.0904948734911401E-6</v>
      </c>
      <c r="E71" t="s">
        <v>94</v>
      </c>
      <c r="H71" t="s">
        <v>588</v>
      </c>
      <c r="I71">
        <v>1.0904948734911401E-6</v>
      </c>
      <c r="J71">
        <v>1.0247973619913604</v>
      </c>
      <c r="N71" t="s">
        <v>1214</v>
      </c>
      <c r="O71" t="s">
        <v>1173</v>
      </c>
      <c r="Q71" t="s">
        <v>1154</v>
      </c>
    </row>
    <row r="72" spans="2:17">
      <c r="B72" t="s">
        <v>1215</v>
      </c>
      <c r="C72" t="s">
        <v>1170</v>
      </c>
      <c r="D72">
        <v>9.9884064376467595E-7</v>
      </c>
      <c r="E72" t="s">
        <v>94</v>
      </c>
      <c r="H72" t="s">
        <v>588</v>
      </c>
      <c r="I72">
        <v>9.9884064376467595E-7</v>
      </c>
      <c r="J72">
        <v>1.0247973619913604</v>
      </c>
      <c r="N72" t="s">
        <v>1216</v>
      </c>
      <c r="O72" t="s">
        <v>1173</v>
      </c>
      <c r="Q72" t="s">
        <v>1154</v>
      </c>
    </row>
    <row r="73" spans="2:17">
      <c r="B73" t="s">
        <v>1217</v>
      </c>
      <c r="C73" t="s">
        <v>597</v>
      </c>
      <c r="D73">
        <v>0.40602600888905199</v>
      </c>
      <c r="E73" t="s">
        <v>598</v>
      </c>
      <c r="H73" t="s">
        <v>588</v>
      </c>
      <c r="I73">
        <v>0.40602600888905199</v>
      </c>
      <c r="J73">
        <v>1.0247973619913604</v>
      </c>
      <c r="N73" t="s">
        <v>1218</v>
      </c>
      <c r="O73" t="s">
        <v>1157</v>
      </c>
      <c r="Q73" t="s">
        <v>1219</v>
      </c>
    </row>
    <row r="74" spans="2:17">
      <c r="B74" t="s">
        <v>839</v>
      </c>
      <c r="C74" t="s">
        <v>597</v>
      </c>
      <c r="D74">
        <v>1.8401602712094699E-5</v>
      </c>
      <c r="E74" t="s">
        <v>598</v>
      </c>
      <c r="H74" t="s">
        <v>588</v>
      </c>
      <c r="I74">
        <v>1.8401602712094699E-5</v>
      </c>
      <c r="J74">
        <v>1.0247973619913604</v>
      </c>
      <c r="N74" t="s">
        <v>840</v>
      </c>
      <c r="O74" t="s">
        <v>1150</v>
      </c>
      <c r="Q74" t="s">
        <v>1151</v>
      </c>
    </row>
    <row r="75" spans="2:17">
      <c r="B75" t="s">
        <v>596</v>
      </c>
      <c r="C75" t="s">
        <v>597</v>
      </c>
      <c r="D75">
        <v>0.32484168606313801</v>
      </c>
      <c r="E75" t="s">
        <v>598</v>
      </c>
      <c r="H75" t="s">
        <v>588</v>
      </c>
      <c r="I75">
        <v>0.32484168606313801</v>
      </c>
      <c r="J75">
        <v>1</v>
      </c>
      <c r="N75" t="s">
        <v>797</v>
      </c>
      <c r="O75" t="s">
        <v>1157</v>
      </c>
      <c r="Q75" t="s">
        <v>1220</v>
      </c>
    </row>
    <row r="76" spans="2:17">
      <c r="B76" t="s">
        <v>596</v>
      </c>
      <c r="C76" t="s">
        <v>597</v>
      </c>
      <c r="D76">
        <v>1.8552446492753699E-2</v>
      </c>
      <c r="E76" t="s">
        <v>598</v>
      </c>
      <c r="H76" t="s">
        <v>588</v>
      </c>
      <c r="I76">
        <v>1.8552446492753699E-2</v>
      </c>
      <c r="J76">
        <v>1.0247973619913604</v>
      </c>
      <c r="N76" t="s">
        <v>599</v>
      </c>
      <c r="O76" t="s">
        <v>1153</v>
      </c>
      <c r="Q76" t="s">
        <v>1221</v>
      </c>
    </row>
    <row r="77" spans="2:17">
      <c r="B77" t="s">
        <v>1222</v>
      </c>
      <c r="C77" t="s">
        <v>701</v>
      </c>
      <c r="D77">
        <v>1.8528127410438701E-3</v>
      </c>
      <c r="E77" t="s">
        <v>94</v>
      </c>
      <c r="H77" t="s">
        <v>588</v>
      </c>
      <c r="I77">
        <v>1.8528127410438701E-3</v>
      </c>
      <c r="J77">
        <v>1.0247973619913604</v>
      </c>
      <c r="N77" t="s">
        <v>1223</v>
      </c>
      <c r="O77" t="s">
        <v>1173</v>
      </c>
      <c r="Q77" t="s">
        <v>1154</v>
      </c>
    </row>
    <row r="78" spans="2:17">
      <c r="B78" t="s">
        <v>1224</v>
      </c>
      <c r="C78" t="s">
        <v>673</v>
      </c>
      <c r="D78">
        <v>2.1716685518469502E-6</v>
      </c>
      <c r="E78" t="s">
        <v>94</v>
      </c>
      <c r="H78" t="s">
        <v>588</v>
      </c>
      <c r="I78">
        <v>2.1716685518469502E-6</v>
      </c>
      <c r="J78">
        <v>1.0247973619913604</v>
      </c>
      <c r="N78" t="s">
        <v>1225</v>
      </c>
      <c r="O78" t="s">
        <v>1135</v>
      </c>
      <c r="Q78" t="s">
        <v>1136</v>
      </c>
    </row>
    <row r="79" spans="2:17">
      <c r="B79" t="s">
        <v>1224</v>
      </c>
      <c r="C79" t="s">
        <v>673</v>
      </c>
      <c r="D79">
        <v>1.0309185194399899E-5</v>
      </c>
      <c r="E79" t="s">
        <v>94</v>
      </c>
      <c r="H79" t="s">
        <v>588</v>
      </c>
      <c r="I79">
        <v>1.0309185194399899E-5</v>
      </c>
      <c r="J79">
        <v>1.0247973619913604</v>
      </c>
      <c r="N79" t="s">
        <v>1225</v>
      </c>
      <c r="O79" t="s">
        <v>1135</v>
      </c>
      <c r="Q79" t="s">
        <v>1136</v>
      </c>
    </row>
    <row r="80" spans="2:17">
      <c r="B80" t="s">
        <v>1226</v>
      </c>
      <c r="C80" t="s">
        <v>708</v>
      </c>
      <c r="D80">
        <v>4.6975602073473098E-5</v>
      </c>
      <c r="E80" t="s">
        <v>94</v>
      </c>
      <c r="H80" t="s">
        <v>588</v>
      </c>
      <c r="I80">
        <v>4.6975602073473098E-5</v>
      </c>
      <c r="J80">
        <v>1.0247973619913604</v>
      </c>
      <c r="N80" t="s">
        <v>1227</v>
      </c>
      <c r="O80" t="s">
        <v>1140</v>
      </c>
      <c r="Q80" t="s">
        <v>1228</v>
      </c>
    </row>
    <row r="81" spans="2:17">
      <c r="B81" t="s">
        <v>1229</v>
      </c>
      <c r="C81" t="s">
        <v>664</v>
      </c>
      <c r="D81">
        <v>9.9377591170518399E-6</v>
      </c>
      <c r="E81" t="s">
        <v>94</v>
      </c>
      <c r="H81" t="s">
        <v>588</v>
      </c>
      <c r="I81">
        <v>9.9377591170518399E-6</v>
      </c>
      <c r="J81">
        <v>1.2214027581601699</v>
      </c>
      <c r="N81" t="s">
        <v>1230</v>
      </c>
      <c r="O81" t="s">
        <v>1145</v>
      </c>
      <c r="Q81" t="s">
        <v>595</v>
      </c>
    </row>
    <row r="82" spans="2:17">
      <c r="B82" t="s">
        <v>1229</v>
      </c>
      <c r="C82" t="s">
        <v>664</v>
      </c>
      <c r="D82">
        <v>5.2626931791289196E-6</v>
      </c>
      <c r="E82" t="s">
        <v>94</v>
      </c>
      <c r="H82" t="s">
        <v>588</v>
      </c>
      <c r="I82">
        <v>5.2626931791289196E-6</v>
      </c>
      <c r="J82">
        <v>1.2214027581601699</v>
      </c>
      <c r="N82" t="s">
        <v>1230</v>
      </c>
      <c r="O82" t="s">
        <v>1145</v>
      </c>
      <c r="Q82" t="s">
        <v>595</v>
      </c>
    </row>
    <row r="83" spans="2:17">
      <c r="B83" t="s">
        <v>1229</v>
      </c>
      <c r="C83" t="s">
        <v>664</v>
      </c>
      <c r="D83">
        <v>1.59448881603153E-7</v>
      </c>
      <c r="E83" t="s">
        <v>94</v>
      </c>
      <c r="H83" t="s">
        <v>588</v>
      </c>
      <c r="I83">
        <v>1.59448881603153E-7</v>
      </c>
      <c r="J83">
        <v>1.2214027581601699</v>
      </c>
      <c r="N83" t="s">
        <v>1230</v>
      </c>
      <c r="O83" t="s">
        <v>1145</v>
      </c>
      <c r="Q83" t="s">
        <v>595</v>
      </c>
    </row>
    <row r="84" spans="2:17">
      <c r="B84" t="s">
        <v>1231</v>
      </c>
      <c r="C84" t="s">
        <v>673</v>
      </c>
      <c r="D84">
        <v>4.5035243912291499E-5</v>
      </c>
      <c r="E84" t="s">
        <v>94</v>
      </c>
      <c r="H84" t="s">
        <v>588</v>
      </c>
      <c r="I84">
        <v>4.5035243912291499E-5</v>
      </c>
      <c r="J84">
        <v>1.0247973619913604</v>
      </c>
      <c r="N84" t="s">
        <v>1232</v>
      </c>
      <c r="O84" t="s">
        <v>1173</v>
      </c>
      <c r="Q84" t="s">
        <v>1233</v>
      </c>
    </row>
    <row r="85" spans="2:17">
      <c r="B85" t="s">
        <v>1234</v>
      </c>
      <c r="C85" t="s">
        <v>1170</v>
      </c>
      <c r="D85">
        <v>1.6150525061932598E-5</v>
      </c>
      <c r="E85" t="s">
        <v>94</v>
      </c>
      <c r="H85" t="s">
        <v>588</v>
      </c>
      <c r="I85">
        <v>1.6150525061932598E-5</v>
      </c>
      <c r="J85">
        <v>1.0247973619913604</v>
      </c>
      <c r="N85" t="s">
        <v>1235</v>
      </c>
      <c r="O85" t="s">
        <v>1173</v>
      </c>
      <c r="Q85" t="s">
        <v>1154</v>
      </c>
    </row>
    <row r="86" spans="2:17">
      <c r="B86" t="s">
        <v>1236</v>
      </c>
      <c r="C86" t="s">
        <v>1237</v>
      </c>
      <c r="D86">
        <v>1.2574317748323199E-4</v>
      </c>
      <c r="E86" t="s">
        <v>94</v>
      </c>
      <c r="H86" t="s">
        <v>588</v>
      </c>
      <c r="I86">
        <v>1.2574317748323199E-4</v>
      </c>
      <c r="J86">
        <v>1.0247973619913604</v>
      </c>
      <c r="N86" t="s">
        <v>1238</v>
      </c>
      <c r="O86" t="s">
        <v>1150</v>
      </c>
      <c r="Q86" t="s">
        <v>1151</v>
      </c>
    </row>
    <row r="87" spans="2:17">
      <c r="B87" t="s">
        <v>1239</v>
      </c>
      <c r="C87" t="s">
        <v>1240</v>
      </c>
      <c r="D87">
        <v>1.8725534489086099E-5</v>
      </c>
      <c r="E87" t="s">
        <v>94</v>
      </c>
      <c r="H87" t="s">
        <v>588</v>
      </c>
      <c r="I87">
        <v>1.8725534489086099E-5</v>
      </c>
      <c r="J87">
        <v>1.0247973619913604</v>
      </c>
      <c r="N87" t="s">
        <v>1241</v>
      </c>
      <c r="O87" t="s">
        <v>1135</v>
      </c>
      <c r="Q87" t="s">
        <v>1136</v>
      </c>
    </row>
    <row r="88" spans="2:17">
      <c r="B88" t="s">
        <v>1242</v>
      </c>
      <c r="C88" t="s">
        <v>1243</v>
      </c>
      <c r="D88">
        <v>2.8233876447653001E-5</v>
      </c>
      <c r="E88" t="s">
        <v>94</v>
      </c>
      <c r="H88" t="s">
        <v>588</v>
      </c>
      <c r="I88">
        <v>2.8233876447653001E-5</v>
      </c>
      <c r="J88">
        <v>1.0247973619913604</v>
      </c>
      <c r="N88" t="s">
        <v>1244</v>
      </c>
      <c r="O88" t="s">
        <v>1135</v>
      </c>
      <c r="Q88" t="s">
        <v>1136</v>
      </c>
    </row>
    <row r="89" spans="2:17">
      <c r="B89" t="s">
        <v>1242</v>
      </c>
      <c r="C89" t="s">
        <v>1243</v>
      </c>
      <c r="D89">
        <v>5.8140967578548002E-6</v>
      </c>
      <c r="E89" t="s">
        <v>94</v>
      </c>
      <c r="H89" t="s">
        <v>588</v>
      </c>
      <c r="I89">
        <v>5.8140967578548002E-6</v>
      </c>
      <c r="J89">
        <v>1.0247973619913604</v>
      </c>
      <c r="N89" t="s">
        <v>1244</v>
      </c>
      <c r="O89" t="s">
        <v>1135</v>
      </c>
      <c r="Q89" t="s">
        <v>1136</v>
      </c>
    </row>
    <row r="90" spans="2:17">
      <c r="B90" t="s">
        <v>1245</v>
      </c>
      <c r="C90" t="s">
        <v>708</v>
      </c>
      <c r="D90">
        <v>2.54123082095261E-6</v>
      </c>
      <c r="E90" t="s">
        <v>94</v>
      </c>
      <c r="H90" t="s">
        <v>588</v>
      </c>
      <c r="I90">
        <v>2.54123082095261E-6</v>
      </c>
      <c r="J90">
        <v>1</v>
      </c>
      <c r="N90" t="s">
        <v>1246</v>
      </c>
      <c r="O90" t="s">
        <v>1157</v>
      </c>
      <c r="Q90" t="s">
        <v>1247</v>
      </c>
    </row>
    <row r="91" spans="2:17">
      <c r="B91" t="s">
        <v>1248</v>
      </c>
      <c r="C91" t="s">
        <v>1249</v>
      </c>
      <c r="D91">
        <v>6.4338569622399899E-3</v>
      </c>
      <c r="E91" t="s">
        <v>94</v>
      </c>
      <c r="H91" t="s">
        <v>588</v>
      </c>
      <c r="I91">
        <v>6.4338569622399899E-3</v>
      </c>
      <c r="J91">
        <v>1.1051709180756477</v>
      </c>
      <c r="N91" t="s">
        <v>1250</v>
      </c>
      <c r="O91" t="s">
        <v>798</v>
      </c>
      <c r="Q91" t="s">
        <v>1251</v>
      </c>
    </row>
    <row r="92" spans="2:17">
      <c r="B92" t="s">
        <v>1252</v>
      </c>
      <c r="C92" t="s">
        <v>1249</v>
      </c>
      <c r="D92">
        <v>4.53656488166579E-7</v>
      </c>
      <c r="E92" t="s">
        <v>94</v>
      </c>
      <c r="H92" t="s">
        <v>588</v>
      </c>
      <c r="I92">
        <v>4.53656488166579E-7</v>
      </c>
      <c r="J92">
        <v>1.0247973619913604</v>
      </c>
      <c r="N92" t="s">
        <v>1253</v>
      </c>
      <c r="O92" t="s">
        <v>1135</v>
      </c>
      <c r="Q92" t="s">
        <v>1136</v>
      </c>
    </row>
    <row r="93" spans="2:17">
      <c r="B93" t="s">
        <v>1254</v>
      </c>
      <c r="C93" t="s">
        <v>606</v>
      </c>
      <c r="D93">
        <v>4.9676407170401303E-2</v>
      </c>
      <c r="E93" t="s">
        <v>607</v>
      </c>
      <c r="H93" t="s">
        <v>588</v>
      </c>
      <c r="I93">
        <v>4.9676407170401303E-2</v>
      </c>
      <c r="J93">
        <v>1.0247973619913604</v>
      </c>
      <c r="N93" t="s">
        <v>1255</v>
      </c>
      <c r="O93" t="s">
        <v>1150</v>
      </c>
      <c r="Q93" t="s">
        <v>1151</v>
      </c>
    </row>
    <row r="94" spans="2:17">
      <c r="B94" t="s">
        <v>1254</v>
      </c>
      <c r="C94" t="s">
        <v>606</v>
      </c>
      <c r="D94">
        <v>1.06825434246224E-5</v>
      </c>
      <c r="E94" t="s">
        <v>607</v>
      </c>
      <c r="H94" t="s">
        <v>588</v>
      </c>
      <c r="I94">
        <v>1.06825434246224E-5</v>
      </c>
      <c r="J94">
        <v>1</v>
      </c>
      <c r="N94" t="s">
        <v>1256</v>
      </c>
      <c r="O94" t="s">
        <v>1157</v>
      </c>
      <c r="Q94" t="s">
        <v>1257</v>
      </c>
    </row>
    <row r="95" spans="2:17">
      <c r="B95" t="s">
        <v>845</v>
      </c>
      <c r="C95" t="s">
        <v>597</v>
      </c>
      <c r="D95">
        <v>0.45392490196261898</v>
      </c>
      <c r="E95" t="s">
        <v>607</v>
      </c>
      <c r="H95" t="s">
        <v>588</v>
      </c>
      <c r="I95">
        <v>0.45392490196261898</v>
      </c>
      <c r="J95">
        <v>1</v>
      </c>
      <c r="N95" t="s">
        <v>1258</v>
      </c>
      <c r="O95" t="s">
        <v>1157</v>
      </c>
      <c r="Q95" t="s">
        <v>1259</v>
      </c>
    </row>
    <row r="96" spans="2:17">
      <c r="B96" t="s">
        <v>845</v>
      </c>
      <c r="C96" t="s">
        <v>597</v>
      </c>
      <c r="D96">
        <v>1.09108473914669E-2</v>
      </c>
      <c r="E96" t="s">
        <v>607</v>
      </c>
      <c r="H96" t="s">
        <v>588</v>
      </c>
      <c r="I96">
        <v>1.09108473914669E-2</v>
      </c>
      <c r="J96">
        <v>1.0247973619913604</v>
      </c>
      <c r="N96" t="s">
        <v>1022</v>
      </c>
      <c r="O96" t="s">
        <v>1153</v>
      </c>
      <c r="Q96" t="s">
        <v>1221</v>
      </c>
    </row>
    <row r="97" spans="2:17">
      <c r="B97" t="s">
        <v>845</v>
      </c>
      <c r="C97" t="s">
        <v>597</v>
      </c>
      <c r="D97">
        <v>0.133751554982835</v>
      </c>
      <c r="E97" t="s">
        <v>607</v>
      </c>
      <c r="H97" t="s">
        <v>588</v>
      </c>
      <c r="I97">
        <v>0.133751554982835</v>
      </c>
      <c r="J97">
        <v>1</v>
      </c>
      <c r="N97" t="s">
        <v>846</v>
      </c>
      <c r="O97" t="s">
        <v>798</v>
      </c>
      <c r="Q97" t="s">
        <v>1260</v>
      </c>
    </row>
    <row r="98" spans="2:17">
      <c r="B98" t="s">
        <v>605</v>
      </c>
      <c r="C98" t="s">
        <v>606</v>
      </c>
      <c r="D98">
        <v>6.9332585338105501E-4</v>
      </c>
      <c r="E98" t="s">
        <v>607</v>
      </c>
      <c r="H98" t="s">
        <v>588</v>
      </c>
      <c r="I98">
        <v>6.9332585338105501E-4</v>
      </c>
      <c r="J98">
        <v>1</v>
      </c>
      <c r="N98" t="s">
        <v>1261</v>
      </c>
      <c r="O98" t="s">
        <v>1157</v>
      </c>
      <c r="Q98" t="s">
        <v>1257</v>
      </c>
    </row>
    <row r="99" spans="2:17">
      <c r="B99" t="s">
        <v>605</v>
      </c>
      <c r="C99" t="s">
        <v>606</v>
      </c>
      <c r="D99">
        <v>2.0360836422185399E-4</v>
      </c>
      <c r="E99" t="s">
        <v>607</v>
      </c>
      <c r="H99" t="s">
        <v>588</v>
      </c>
      <c r="I99">
        <v>2.0360836422185399E-4</v>
      </c>
      <c r="J99">
        <v>1.1051709180756477</v>
      </c>
      <c r="N99" t="s">
        <v>1262</v>
      </c>
      <c r="O99" t="s">
        <v>1263</v>
      </c>
      <c r="Q99" t="s">
        <v>1264</v>
      </c>
    </row>
    <row r="100" spans="2:17">
      <c r="B100" t="s">
        <v>605</v>
      </c>
      <c r="C100" t="s">
        <v>606</v>
      </c>
      <c r="D100">
        <v>1.9844477039042699E-2</v>
      </c>
      <c r="E100" t="s">
        <v>607</v>
      </c>
      <c r="H100" t="s">
        <v>588</v>
      </c>
      <c r="I100">
        <v>1.9844477039042699E-2</v>
      </c>
      <c r="J100">
        <v>1</v>
      </c>
      <c r="N100" t="s">
        <v>611</v>
      </c>
      <c r="O100" t="s">
        <v>1157</v>
      </c>
      <c r="Q100" t="s">
        <v>595</v>
      </c>
    </row>
    <row r="101" spans="2:17">
      <c r="B101" t="s">
        <v>1265</v>
      </c>
      <c r="C101" t="s">
        <v>821</v>
      </c>
      <c r="D101">
        <v>5.6045062579585198E-4</v>
      </c>
      <c r="E101" t="s">
        <v>94</v>
      </c>
      <c r="H101" t="s">
        <v>588</v>
      </c>
      <c r="I101">
        <v>5.6045062579585198E-4</v>
      </c>
      <c r="J101">
        <v>1</v>
      </c>
      <c r="N101" t="s">
        <v>1266</v>
      </c>
      <c r="O101" t="s">
        <v>1157</v>
      </c>
      <c r="Q101" t="s">
        <v>1267</v>
      </c>
    </row>
    <row r="102" spans="2:17">
      <c r="B102" t="s">
        <v>1268</v>
      </c>
      <c r="C102" t="s">
        <v>673</v>
      </c>
      <c r="D102">
        <v>4.7721746709503202E-7</v>
      </c>
      <c r="E102" t="s">
        <v>94</v>
      </c>
      <c r="H102" t="s">
        <v>588</v>
      </c>
      <c r="I102">
        <v>4.7721746709503202E-7</v>
      </c>
      <c r="J102">
        <v>1</v>
      </c>
      <c r="N102" t="s">
        <v>1269</v>
      </c>
      <c r="O102" t="s">
        <v>1157</v>
      </c>
      <c r="Q102" t="s">
        <v>1270</v>
      </c>
    </row>
    <row r="103" spans="2:17">
      <c r="B103" t="s">
        <v>1271</v>
      </c>
      <c r="C103" t="s">
        <v>664</v>
      </c>
      <c r="D103">
        <v>3.9889817058271398E-4</v>
      </c>
      <c r="E103" t="s">
        <v>94</v>
      </c>
      <c r="H103" t="s">
        <v>588</v>
      </c>
      <c r="I103">
        <v>3.9889817058271398E-4</v>
      </c>
      <c r="J103">
        <v>1.0247973619913604</v>
      </c>
      <c r="N103" t="s">
        <v>1272</v>
      </c>
      <c r="O103" t="s">
        <v>1157</v>
      </c>
      <c r="Q103" t="s">
        <v>1273</v>
      </c>
    </row>
    <row r="104" spans="2:17">
      <c r="B104" t="s">
        <v>1274</v>
      </c>
      <c r="C104" t="s">
        <v>1170</v>
      </c>
      <c r="D104">
        <v>6.6980163403330294E-5</v>
      </c>
      <c r="E104" t="s">
        <v>94</v>
      </c>
      <c r="H104" t="s">
        <v>588</v>
      </c>
      <c r="I104">
        <v>6.6980163403330294E-5</v>
      </c>
      <c r="J104">
        <v>1.0247973619913604</v>
      </c>
      <c r="N104" t="s">
        <v>1275</v>
      </c>
      <c r="O104" t="s">
        <v>1173</v>
      </c>
      <c r="Q104" t="s">
        <v>1154</v>
      </c>
    </row>
    <row r="105" spans="2:17">
      <c r="B105" t="s">
        <v>1276</v>
      </c>
      <c r="C105" t="s">
        <v>1170</v>
      </c>
      <c r="D105">
        <v>3.3916102630058498E-9</v>
      </c>
      <c r="E105" t="s">
        <v>94</v>
      </c>
      <c r="H105" t="s">
        <v>588</v>
      </c>
      <c r="I105">
        <v>3.3916102630058498E-9</v>
      </c>
      <c r="J105">
        <v>1.0247973619913604</v>
      </c>
      <c r="N105" t="s">
        <v>1277</v>
      </c>
      <c r="O105" t="s">
        <v>1173</v>
      </c>
      <c r="Q105" t="s">
        <v>1154</v>
      </c>
    </row>
    <row r="106" spans="2:17">
      <c r="B106" t="s">
        <v>1278</v>
      </c>
      <c r="C106" t="s">
        <v>1170</v>
      </c>
      <c r="D106">
        <v>6.6976771793067299E-5</v>
      </c>
      <c r="E106" t="s">
        <v>94</v>
      </c>
      <c r="H106" t="s">
        <v>588</v>
      </c>
      <c r="I106">
        <v>6.6976771793067299E-5</v>
      </c>
      <c r="J106">
        <v>1.0247973619913604</v>
      </c>
      <c r="N106" t="s">
        <v>1279</v>
      </c>
      <c r="O106" t="s">
        <v>1173</v>
      </c>
      <c r="Q106" t="s">
        <v>1154</v>
      </c>
    </row>
    <row r="107" spans="2:17">
      <c r="B107" t="s">
        <v>1280</v>
      </c>
      <c r="C107" t="s">
        <v>1249</v>
      </c>
      <c r="D107">
        <v>2.7476647219782302E-4</v>
      </c>
      <c r="E107" t="s">
        <v>94</v>
      </c>
      <c r="H107" t="s">
        <v>588</v>
      </c>
      <c r="I107">
        <v>2.7476647219782302E-4</v>
      </c>
      <c r="J107">
        <v>1.2214027581601699</v>
      </c>
      <c r="N107" t="s">
        <v>1281</v>
      </c>
      <c r="O107" t="s">
        <v>1145</v>
      </c>
      <c r="Q107" t="s">
        <v>1282</v>
      </c>
    </row>
    <row r="108" spans="2:17">
      <c r="B108" t="s">
        <v>1283</v>
      </c>
      <c r="C108" t="s">
        <v>1170</v>
      </c>
      <c r="D108">
        <v>3.5479372229211902E-4</v>
      </c>
      <c r="E108" t="s">
        <v>94</v>
      </c>
      <c r="H108" t="s">
        <v>588</v>
      </c>
      <c r="I108">
        <v>3.5479372229211902E-4</v>
      </c>
      <c r="J108">
        <v>1.0247973619913604</v>
      </c>
      <c r="N108" t="s">
        <v>1284</v>
      </c>
      <c r="O108" t="s">
        <v>1173</v>
      </c>
      <c r="Q108" t="s">
        <v>1154</v>
      </c>
    </row>
    <row r="109" spans="2:17">
      <c r="B109" t="s">
        <v>1285</v>
      </c>
      <c r="C109" t="s">
        <v>1170</v>
      </c>
      <c r="D109">
        <v>1.5200535702597901E-6</v>
      </c>
      <c r="E109" t="s">
        <v>94</v>
      </c>
      <c r="H109" t="s">
        <v>588</v>
      </c>
      <c r="I109">
        <v>1.5200535702597901E-6</v>
      </c>
      <c r="J109">
        <v>1.0247973619913604</v>
      </c>
      <c r="N109" t="s">
        <v>1286</v>
      </c>
      <c r="O109" t="s">
        <v>1173</v>
      </c>
      <c r="Q109" t="s">
        <v>1154</v>
      </c>
    </row>
    <row r="110" spans="2:17">
      <c r="B110" t="s">
        <v>1287</v>
      </c>
      <c r="C110" t="s">
        <v>673</v>
      </c>
      <c r="D110">
        <v>1.18724271331506E-3</v>
      </c>
      <c r="E110" t="s">
        <v>94</v>
      </c>
      <c r="H110" t="s">
        <v>588</v>
      </c>
      <c r="I110">
        <v>1.18724271331506E-3</v>
      </c>
      <c r="J110">
        <v>1.0247973619913604</v>
      </c>
      <c r="N110" t="s">
        <v>1288</v>
      </c>
      <c r="O110" t="s">
        <v>1140</v>
      </c>
      <c r="Q110" t="s">
        <v>1289</v>
      </c>
    </row>
    <row r="111" spans="2:17">
      <c r="B111" t="s">
        <v>675</v>
      </c>
      <c r="C111" t="s">
        <v>676</v>
      </c>
      <c r="D111">
        <v>3.7285447350608701E-3</v>
      </c>
      <c r="E111" t="s">
        <v>94</v>
      </c>
      <c r="H111" t="s">
        <v>588</v>
      </c>
      <c r="I111">
        <v>3.7285447350608701E-3</v>
      </c>
      <c r="J111">
        <v>1.0247973619913604</v>
      </c>
      <c r="N111" t="s">
        <v>677</v>
      </c>
      <c r="O111" t="s">
        <v>1140</v>
      </c>
      <c r="Q111" t="s">
        <v>1290</v>
      </c>
    </row>
    <row r="112" spans="2:17">
      <c r="B112" t="s">
        <v>1291</v>
      </c>
      <c r="C112" t="s">
        <v>667</v>
      </c>
      <c r="D112">
        <v>3.22514703229809E-4</v>
      </c>
      <c r="E112" t="s">
        <v>94</v>
      </c>
      <c r="H112" t="s">
        <v>588</v>
      </c>
      <c r="I112">
        <v>3.22514703229809E-4</v>
      </c>
      <c r="J112">
        <v>1.0247973619913604</v>
      </c>
      <c r="N112" t="s">
        <v>1292</v>
      </c>
      <c r="O112" t="s">
        <v>1135</v>
      </c>
      <c r="Q112" t="s">
        <v>1136</v>
      </c>
    </row>
    <row r="113" spans="2:17">
      <c r="B113" t="s">
        <v>1293</v>
      </c>
      <c r="C113" t="s">
        <v>1170</v>
      </c>
      <c r="D113">
        <v>3.2546888545622502E-7</v>
      </c>
      <c r="E113" t="s">
        <v>94</v>
      </c>
      <c r="H113" t="s">
        <v>588</v>
      </c>
      <c r="I113">
        <v>3.2546888545622502E-7</v>
      </c>
      <c r="J113">
        <v>1.0247973619913604</v>
      </c>
      <c r="N113" t="s">
        <v>1294</v>
      </c>
      <c r="O113" t="s">
        <v>1173</v>
      </c>
      <c r="Q113" t="s">
        <v>1154</v>
      </c>
    </row>
    <row r="114" spans="2:17">
      <c r="B114" t="s">
        <v>1295</v>
      </c>
      <c r="C114" t="s">
        <v>1170</v>
      </c>
      <c r="D114">
        <v>2.0188156327415799E-6</v>
      </c>
      <c r="E114" t="s">
        <v>94</v>
      </c>
      <c r="H114" t="s">
        <v>588</v>
      </c>
      <c r="I114">
        <v>2.0188156327415799E-6</v>
      </c>
      <c r="J114">
        <v>1.0247973619913604</v>
      </c>
      <c r="N114" t="s">
        <v>1296</v>
      </c>
      <c r="O114" t="s">
        <v>1173</v>
      </c>
      <c r="Q114" t="s">
        <v>1154</v>
      </c>
    </row>
    <row r="115" spans="2:17">
      <c r="B115" t="s">
        <v>1297</v>
      </c>
      <c r="C115" t="s">
        <v>664</v>
      </c>
      <c r="D115">
        <v>2.9896814980643399E-5</v>
      </c>
      <c r="E115" t="s">
        <v>94</v>
      </c>
      <c r="H115" t="s">
        <v>588</v>
      </c>
      <c r="I115">
        <v>2.9896814980643399E-5</v>
      </c>
      <c r="J115">
        <v>1.0247973619913604</v>
      </c>
      <c r="N115" t="s">
        <v>1298</v>
      </c>
      <c r="O115" t="s">
        <v>1135</v>
      </c>
      <c r="Q115" t="s">
        <v>1136</v>
      </c>
    </row>
    <row r="116" spans="2:17">
      <c r="B116" t="s">
        <v>1297</v>
      </c>
      <c r="C116" t="s">
        <v>664</v>
      </c>
      <c r="D116">
        <v>1.1717653880589699E-3</v>
      </c>
      <c r="E116" t="s">
        <v>94</v>
      </c>
      <c r="H116" t="s">
        <v>588</v>
      </c>
      <c r="I116">
        <v>1.1717653880589699E-3</v>
      </c>
      <c r="J116">
        <v>1.0247973619913604</v>
      </c>
      <c r="N116" t="s">
        <v>1298</v>
      </c>
      <c r="O116" t="s">
        <v>921</v>
      </c>
      <c r="Q116" t="s">
        <v>1299</v>
      </c>
    </row>
    <row r="117" spans="2:17">
      <c r="B117" t="s">
        <v>1300</v>
      </c>
      <c r="C117" t="s">
        <v>667</v>
      </c>
      <c r="D117">
        <v>7.2392354824004399E-7</v>
      </c>
      <c r="E117" t="s">
        <v>94</v>
      </c>
      <c r="H117" t="s">
        <v>588</v>
      </c>
      <c r="I117">
        <v>7.2392354824004399E-7</v>
      </c>
      <c r="J117">
        <v>1.0247973619913604</v>
      </c>
      <c r="N117" t="s">
        <v>1301</v>
      </c>
      <c r="O117" t="s">
        <v>1135</v>
      </c>
      <c r="Q117" t="s">
        <v>1136</v>
      </c>
    </row>
    <row r="118" spans="2:17">
      <c r="B118" t="s">
        <v>1302</v>
      </c>
      <c r="C118" t="s">
        <v>673</v>
      </c>
      <c r="D118">
        <v>2.24961530936601E-4</v>
      </c>
      <c r="E118" t="s">
        <v>94</v>
      </c>
      <c r="H118" t="s">
        <v>588</v>
      </c>
      <c r="I118">
        <v>2.24961530936601E-4</v>
      </c>
      <c r="J118">
        <v>1.0247973619913604</v>
      </c>
      <c r="N118" t="s">
        <v>1303</v>
      </c>
      <c r="O118" t="s">
        <v>1157</v>
      </c>
      <c r="Q118" t="s">
        <v>1166</v>
      </c>
    </row>
    <row r="119" spans="2:17">
      <c r="B119" t="s">
        <v>1304</v>
      </c>
      <c r="C119" t="s">
        <v>1305</v>
      </c>
      <c r="D119">
        <v>3.4612343525358398E-4</v>
      </c>
      <c r="E119" t="s">
        <v>94</v>
      </c>
      <c r="H119" t="s">
        <v>588</v>
      </c>
      <c r="I119">
        <v>3.4612343525358398E-4</v>
      </c>
      <c r="J119">
        <v>1.0247973619913604</v>
      </c>
      <c r="N119" t="s">
        <v>1306</v>
      </c>
      <c r="O119" t="s">
        <v>1307</v>
      </c>
      <c r="Q119" t="s">
        <v>1308</v>
      </c>
    </row>
    <row r="120" spans="2:17">
      <c r="B120" t="s">
        <v>1309</v>
      </c>
      <c r="C120" t="s">
        <v>664</v>
      </c>
      <c r="D120">
        <v>3.2116038872931701E-6</v>
      </c>
      <c r="E120" t="s">
        <v>94</v>
      </c>
      <c r="H120" t="s">
        <v>588</v>
      </c>
      <c r="I120">
        <v>3.2116038872931701E-6</v>
      </c>
      <c r="J120">
        <v>1.0247973619913604</v>
      </c>
      <c r="N120" t="s">
        <v>1310</v>
      </c>
      <c r="O120" t="s">
        <v>1140</v>
      </c>
      <c r="Q120" t="s">
        <v>1311</v>
      </c>
    </row>
    <row r="121" spans="2:17">
      <c r="B121" t="s">
        <v>1312</v>
      </c>
      <c r="C121" t="s">
        <v>1170</v>
      </c>
      <c r="D121">
        <v>1.05943922719266E-5</v>
      </c>
      <c r="E121" t="s">
        <v>626</v>
      </c>
      <c r="H121" t="s">
        <v>588</v>
      </c>
      <c r="I121">
        <v>1.05943922719266E-5</v>
      </c>
      <c r="J121">
        <v>1.0247973619913604</v>
      </c>
      <c r="N121" t="s">
        <v>1313</v>
      </c>
      <c r="O121" t="s">
        <v>1173</v>
      </c>
      <c r="Q121" t="s">
        <v>1154</v>
      </c>
    </row>
    <row r="122" spans="2:17">
      <c r="B122" t="s">
        <v>688</v>
      </c>
      <c r="C122" t="s">
        <v>667</v>
      </c>
      <c r="D122">
        <v>1.1623843140276299E-6</v>
      </c>
      <c r="E122" t="s">
        <v>94</v>
      </c>
      <c r="H122" t="s">
        <v>588</v>
      </c>
      <c r="I122">
        <v>1.1623843140276299E-6</v>
      </c>
      <c r="J122">
        <v>1.2214027581601699</v>
      </c>
      <c r="N122" t="s">
        <v>689</v>
      </c>
      <c r="O122" t="s">
        <v>1145</v>
      </c>
      <c r="Q122" t="s">
        <v>1146</v>
      </c>
    </row>
    <row r="123" spans="2:17">
      <c r="B123" t="s">
        <v>1314</v>
      </c>
      <c r="C123" t="s">
        <v>809</v>
      </c>
      <c r="D123">
        <v>1.91598504373862E-4</v>
      </c>
      <c r="E123" t="s">
        <v>94</v>
      </c>
      <c r="H123" t="s">
        <v>588</v>
      </c>
      <c r="I123">
        <v>1.91598504373862E-4</v>
      </c>
      <c r="J123">
        <v>1.0247973619913604</v>
      </c>
      <c r="N123" t="s">
        <v>1315</v>
      </c>
      <c r="O123" t="s">
        <v>1140</v>
      </c>
      <c r="Q123" t="s">
        <v>1316</v>
      </c>
    </row>
    <row r="124" spans="2:17">
      <c r="B124" t="s">
        <v>1317</v>
      </c>
      <c r="C124" t="s">
        <v>673</v>
      </c>
      <c r="D124">
        <v>1.02259664356263E-2</v>
      </c>
      <c r="E124" t="s">
        <v>94</v>
      </c>
      <c r="H124" t="s">
        <v>588</v>
      </c>
      <c r="I124">
        <v>1.02259664356263E-2</v>
      </c>
      <c r="J124">
        <v>1.0247973619913604</v>
      </c>
      <c r="N124" t="s">
        <v>1318</v>
      </c>
      <c r="O124" t="s">
        <v>921</v>
      </c>
      <c r="Q124" t="s">
        <v>595</v>
      </c>
    </row>
    <row r="125" spans="2:17">
      <c r="B125" t="s">
        <v>1319</v>
      </c>
      <c r="C125" t="s">
        <v>701</v>
      </c>
      <c r="D125">
        <v>3.6096510690167901E-6</v>
      </c>
      <c r="E125" t="s">
        <v>94</v>
      </c>
      <c r="H125" t="s">
        <v>588</v>
      </c>
      <c r="I125">
        <v>3.6096510690167901E-6</v>
      </c>
      <c r="J125">
        <v>1.0247973619913604</v>
      </c>
      <c r="N125" t="s">
        <v>1320</v>
      </c>
      <c r="O125" t="s">
        <v>1321</v>
      </c>
      <c r="Q125" t="s">
        <v>1151</v>
      </c>
    </row>
    <row r="126" spans="2:17">
      <c r="B126" t="s">
        <v>1319</v>
      </c>
      <c r="C126" t="s">
        <v>701</v>
      </c>
      <c r="D126">
        <v>1.78265521528757E-6</v>
      </c>
      <c r="E126" t="s">
        <v>94</v>
      </c>
      <c r="H126" t="s">
        <v>588</v>
      </c>
      <c r="I126">
        <v>1.78265521528757E-6</v>
      </c>
      <c r="J126">
        <v>1.0247973619913604</v>
      </c>
      <c r="N126" t="s">
        <v>1320</v>
      </c>
      <c r="O126" t="s">
        <v>1321</v>
      </c>
      <c r="Q126" t="s">
        <v>1151</v>
      </c>
    </row>
    <row r="127" spans="2:17">
      <c r="B127" t="s">
        <v>1322</v>
      </c>
      <c r="C127" t="s">
        <v>621</v>
      </c>
      <c r="D127">
        <v>3.4639040374689602E-4</v>
      </c>
      <c r="E127" t="s">
        <v>622</v>
      </c>
      <c r="H127" t="s">
        <v>588</v>
      </c>
      <c r="I127">
        <v>3.4639040374689602E-4</v>
      </c>
      <c r="J127">
        <v>1</v>
      </c>
      <c r="O127" t="s">
        <v>1157</v>
      </c>
      <c r="Q127" t="s">
        <v>1323</v>
      </c>
    </row>
    <row r="128" spans="2:17">
      <c r="B128" t="s">
        <v>1324</v>
      </c>
      <c r="C128" t="s">
        <v>673</v>
      </c>
      <c r="D128">
        <v>1.0335539393904101E-3</v>
      </c>
      <c r="E128" t="s">
        <v>94</v>
      </c>
      <c r="H128" t="s">
        <v>588</v>
      </c>
      <c r="I128">
        <v>1.0335539393904101E-3</v>
      </c>
      <c r="J128">
        <v>1</v>
      </c>
      <c r="N128" t="s">
        <v>1325</v>
      </c>
      <c r="O128" t="s">
        <v>1157</v>
      </c>
      <c r="Q128" t="s">
        <v>595</v>
      </c>
    </row>
    <row r="129" spans="2:17">
      <c r="B129" t="s">
        <v>1326</v>
      </c>
      <c r="C129" t="s">
        <v>667</v>
      </c>
      <c r="D129">
        <v>1.93008188195535E-9</v>
      </c>
      <c r="E129" t="s">
        <v>94</v>
      </c>
      <c r="H129" t="s">
        <v>588</v>
      </c>
      <c r="I129">
        <v>1.93008188195535E-9</v>
      </c>
      <c r="J129">
        <v>1.0247973619913604</v>
      </c>
      <c r="N129" t="s">
        <v>1327</v>
      </c>
      <c r="O129" t="s">
        <v>1173</v>
      </c>
      <c r="Q129" t="s">
        <v>1233</v>
      </c>
    </row>
    <row r="130" spans="2:17">
      <c r="B130" t="s">
        <v>1328</v>
      </c>
      <c r="C130" t="s">
        <v>676</v>
      </c>
      <c r="D130">
        <v>7.8258449112141508E-6</v>
      </c>
      <c r="E130" t="s">
        <v>94</v>
      </c>
      <c r="H130" t="s">
        <v>588</v>
      </c>
      <c r="I130">
        <v>7.8258449112141508E-6</v>
      </c>
      <c r="J130">
        <v>1.0247973619913604</v>
      </c>
      <c r="N130" t="s">
        <v>1329</v>
      </c>
      <c r="O130" t="s">
        <v>1157</v>
      </c>
      <c r="Q130" t="s">
        <v>1166</v>
      </c>
    </row>
    <row r="131" spans="2:17">
      <c r="B131" t="s">
        <v>1330</v>
      </c>
      <c r="C131" t="s">
        <v>1331</v>
      </c>
      <c r="D131">
        <v>5.0981545665104801E-5</v>
      </c>
      <c r="E131" t="s">
        <v>94</v>
      </c>
      <c r="N131" t="s">
        <v>1332</v>
      </c>
    </row>
    <row r="132" spans="2:17">
      <c r="B132" t="s">
        <v>696</v>
      </c>
      <c r="C132" t="s">
        <v>667</v>
      </c>
      <c r="D132">
        <v>1.02937700370952E-8</v>
      </c>
      <c r="E132" t="s">
        <v>94</v>
      </c>
      <c r="H132" t="s">
        <v>588</v>
      </c>
      <c r="I132">
        <v>1.02937700370952E-8</v>
      </c>
      <c r="J132">
        <v>1.0247973619913604</v>
      </c>
      <c r="N132" t="s">
        <v>697</v>
      </c>
      <c r="O132" t="s">
        <v>1173</v>
      </c>
      <c r="Q132" t="s">
        <v>1233</v>
      </c>
    </row>
    <row r="133" spans="2:17">
      <c r="B133" t="s">
        <v>1333</v>
      </c>
      <c r="C133" t="s">
        <v>1170</v>
      </c>
      <c r="D133">
        <v>6.0564468982247401E-4</v>
      </c>
      <c r="E133" t="s">
        <v>616</v>
      </c>
      <c r="H133" t="s">
        <v>588</v>
      </c>
      <c r="I133">
        <v>6.0564468982247401E-4</v>
      </c>
      <c r="J133">
        <v>1.0247973619913604</v>
      </c>
      <c r="N133" t="s">
        <v>1334</v>
      </c>
      <c r="O133" t="s">
        <v>1173</v>
      </c>
      <c r="Q133" t="s">
        <v>1154</v>
      </c>
    </row>
    <row r="134" spans="2:17">
      <c r="B134" t="s">
        <v>1335</v>
      </c>
      <c r="C134" t="s">
        <v>1170</v>
      </c>
      <c r="D134">
        <v>9.0846703473371096E-4</v>
      </c>
      <c r="E134" t="s">
        <v>616</v>
      </c>
      <c r="H134" t="s">
        <v>588</v>
      </c>
      <c r="I134">
        <v>9.0846703473371096E-4</v>
      </c>
      <c r="J134">
        <v>1.0247973619913604</v>
      </c>
      <c r="N134" t="s">
        <v>1336</v>
      </c>
      <c r="O134" t="s">
        <v>1173</v>
      </c>
      <c r="Q134" t="s">
        <v>1154</v>
      </c>
    </row>
    <row r="135" spans="2:17">
      <c r="B135" t="s">
        <v>1337</v>
      </c>
      <c r="C135" t="s">
        <v>701</v>
      </c>
      <c r="D135">
        <v>4.7112443994449901E-6</v>
      </c>
      <c r="E135" t="s">
        <v>94</v>
      </c>
      <c r="H135" t="s">
        <v>588</v>
      </c>
      <c r="I135">
        <v>4.7112443994449901E-6</v>
      </c>
      <c r="J135">
        <v>1.0247973619913604</v>
      </c>
      <c r="N135" t="s">
        <v>1338</v>
      </c>
      <c r="O135" t="s">
        <v>1150</v>
      </c>
      <c r="Q135" t="s">
        <v>1151</v>
      </c>
    </row>
    <row r="136" spans="2:17">
      <c r="B136" t="s">
        <v>1337</v>
      </c>
      <c r="C136" t="s">
        <v>701</v>
      </c>
      <c r="D136">
        <v>3.2258937346199697E-5</v>
      </c>
      <c r="E136" t="s">
        <v>94</v>
      </c>
      <c r="H136" t="s">
        <v>588</v>
      </c>
      <c r="I136">
        <v>3.2258937346199697E-5</v>
      </c>
      <c r="J136">
        <v>1.0247973619913604</v>
      </c>
      <c r="N136" t="s">
        <v>1338</v>
      </c>
      <c r="O136" t="s">
        <v>1150</v>
      </c>
      <c r="Q136" t="s">
        <v>1151</v>
      </c>
    </row>
    <row r="137" spans="2:17">
      <c r="B137" t="s">
        <v>1339</v>
      </c>
      <c r="C137" t="s">
        <v>701</v>
      </c>
      <c r="D137">
        <v>2.22016962639152E-4</v>
      </c>
      <c r="E137" t="s">
        <v>94</v>
      </c>
      <c r="H137" t="s">
        <v>588</v>
      </c>
      <c r="I137">
        <v>2.22016962639152E-4</v>
      </c>
      <c r="J137">
        <v>1</v>
      </c>
      <c r="N137" t="s">
        <v>1340</v>
      </c>
      <c r="O137" t="s">
        <v>1157</v>
      </c>
      <c r="Q137" t="s">
        <v>1341</v>
      </c>
    </row>
    <row r="138" spans="2:17">
      <c r="B138" t="s">
        <v>1342</v>
      </c>
      <c r="C138" t="s">
        <v>701</v>
      </c>
      <c r="D138">
        <v>2.1693979478074701E-3</v>
      </c>
      <c r="E138" t="s">
        <v>94</v>
      </c>
      <c r="H138" t="s">
        <v>588</v>
      </c>
      <c r="I138">
        <v>2.1693979478074701E-3</v>
      </c>
      <c r="J138">
        <v>1.0247973619913604</v>
      </c>
      <c r="N138" t="s">
        <v>1343</v>
      </c>
      <c r="O138" t="s">
        <v>1173</v>
      </c>
      <c r="Q138" t="s">
        <v>1154</v>
      </c>
    </row>
    <row r="139" spans="2:17">
      <c r="B139" t="s">
        <v>1344</v>
      </c>
      <c r="C139" t="s">
        <v>701</v>
      </c>
      <c r="D139">
        <v>1.7031464014664901E-5</v>
      </c>
      <c r="E139" t="s">
        <v>94</v>
      </c>
      <c r="H139" t="s">
        <v>588</v>
      </c>
      <c r="I139">
        <v>1.7031464014664901E-5</v>
      </c>
      <c r="J139">
        <v>1.0247973619913604</v>
      </c>
      <c r="N139" t="s">
        <v>1345</v>
      </c>
      <c r="O139" t="s">
        <v>1135</v>
      </c>
      <c r="Q139" t="s">
        <v>1136</v>
      </c>
    </row>
    <row r="140" spans="2:17">
      <c r="B140" t="s">
        <v>1346</v>
      </c>
      <c r="C140" t="s">
        <v>701</v>
      </c>
      <c r="D140">
        <v>1.97006598719968E-4</v>
      </c>
      <c r="E140" t="s">
        <v>94</v>
      </c>
      <c r="H140" t="s">
        <v>588</v>
      </c>
      <c r="I140">
        <v>1.97006598719968E-4</v>
      </c>
      <c r="J140">
        <v>1.0247973619913604</v>
      </c>
      <c r="N140" t="s">
        <v>1347</v>
      </c>
      <c r="O140" t="s">
        <v>1173</v>
      </c>
      <c r="Q140" t="s">
        <v>1154</v>
      </c>
    </row>
    <row r="141" spans="2:17">
      <c r="B141" t="s">
        <v>1348</v>
      </c>
      <c r="C141" t="s">
        <v>701</v>
      </c>
      <c r="D141">
        <v>1.49815599078332E-4</v>
      </c>
      <c r="E141" t="s">
        <v>94</v>
      </c>
      <c r="H141" t="s">
        <v>588</v>
      </c>
      <c r="I141">
        <v>1.49815599078332E-4</v>
      </c>
      <c r="J141">
        <v>1.151909910168909</v>
      </c>
      <c r="N141" t="s">
        <v>1349</v>
      </c>
      <c r="O141" t="s">
        <v>1263</v>
      </c>
      <c r="Q141" t="s">
        <v>1350</v>
      </c>
    </row>
    <row r="142" spans="2:17">
      <c r="B142" t="s">
        <v>1351</v>
      </c>
      <c r="C142" t="s">
        <v>701</v>
      </c>
      <c r="D142">
        <v>2.66904624972448E-5</v>
      </c>
      <c r="E142" t="s">
        <v>94</v>
      </c>
      <c r="H142" t="s">
        <v>588</v>
      </c>
      <c r="I142">
        <v>2.66904624972448E-5</v>
      </c>
      <c r="J142">
        <v>1.0247973619913604</v>
      </c>
      <c r="N142" t="s">
        <v>1352</v>
      </c>
      <c r="O142" t="s">
        <v>1150</v>
      </c>
      <c r="Q142" t="s">
        <v>1151</v>
      </c>
    </row>
    <row r="143" spans="2:17">
      <c r="B143" t="s">
        <v>1353</v>
      </c>
      <c r="C143" t="s">
        <v>701</v>
      </c>
      <c r="D143">
        <v>2.4678616716774901E-5</v>
      </c>
      <c r="E143" t="s">
        <v>94</v>
      </c>
      <c r="H143" t="s">
        <v>588</v>
      </c>
      <c r="I143">
        <v>2.4678616716774901E-5</v>
      </c>
      <c r="J143">
        <v>1.0247973619913604</v>
      </c>
      <c r="N143" t="s">
        <v>1354</v>
      </c>
      <c r="O143" t="s">
        <v>1135</v>
      </c>
      <c r="Q143" t="s">
        <v>1136</v>
      </c>
    </row>
    <row r="144" spans="2:17">
      <c r="B144" t="s">
        <v>1353</v>
      </c>
      <c r="C144" t="s">
        <v>701</v>
      </c>
      <c r="D144">
        <v>5.05465643596594E-6</v>
      </c>
      <c r="E144" t="s">
        <v>94</v>
      </c>
      <c r="H144" t="s">
        <v>588</v>
      </c>
      <c r="I144">
        <v>5.05465643596594E-6</v>
      </c>
      <c r="J144">
        <v>1.0247973619913604</v>
      </c>
      <c r="N144" t="s">
        <v>1354</v>
      </c>
      <c r="O144" t="s">
        <v>1135</v>
      </c>
      <c r="Q144" t="s">
        <v>1136</v>
      </c>
    </row>
    <row r="145" spans="2:17">
      <c r="B145" t="s">
        <v>1355</v>
      </c>
      <c r="C145" t="s">
        <v>701</v>
      </c>
      <c r="D145">
        <v>1.03846411879021E-4</v>
      </c>
      <c r="E145" t="s">
        <v>94</v>
      </c>
      <c r="H145" t="s">
        <v>588</v>
      </c>
      <c r="I145">
        <v>1.03846411879021E-4</v>
      </c>
      <c r="J145">
        <v>1.760654165524179</v>
      </c>
      <c r="N145" t="s">
        <v>1356</v>
      </c>
      <c r="O145" t="s">
        <v>798</v>
      </c>
      <c r="Q145" t="s">
        <v>1357</v>
      </c>
    </row>
    <row r="146" spans="2:17">
      <c r="B146" t="s">
        <v>1358</v>
      </c>
      <c r="C146" t="s">
        <v>701</v>
      </c>
      <c r="D146">
        <v>1.38768788770806E-5</v>
      </c>
      <c r="E146" t="s">
        <v>94</v>
      </c>
      <c r="H146" t="s">
        <v>588</v>
      </c>
      <c r="I146">
        <v>1.38768788770806E-5</v>
      </c>
      <c r="J146">
        <v>1.151909910168909</v>
      </c>
      <c r="N146" t="s">
        <v>1359</v>
      </c>
      <c r="O146" t="s">
        <v>1263</v>
      </c>
      <c r="Q146" t="s">
        <v>595</v>
      </c>
    </row>
    <row r="147" spans="2:17">
      <c r="B147" t="s">
        <v>1360</v>
      </c>
      <c r="C147" t="s">
        <v>673</v>
      </c>
      <c r="D147">
        <v>5.3999836905238796E-6</v>
      </c>
      <c r="E147" t="s">
        <v>94</v>
      </c>
      <c r="H147" t="s">
        <v>588</v>
      </c>
      <c r="I147">
        <v>5.3999836905238796E-6</v>
      </c>
      <c r="J147">
        <v>1</v>
      </c>
      <c r="N147" t="s">
        <v>1361</v>
      </c>
      <c r="O147" t="s">
        <v>1157</v>
      </c>
      <c r="Q147" t="s">
        <v>1362</v>
      </c>
    </row>
    <row r="148" spans="2:17">
      <c r="B148" t="s">
        <v>1363</v>
      </c>
      <c r="C148" t="s">
        <v>673</v>
      </c>
      <c r="D148">
        <v>3.9255265599292598E-6</v>
      </c>
      <c r="E148" t="s">
        <v>94</v>
      </c>
      <c r="H148" t="s">
        <v>588</v>
      </c>
      <c r="I148">
        <v>3.9255265599292598E-6</v>
      </c>
      <c r="J148">
        <v>1.0247973619913604</v>
      </c>
      <c r="N148" t="s">
        <v>1364</v>
      </c>
      <c r="O148" t="s">
        <v>1157</v>
      </c>
      <c r="Q148" t="s">
        <v>1166</v>
      </c>
    </row>
    <row r="149" spans="2:17">
      <c r="B149" t="s">
        <v>1365</v>
      </c>
      <c r="C149" t="s">
        <v>1170</v>
      </c>
      <c r="D149">
        <v>2.4629550719447299E-6</v>
      </c>
      <c r="E149" t="s">
        <v>94</v>
      </c>
      <c r="H149" t="s">
        <v>588</v>
      </c>
      <c r="I149">
        <v>2.4629550719447299E-6</v>
      </c>
      <c r="J149">
        <v>1.0247973619913604</v>
      </c>
      <c r="N149" t="s">
        <v>1366</v>
      </c>
      <c r="O149" t="s">
        <v>1173</v>
      </c>
      <c r="Q149" t="s">
        <v>1154</v>
      </c>
    </row>
    <row r="150" spans="2:17">
      <c r="B150" t="s">
        <v>1367</v>
      </c>
      <c r="C150" t="s">
        <v>857</v>
      </c>
      <c r="D150">
        <v>6.59791245232183E-12</v>
      </c>
      <c r="E150" t="s">
        <v>616</v>
      </c>
      <c r="H150" t="s">
        <v>588</v>
      </c>
      <c r="I150">
        <v>6.59791245232183E-12</v>
      </c>
      <c r="J150">
        <v>1</v>
      </c>
      <c r="N150" t="s">
        <v>1368</v>
      </c>
      <c r="O150" t="s">
        <v>1157</v>
      </c>
      <c r="Q150" t="s">
        <v>1369</v>
      </c>
    </row>
    <row r="151" spans="2:17">
      <c r="B151" t="s">
        <v>1370</v>
      </c>
      <c r="C151" t="s">
        <v>1170</v>
      </c>
      <c r="D151">
        <v>1.5859901955514401E-5</v>
      </c>
      <c r="E151" t="s">
        <v>626</v>
      </c>
      <c r="H151" t="s">
        <v>588</v>
      </c>
      <c r="I151">
        <v>1.5859901955514401E-5</v>
      </c>
      <c r="J151">
        <v>1.0247973619913604</v>
      </c>
      <c r="N151" t="s">
        <v>1371</v>
      </c>
      <c r="O151" t="s">
        <v>1150</v>
      </c>
      <c r="Q151" t="s">
        <v>1151</v>
      </c>
    </row>
    <row r="152" spans="2:17">
      <c r="B152" t="s">
        <v>1372</v>
      </c>
      <c r="C152" t="s">
        <v>1170</v>
      </c>
      <c r="D152">
        <v>1.8946318889275101E-5</v>
      </c>
      <c r="E152" t="s">
        <v>626</v>
      </c>
      <c r="H152" t="s">
        <v>588</v>
      </c>
      <c r="I152">
        <v>1.8946318889275101E-5</v>
      </c>
      <c r="J152">
        <v>1.0247973619913604</v>
      </c>
      <c r="N152" t="s">
        <v>1373</v>
      </c>
      <c r="O152" t="s">
        <v>1150</v>
      </c>
      <c r="Q152" t="s">
        <v>1151</v>
      </c>
    </row>
    <row r="153" spans="2:17">
      <c r="B153" t="s">
        <v>1374</v>
      </c>
      <c r="C153" t="s">
        <v>1170</v>
      </c>
      <c r="D153">
        <v>2.15671194592609E-6</v>
      </c>
      <c r="E153" t="s">
        <v>94</v>
      </c>
      <c r="H153" t="s">
        <v>588</v>
      </c>
      <c r="I153">
        <v>2.15671194592609E-6</v>
      </c>
      <c r="J153">
        <v>1.0247973619913604</v>
      </c>
      <c r="N153" t="s">
        <v>1375</v>
      </c>
      <c r="O153" t="s">
        <v>1135</v>
      </c>
      <c r="Q153" t="s">
        <v>1136</v>
      </c>
    </row>
    <row r="154" spans="2:17">
      <c r="B154" t="s">
        <v>1376</v>
      </c>
      <c r="C154" t="s">
        <v>1170</v>
      </c>
      <c r="D154">
        <v>1.3101623185467499E-4</v>
      </c>
      <c r="E154" t="s">
        <v>94</v>
      </c>
      <c r="H154" t="s">
        <v>588</v>
      </c>
      <c r="I154">
        <v>1.3101623185467499E-4</v>
      </c>
      <c r="J154">
        <v>1.0247973619913604</v>
      </c>
      <c r="N154" t="s">
        <v>1377</v>
      </c>
      <c r="O154" t="s">
        <v>1150</v>
      </c>
      <c r="Q154" t="s">
        <v>1151</v>
      </c>
    </row>
    <row r="155" spans="2:17">
      <c r="B155" t="s">
        <v>1378</v>
      </c>
      <c r="C155" t="s">
        <v>1170</v>
      </c>
      <c r="D155">
        <v>7.5079753381659304E-6</v>
      </c>
      <c r="E155" t="s">
        <v>94</v>
      </c>
      <c r="H155" t="s">
        <v>588</v>
      </c>
      <c r="I155">
        <v>7.5079753381659304E-6</v>
      </c>
      <c r="J155">
        <v>1.0247973619913604</v>
      </c>
      <c r="N155" t="s">
        <v>1379</v>
      </c>
      <c r="O155" t="s">
        <v>1173</v>
      </c>
      <c r="Q155" t="s">
        <v>1154</v>
      </c>
    </row>
    <row r="156" spans="2:17">
      <c r="B156" t="s">
        <v>1380</v>
      </c>
      <c r="C156" t="s">
        <v>592</v>
      </c>
      <c r="D156">
        <v>1.05824932469628E-5</v>
      </c>
      <c r="E156" t="s">
        <v>607</v>
      </c>
      <c r="H156" t="s">
        <v>588</v>
      </c>
      <c r="I156">
        <v>1.05824932469628E-5</v>
      </c>
      <c r="J156">
        <v>1</v>
      </c>
      <c r="N156" t="s">
        <v>1381</v>
      </c>
      <c r="O156" t="s">
        <v>1157</v>
      </c>
      <c r="Q156" t="s">
        <v>1382</v>
      </c>
    </row>
    <row r="157" spans="2:17">
      <c r="B157" t="s">
        <v>1383</v>
      </c>
      <c r="C157" t="s">
        <v>673</v>
      </c>
      <c r="D157">
        <v>3.48302336097415E-5</v>
      </c>
      <c r="E157" t="s">
        <v>94</v>
      </c>
      <c r="H157" t="s">
        <v>588</v>
      </c>
      <c r="I157">
        <v>3.48302336097415E-5</v>
      </c>
      <c r="J157">
        <v>1.0247973619913604</v>
      </c>
      <c r="N157" t="s">
        <v>1384</v>
      </c>
      <c r="O157" t="s">
        <v>1140</v>
      </c>
      <c r="Q157" t="s">
        <v>1385</v>
      </c>
    </row>
    <row r="158" spans="2:17">
      <c r="B158" t="s">
        <v>1386</v>
      </c>
      <c r="C158" t="s">
        <v>673</v>
      </c>
      <c r="D158">
        <v>2.2600462922533399E-5</v>
      </c>
      <c r="E158" t="s">
        <v>94</v>
      </c>
      <c r="H158" t="s">
        <v>588</v>
      </c>
      <c r="I158">
        <v>2.2600462922533399E-5</v>
      </c>
      <c r="J158">
        <v>1.0247973619913604</v>
      </c>
      <c r="N158" t="s">
        <v>1387</v>
      </c>
      <c r="O158" t="s">
        <v>1157</v>
      </c>
      <c r="Q158" t="s">
        <v>1388</v>
      </c>
    </row>
    <row r="159" spans="2:17">
      <c r="B159" t="s">
        <v>860</v>
      </c>
      <c r="C159" t="s">
        <v>650</v>
      </c>
      <c r="D159">
        <v>4.0898145404046002E-3</v>
      </c>
      <c r="E159" t="s">
        <v>94</v>
      </c>
      <c r="H159" t="s">
        <v>588</v>
      </c>
      <c r="I159">
        <v>4.0898145404046002E-3</v>
      </c>
      <c r="J159">
        <v>1.0247973619913604</v>
      </c>
      <c r="N159" t="s">
        <v>861</v>
      </c>
      <c r="O159" t="s">
        <v>1157</v>
      </c>
      <c r="Q159" t="s">
        <v>1389</v>
      </c>
    </row>
    <row r="160" spans="2:17">
      <c r="B160" t="s">
        <v>1078</v>
      </c>
      <c r="C160" t="s">
        <v>821</v>
      </c>
      <c r="D160">
        <v>1.50852500738264E-3</v>
      </c>
      <c r="E160" t="s">
        <v>94</v>
      </c>
      <c r="H160" t="s">
        <v>588</v>
      </c>
      <c r="I160">
        <v>1.50852500738264E-3</v>
      </c>
      <c r="J160">
        <v>1.151909910168909</v>
      </c>
      <c r="N160" t="s">
        <v>1079</v>
      </c>
      <c r="O160" t="s">
        <v>1263</v>
      </c>
      <c r="Q160" t="s">
        <v>595</v>
      </c>
    </row>
    <row r="161" spans="2:17">
      <c r="B161" t="s">
        <v>1390</v>
      </c>
      <c r="C161" t="s">
        <v>1170</v>
      </c>
      <c r="D161">
        <v>2.5201475627664002E-5</v>
      </c>
      <c r="E161" t="s">
        <v>94</v>
      </c>
      <c r="H161" t="s">
        <v>588</v>
      </c>
      <c r="I161">
        <v>2.5201475627664002E-5</v>
      </c>
      <c r="J161">
        <v>1.0247973619913604</v>
      </c>
      <c r="N161" t="s">
        <v>1391</v>
      </c>
      <c r="O161" t="s">
        <v>1150</v>
      </c>
      <c r="Q161" t="s">
        <v>1151</v>
      </c>
    </row>
    <row r="162" spans="2:17">
      <c r="B162" t="s">
        <v>1392</v>
      </c>
      <c r="C162" t="s">
        <v>1170</v>
      </c>
      <c r="D162">
        <v>3.68231971412064E-6</v>
      </c>
      <c r="E162" t="s">
        <v>94</v>
      </c>
      <c r="H162" t="s">
        <v>588</v>
      </c>
      <c r="I162">
        <v>3.68231971412064E-6</v>
      </c>
      <c r="J162">
        <v>1.0247973619913604</v>
      </c>
      <c r="N162" t="s">
        <v>1393</v>
      </c>
      <c r="O162" t="s">
        <v>1173</v>
      </c>
      <c r="Q162" t="s">
        <v>1154</v>
      </c>
    </row>
    <row r="163" spans="2:17">
      <c r="B163" t="s">
        <v>1394</v>
      </c>
      <c r="C163" t="s">
        <v>1170</v>
      </c>
      <c r="D163">
        <v>1.4103589075708801E-5</v>
      </c>
      <c r="E163" t="s">
        <v>94</v>
      </c>
      <c r="H163" t="s">
        <v>588</v>
      </c>
      <c r="I163">
        <v>1.4103589075708801E-5</v>
      </c>
      <c r="J163">
        <v>1.0247973619913604</v>
      </c>
      <c r="N163" t="s">
        <v>1395</v>
      </c>
      <c r="O163" t="s">
        <v>1173</v>
      </c>
      <c r="Q163" t="s">
        <v>1154</v>
      </c>
    </row>
    <row r="164" spans="2:17">
      <c r="B164" t="s">
        <v>1396</v>
      </c>
      <c r="C164" t="s">
        <v>1170</v>
      </c>
      <c r="D164">
        <v>1.4422509036264999E-6</v>
      </c>
      <c r="E164" t="s">
        <v>94</v>
      </c>
      <c r="H164" t="s">
        <v>588</v>
      </c>
      <c r="I164">
        <v>1.4422509036264999E-6</v>
      </c>
      <c r="J164">
        <v>1.0247973619913604</v>
      </c>
      <c r="N164" t="s">
        <v>1397</v>
      </c>
      <c r="O164" t="s">
        <v>1173</v>
      </c>
      <c r="Q164" t="s">
        <v>1154</v>
      </c>
    </row>
    <row r="165" spans="2:17">
      <c r="B165" t="s">
        <v>1398</v>
      </c>
      <c r="C165" t="s">
        <v>673</v>
      </c>
      <c r="D165">
        <v>5.9447909972002198E-5</v>
      </c>
      <c r="E165" t="s">
        <v>94</v>
      </c>
      <c r="H165" t="s">
        <v>588</v>
      </c>
      <c r="I165">
        <v>5.9447909972002198E-5</v>
      </c>
      <c r="J165">
        <v>1.0247973619913604</v>
      </c>
      <c r="N165" t="s">
        <v>1399</v>
      </c>
      <c r="O165" t="s">
        <v>1157</v>
      </c>
      <c r="Q165" t="s">
        <v>1400</v>
      </c>
    </row>
    <row r="166" spans="2:17">
      <c r="B166" t="s">
        <v>1401</v>
      </c>
      <c r="C166" t="s">
        <v>857</v>
      </c>
      <c r="D166">
        <v>9.6325048238024298E-13</v>
      </c>
      <c r="E166" t="s">
        <v>616</v>
      </c>
      <c r="H166" t="s">
        <v>588</v>
      </c>
      <c r="I166">
        <v>9.6325048238024298E-13</v>
      </c>
      <c r="J166">
        <v>1.7915751222543432</v>
      </c>
      <c r="N166" t="s">
        <v>1402</v>
      </c>
      <c r="O166" t="s">
        <v>1145</v>
      </c>
      <c r="Q166" t="s">
        <v>595</v>
      </c>
    </row>
    <row r="167" spans="2:17">
      <c r="B167" t="s">
        <v>1403</v>
      </c>
      <c r="C167" t="s">
        <v>1404</v>
      </c>
      <c r="D167">
        <v>2.36267660731806E-9</v>
      </c>
      <c r="E167" t="s">
        <v>616</v>
      </c>
      <c r="H167" t="s">
        <v>588</v>
      </c>
      <c r="I167">
        <v>2.36267660731806E-9</v>
      </c>
      <c r="J167">
        <v>1.7450381821146503</v>
      </c>
      <c r="N167" t="s">
        <v>1405</v>
      </c>
      <c r="O167" t="s">
        <v>952</v>
      </c>
      <c r="Q167" t="s">
        <v>1406</v>
      </c>
    </row>
    <row r="168" spans="2:17">
      <c r="B168" t="s">
        <v>1407</v>
      </c>
      <c r="C168" t="s">
        <v>1408</v>
      </c>
      <c r="D168">
        <v>1.3483087508103101E-5</v>
      </c>
      <c r="E168" t="s">
        <v>640</v>
      </c>
      <c r="H168" t="s">
        <v>588</v>
      </c>
      <c r="I168">
        <v>1.3483087508103101E-5</v>
      </c>
      <c r="J168">
        <v>1</v>
      </c>
      <c r="N168" t="s">
        <v>1409</v>
      </c>
      <c r="O168" t="s">
        <v>1157</v>
      </c>
      <c r="Q168" t="s">
        <v>1410</v>
      </c>
    </row>
    <row r="169" spans="2:17">
      <c r="B169" t="s">
        <v>1411</v>
      </c>
      <c r="C169" t="s">
        <v>667</v>
      </c>
      <c r="D169">
        <v>1.0552677687675199E-5</v>
      </c>
      <c r="E169" t="s">
        <v>94</v>
      </c>
      <c r="H169" t="s">
        <v>588</v>
      </c>
      <c r="I169">
        <v>1.0552677687675199E-5</v>
      </c>
      <c r="J169">
        <v>1</v>
      </c>
      <c r="N169" t="s">
        <v>1412</v>
      </c>
      <c r="O169" t="s">
        <v>1157</v>
      </c>
      <c r="Q169" t="s">
        <v>1413</v>
      </c>
    </row>
    <row r="170" spans="2:17">
      <c r="B170" t="s">
        <v>1414</v>
      </c>
      <c r="C170" t="s">
        <v>821</v>
      </c>
      <c r="D170">
        <v>6.8691394418776402E-3</v>
      </c>
      <c r="E170" t="s">
        <v>94</v>
      </c>
      <c r="H170" t="s">
        <v>588</v>
      </c>
      <c r="I170">
        <v>6.8691394418776402E-3</v>
      </c>
      <c r="J170">
        <v>1.2214027581601699</v>
      </c>
      <c r="N170" t="s">
        <v>1415</v>
      </c>
      <c r="O170" t="s">
        <v>1145</v>
      </c>
      <c r="Q170" t="s">
        <v>1146</v>
      </c>
    </row>
    <row r="171" spans="2:17">
      <c r="B171" t="s">
        <v>1416</v>
      </c>
      <c r="C171" t="s">
        <v>1417</v>
      </c>
      <c r="D171">
        <v>2.1695782029896799E-7</v>
      </c>
      <c r="E171" t="s">
        <v>626</v>
      </c>
      <c r="H171" t="s">
        <v>588</v>
      </c>
      <c r="I171">
        <v>2.1695782029896799E-7</v>
      </c>
      <c r="J171">
        <v>1.0247973619913604</v>
      </c>
      <c r="N171" t="s">
        <v>1418</v>
      </c>
      <c r="O171" t="s">
        <v>1150</v>
      </c>
      <c r="Q171" t="s">
        <v>1151</v>
      </c>
    </row>
    <row r="172" spans="2:17">
      <c r="B172" t="s">
        <v>1419</v>
      </c>
      <c r="C172" t="s">
        <v>667</v>
      </c>
      <c r="D172">
        <v>1.5641589635632201E-3</v>
      </c>
      <c r="E172" t="s">
        <v>94</v>
      </c>
      <c r="H172" t="s">
        <v>588</v>
      </c>
      <c r="I172">
        <v>1.5641589635632201E-3</v>
      </c>
      <c r="J172">
        <v>1.0247973619913604</v>
      </c>
      <c r="N172" t="s">
        <v>1420</v>
      </c>
      <c r="O172" t="s">
        <v>1150</v>
      </c>
      <c r="Q172" t="s">
        <v>1151</v>
      </c>
    </row>
    <row r="173" spans="2:17">
      <c r="B173" t="s">
        <v>1421</v>
      </c>
      <c r="C173" t="s">
        <v>821</v>
      </c>
      <c r="D173">
        <v>8.6544936514566396E-3</v>
      </c>
      <c r="E173" t="s">
        <v>94</v>
      </c>
      <c r="H173" t="s">
        <v>588</v>
      </c>
      <c r="I173">
        <v>8.6544936514566396E-3</v>
      </c>
      <c r="J173">
        <v>1.0247973619913604</v>
      </c>
      <c r="N173" t="s">
        <v>1422</v>
      </c>
      <c r="O173" t="s">
        <v>798</v>
      </c>
      <c r="Q173" t="s">
        <v>595</v>
      </c>
    </row>
    <row r="174" spans="2:17">
      <c r="B174" t="s">
        <v>1423</v>
      </c>
      <c r="C174" t="s">
        <v>821</v>
      </c>
      <c r="D174">
        <v>1.4415797409271401E-3</v>
      </c>
      <c r="E174" t="s">
        <v>94</v>
      </c>
      <c r="H174" t="s">
        <v>588</v>
      </c>
      <c r="I174">
        <v>1.4415797409271401E-3</v>
      </c>
      <c r="J174">
        <v>1.0247973619913604</v>
      </c>
      <c r="N174" t="s">
        <v>1424</v>
      </c>
      <c r="O174" t="s">
        <v>1150</v>
      </c>
      <c r="Q174" t="s">
        <v>1151</v>
      </c>
    </row>
    <row r="175" spans="2:17">
      <c r="B175" t="s">
        <v>1425</v>
      </c>
      <c r="C175" t="s">
        <v>676</v>
      </c>
      <c r="D175">
        <v>4.8418855003892402E-3</v>
      </c>
      <c r="E175" t="s">
        <v>94</v>
      </c>
      <c r="H175" t="s">
        <v>588</v>
      </c>
      <c r="I175">
        <v>4.8418855003892402E-3</v>
      </c>
      <c r="J175">
        <v>1.0247973619913604</v>
      </c>
      <c r="N175" t="s">
        <v>1426</v>
      </c>
      <c r="O175" t="s">
        <v>1140</v>
      </c>
      <c r="Q175" t="s">
        <v>1427</v>
      </c>
    </row>
    <row r="176" spans="2:17">
      <c r="B176" t="s">
        <v>1428</v>
      </c>
      <c r="C176" t="s">
        <v>670</v>
      </c>
      <c r="D176">
        <v>1.2216633390794301E-4</v>
      </c>
      <c r="E176" t="s">
        <v>94</v>
      </c>
      <c r="H176" t="s">
        <v>588</v>
      </c>
      <c r="I176">
        <v>1.2216633390794301E-4</v>
      </c>
      <c r="J176">
        <v>1.0247973619913604</v>
      </c>
      <c r="N176" t="s">
        <v>1429</v>
      </c>
      <c r="O176" t="s">
        <v>1140</v>
      </c>
      <c r="Q176" t="s">
        <v>1430</v>
      </c>
    </row>
    <row r="177" spans="2:17">
      <c r="B177" t="s">
        <v>1431</v>
      </c>
      <c r="C177" t="s">
        <v>673</v>
      </c>
      <c r="D177">
        <v>4.9383028111702203E-4</v>
      </c>
      <c r="E177" t="s">
        <v>94</v>
      </c>
      <c r="H177" t="s">
        <v>588</v>
      </c>
      <c r="I177">
        <v>4.9383028111702203E-4</v>
      </c>
      <c r="J177">
        <v>1.0247973619913604</v>
      </c>
      <c r="N177" t="s">
        <v>1432</v>
      </c>
      <c r="O177" t="s">
        <v>1173</v>
      </c>
      <c r="Q177" t="s">
        <v>1154</v>
      </c>
    </row>
    <row r="178" spans="2:17">
      <c r="B178" t="s">
        <v>700</v>
      </c>
      <c r="C178" t="s">
        <v>701</v>
      </c>
      <c r="D178">
        <v>1.5869780413040201E-4</v>
      </c>
      <c r="E178" t="s">
        <v>94</v>
      </c>
      <c r="H178" t="s">
        <v>588</v>
      </c>
      <c r="I178">
        <v>1.5869780413040201E-4</v>
      </c>
      <c r="J178">
        <v>1.0247973619913604</v>
      </c>
      <c r="N178" t="s">
        <v>702</v>
      </c>
      <c r="O178" t="s">
        <v>1150</v>
      </c>
      <c r="Q178" t="s">
        <v>1151</v>
      </c>
    </row>
    <row r="179" spans="2:17">
      <c r="B179" t="s">
        <v>700</v>
      </c>
      <c r="C179" t="s">
        <v>701</v>
      </c>
      <c r="D179">
        <v>3.22986992353882E-4</v>
      </c>
      <c r="E179" t="s">
        <v>94</v>
      </c>
      <c r="H179" t="s">
        <v>588</v>
      </c>
      <c r="I179">
        <v>3.22986992353882E-4</v>
      </c>
      <c r="J179">
        <v>1.0247973619913604</v>
      </c>
      <c r="N179" t="s">
        <v>702</v>
      </c>
      <c r="O179" t="s">
        <v>1150</v>
      </c>
      <c r="Q179" t="s">
        <v>1151</v>
      </c>
    </row>
    <row r="180" spans="2:17">
      <c r="B180" t="s">
        <v>1433</v>
      </c>
      <c r="C180" t="s">
        <v>667</v>
      </c>
      <c r="D180">
        <v>1.0022436057569599E-6</v>
      </c>
      <c r="E180" t="s">
        <v>94</v>
      </c>
      <c r="H180" t="s">
        <v>588</v>
      </c>
      <c r="I180">
        <v>1.0022436057569599E-6</v>
      </c>
      <c r="J180">
        <v>1.0247973619913604</v>
      </c>
      <c r="N180" t="s">
        <v>1434</v>
      </c>
      <c r="O180" t="s">
        <v>1435</v>
      </c>
      <c r="Q180" t="s">
        <v>1436</v>
      </c>
    </row>
    <row r="181" spans="2:17">
      <c r="B181" t="s">
        <v>1437</v>
      </c>
      <c r="C181" t="s">
        <v>708</v>
      </c>
      <c r="D181">
        <v>8.9767603732766204E-4</v>
      </c>
      <c r="E181" t="s">
        <v>94</v>
      </c>
      <c r="H181" t="s">
        <v>588</v>
      </c>
      <c r="I181">
        <v>8.9767603732766204E-4</v>
      </c>
      <c r="J181">
        <v>1</v>
      </c>
      <c r="N181" t="s">
        <v>1438</v>
      </c>
      <c r="O181" t="s">
        <v>1157</v>
      </c>
      <c r="Q181" t="s">
        <v>595</v>
      </c>
    </row>
    <row r="182" spans="2:17">
      <c r="B182" t="s">
        <v>1439</v>
      </c>
      <c r="C182" t="s">
        <v>673</v>
      </c>
      <c r="D182">
        <v>3.40658516128494E-3</v>
      </c>
      <c r="E182" t="s">
        <v>94</v>
      </c>
      <c r="H182" t="s">
        <v>588</v>
      </c>
      <c r="I182">
        <v>3.40658516128494E-3</v>
      </c>
      <c r="J182">
        <v>1.0247973619913604</v>
      </c>
      <c r="N182" t="s">
        <v>1440</v>
      </c>
      <c r="O182" t="s">
        <v>1157</v>
      </c>
      <c r="Q182" t="s">
        <v>1441</v>
      </c>
    </row>
    <row r="183" spans="2:17">
      <c r="B183" t="s">
        <v>1442</v>
      </c>
      <c r="C183" t="s">
        <v>673</v>
      </c>
      <c r="D183">
        <v>8.9358753401401196E-5</v>
      </c>
      <c r="E183" t="s">
        <v>94</v>
      </c>
      <c r="H183" t="s">
        <v>588</v>
      </c>
      <c r="I183">
        <v>8.9358753401401196E-5</v>
      </c>
      <c r="J183">
        <v>1.0247973619913604</v>
      </c>
      <c r="N183" t="s">
        <v>1443</v>
      </c>
      <c r="O183" t="s">
        <v>1157</v>
      </c>
      <c r="Q183" t="s">
        <v>1166</v>
      </c>
    </row>
    <row r="184" spans="2:17">
      <c r="B184" t="s">
        <v>703</v>
      </c>
      <c r="C184" t="s">
        <v>673</v>
      </c>
      <c r="D184">
        <v>2.2530697276867701E-4</v>
      </c>
      <c r="E184" t="s">
        <v>94</v>
      </c>
      <c r="H184" t="s">
        <v>588</v>
      </c>
      <c r="I184">
        <v>2.2530697276867701E-4</v>
      </c>
      <c r="J184">
        <v>1.0247973619913604</v>
      </c>
      <c r="N184" t="s">
        <v>704</v>
      </c>
      <c r="O184" t="s">
        <v>921</v>
      </c>
      <c r="Q184" t="s">
        <v>1444</v>
      </c>
    </row>
    <row r="185" spans="2:17">
      <c r="B185" t="s">
        <v>703</v>
      </c>
      <c r="C185" t="s">
        <v>673</v>
      </c>
      <c r="D185">
        <v>4.9329856571298803E-5</v>
      </c>
      <c r="E185" t="s">
        <v>94</v>
      </c>
      <c r="H185" t="s">
        <v>588</v>
      </c>
      <c r="I185">
        <v>4.9329856571298803E-5</v>
      </c>
      <c r="J185">
        <v>1</v>
      </c>
      <c r="N185" t="s">
        <v>917</v>
      </c>
      <c r="O185" t="s">
        <v>1157</v>
      </c>
      <c r="Q185" t="s">
        <v>1445</v>
      </c>
    </row>
    <row r="186" spans="2:17">
      <c r="B186" t="s">
        <v>1446</v>
      </c>
      <c r="C186" t="s">
        <v>673</v>
      </c>
      <c r="D186">
        <v>1.3932095873037699E-6</v>
      </c>
      <c r="E186" t="s">
        <v>94</v>
      </c>
      <c r="H186" t="s">
        <v>588</v>
      </c>
      <c r="I186">
        <v>1.3932095873037699E-6</v>
      </c>
      <c r="J186">
        <v>1.0247973619913604</v>
      </c>
      <c r="N186" t="s">
        <v>1447</v>
      </c>
      <c r="O186" t="s">
        <v>1140</v>
      </c>
      <c r="Q186" t="s">
        <v>1448</v>
      </c>
    </row>
    <row r="187" spans="2:17">
      <c r="B187" t="s">
        <v>1449</v>
      </c>
      <c r="C187" t="s">
        <v>673</v>
      </c>
      <c r="D187">
        <v>2.19064548610968E-6</v>
      </c>
      <c r="E187" t="s">
        <v>94</v>
      </c>
      <c r="H187" t="s">
        <v>588</v>
      </c>
      <c r="I187">
        <v>2.19064548610968E-6</v>
      </c>
      <c r="J187">
        <v>1</v>
      </c>
      <c r="N187" t="s">
        <v>1450</v>
      </c>
      <c r="O187" t="s">
        <v>1157</v>
      </c>
      <c r="Q187" t="s">
        <v>1451</v>
      </c>
    </row>
    <row r="188" spans="2:17">
      <c r="B188" t="s">
        <v>1452</v>
      </c>
      <c r="C188" t="s">
        <v>673</v>
      </c>
      <c r="D188">
        <v>4.8640225673189102E-5</v>
      </c>
      <c r="E188" t="s">
        <v>94</v>
      </c>
      <c r="H188" t="s">
        <v>588</v>
      </c>
      <c r="I188">
        <v>4.8640225673189102E-5</v>
      </c>
      <c r="J188">
        <v>1.0247973619913604</v>
      </c>
      <c r="N188" t="s">
        <v>1453</v>
      </c>
      <c r="O188" t="s">
        <v>1435</v>
      </c>
      <c r="Q188" t="s">
        <v>1454</v>
      </c>
    </row>
    <row r="189" spans="2:17">
      <c r="B189" t="s">
        <v>1455</v>
      </c>
      <c r="C189" t="s">
        <v>673</v>
      </c>
      <c r="D189">
        <v>3.1171253861617197E-5</v>
      </c>
      <c r="E189" t="s">
        <v>94</v>
      </c>
      <c r="H189" t="s">
        <v>588</v>
      </c>
      <c r="I189">
        <v>3.1171253861617197E-5</v>
      </c>
      <c r="J189">
        <v>1.0247973619913604</v>
      </c>
      <c r="N189" t="s">
        <v>1456</v>
      </c>
      <c r="O189" t="s">
        <v>1157</v>
      </c>
      <c r="Q189" t="s">
        <v>1166</v>
      </c>
    </row>
    <row r="190" spans="2:17">
      <c r="B190" t="s">
        <v>1457</v>
      </c>
      <c r="C190" t="s">
        <v>821</v>
      </c>
      <c r="D190">
        <v>8.7633800160985698E-3</v>
      </c>
      <c r="E190" t="s">
        <v>94</v>
      </c>
      <c r="H190" t="s">
        <v>588</v>
      </c>
      <c r="I190">
        <v>8.7633800160985698E-3</v>
      </c>
      <c r="J190">
        <v>1.0247973619913604</v>
      </c>
      <c r="N190" t="s">
        <v>1458</v>
      </c>
      <c r="O190" t="s">
        <v>1150</v>
      </c>
      <c r="Q190" t="s">
        <v>1151</v>
      </c>
    </row>
    <row r="191" spans="2:17">
      <c r="B191" t="s">
        <v>1459</v>
      </c>
      <c r="C191" t="s">
        <v>821</v>
      </c>
      <c r="D191">
        <v>1.7928922708852499E-6</v>
      </c>
      <c r="E191" t="s">
        <v>94</v>
      </c>
      <c r="H191" t="s">
        <v>588</v>
      </c>
      <c r="I191">
        <v>1.7928922708852499E-6</v>
      </c>
      <c r="J191">
        <v>1.0247973619913604</v>
      </c>
      <c r="N191" t="s">
        <v>1460</v>
      </c>
      <c r="O191" t="s">
        <v>1435</v>
      </c>
      <c r="Q191" t="s">
        <v>1461</v>
      </c>
    </row>
    <row r="192" spans="2:17">
      <c r="B192" t="s">
        <v>1462</v>
      </c>
      <c r="C192" t="s">
        <v>821</v>
      </c>
      <c r="D192">
        <v>4.1992802559432498E-3</v>
      </c>
      <c r="E192" t="s">
        <v>94</v>
      </c>
      <c r="H192" t="s">
        <v>588</v>
      </c>
      <c r="I192">
        <v>4.1992802559432498E-3</v>
      </c>
      <c r="J192">
        <v>1</v>
      </c>
      <c r="N192" t="s">
        <v>1463</v>
      </c>
      <c r="O192" t="s">
        <v>1157</v>
      </c>
      <c r="Q192" t="s">
        <v>1464</v>
      </c>
    </row>
    <row r="193" spans="2:17">
      <c r="B193" t="s">
        <v>1465</v>
      </c>
      <c r="C193" t="s">
        <v>821</v>
      </c>
      <c r="D193">
        <v>9.5407735177864703E-2</v>
      </c>
      <c r="E193" t="s">
        <v>94</v>
      </c>
      <c r="H193" t="s">
        <v>588</v>
      </c>
      <c r="I193">
        <v>9.5407735177864703E-2</v>
      </c>
      <c r="J193">
        <v>1</v>
      </c>
      <c r="N193" t="s">
        <v>1466</v>
      </c>
      <c r="O193" t="s">
        <v>1157</v>
      </c>
      <c r="Q193" t="s">
        <v>1467</v>
      </c>
    </row>
    <row r="194" spans="2:17">
      <c r="B194" t="s">
        <v>1468</v>
      </c>
      <c r="C194" t="s">
        <v>673</v>
      </c>
      <c r="D194">
        <v>9.9876661146118705E-5</v>
      </c>
      <c r="E194" t="s">
        <v>94</v>
      </c>
      <c r="H194" t="s">
        <v>588</v>
      </c>
      <c r="I194">
        <v>9.9876661146118705E-5</v>
      </c>
      <c r="J194">
        <v>1.0247973619913604</v>
      </c>
      <c r="N194" t="s">
        <v>1469</v>
      </c>
      <c r="O194" t="s">
        <v>1157</v>
      </c>
      <c r="Q194" t="s">
        <v>1166</v>
      </c>
    </row>
    <row r="195" spans="2:17">
      <c r="B195" t="s">
        <v>865</v>
      </c>
      <c r="C195" t="s">
        <v>809</v>
      </c>
      <c r="D195">
        <v>7.4428270299697996E-7</v>
      </c>
      <c r="E195" t="s">
        <v>94</v>
      </c>
      <c r="H195" t="s">
        <v>588</v>
      </c>
      <c r="I195">
        <v>7.4428270299697996E-7</v>
      </c>
      <c r="J195">
        <v>1.0247973619913604</v>
      </c>
      <c r="N195" t="s">
        <v>866</v>
      </c>
      <c r="O195" t="s">
        <v>1173</v>
      </c>
      <c r="Q195" t="s">
        <v>1233</v>
      </c>
    </row>
    <row r="196" spans="2:17">
      <c r="B196" t="s">
        <v>865</v>
      </c>
      <c r="C196" t="s">
        <v>809</v>
      </c>
      <c r="D196">
        <v>2.2102842725081802E-5</v>
      </c>
      <c r="E196" t="s">
        <v>94</v>
      </c>
      <c r="H196" t="s">
        <v>588</v>
      </c>
      <c r="I196">
        <v>2.2102842725081802E-5</v>
      </c>
      <c r="J196">
        <v>1.0247973619913604</v>
      </c>
      <c r="N196" t="s">
        <v>866</v>
      </c>
      <c r="O196" t="s">
        <v>921</v>
      </c>
      <c r="Q196" t="s">
        <v>595</v>
      </c>
    </row>
    <row r="197" spans="2:17">
      <c r="B197" t="s">
        <v>1470</v>
      </c>
      <c r="C197" t="s">
        <v>1170</v>
      </c>
      <c r="D197">
        <v>3.1897286997316998E-6</v>
      </c>
      <c r="E197" t="s">
        <v>94</v>
      </c>
      <c r="H197" t="s">
        <v>588</v>
      </c>
      <c r="I197">
        <v>3.1897286997316998E-6</v>
      </c>
      <c r="J197">
        <v>1.0247973619913604</v>
      </c>
      <c r="N197" t="s">
        <v>1471</v>
      </c>
      <c r="O197" t="s">
        <v>1173</v>
      </c>
      <c r="Q197" t="s">
        <v>1154</v>
      </c>
    </row>
    <row r="198" spans="2:17">
      <c r="B198" t="s">
        <v>1472</v>
      </c>
      <c r="C198" t="s">
        <v>701</v>
      </c>
      <c r="D198">
        <v>1.38821771979666E-4</v>
      </c>
      <c r="E198" t="s">
        <v>94</v>
      </c>
      <c r="H198" t="s">
        <v>588</v>
      </c>
      <c r="I198">
        <v>1.38821771979666E-4</v>
      </c>
      <c r="J198">
        <v>1.0247973619913604</v>
      </c>
      <c r="N198" t="s">
        <v>1473</v>
      </c>
      <c r="O198" t="s">
        <v>1173</v>
      </c>
      <c r="Q198" t="s">
        <v>1154</v>
      </c>
    </row>
    <row r="199" spans="2:17">
      <c r="B199" t="s">
        <v>868</v>
      </c>
      <c r="C199" t="s">
        <v>813</v>
      </c>
      <c r="D199">
        <v>1.0658062429324801E-2</v>
      </c>
      <c r="E199" t="s">
        <v>94</v>
      </c>
      <c r="H199" t="s">
        <v>588</v>
      </c>
      <c r="I199">
        <v>1.0658062429324801E-2</v>
      </c>
      <c r="J199">
        <v>1.2214027581601699</v>
      </c>
      <c r="N199" t="s">
        <v>1474</v>
      </c>
      <c r="O199" t="s">
        <v>1145</v>
      </c>
      <c r="Q199" t="s">
        <v>1146</v>
      </c>
    </row>
    <row r="200" spans="2:17">
      <c r="B200" t="s">
        <v>868</v>
      </c>
      <c r="C200" t="s">
        <v>813</v>
      </c>
      <c r="D200">
        <v>1.90783232716155</v>
      </c>
      <c r="E200" t="s">
        <v>94</v>
      </c>
      <c r="H200" t="s">
        <v>588</v>
      </c>
      <c r="I200">
        <v>1.90783232716155</v>
      </c>
      <c r="J200">
        <v>1.0247973619913604</v>
      </c>
      <c r="N200" t="s">
        <v>869</v>
      </c>
      <c r="O200" t="s">
        <v>1157</v>
      </c>
      <c r="Q200" t="s">
        <v>1475</v>
      </c>
    </row>
    <row r="201" spans="2:17">
      <c r="B201" t="s">
        <v>1476</v>
      </c>
      <c r="C201" t="s">
        <v>1243</v>
      </c>
      <c r="D201">
        <v>3.4047973205507801E-5</v>
      </c>
      <c r="E201" t="s">
        <v>94</v>
      </c>
      <c r="H201" t="s">
        <v>588</v>
      </c>
      <c r="I201">
        <v>3.4047973205507801E-5</v>
      </c>
      <c r="J201">
        <v>1.0247973619913604</v>
      </c>
      <c r="N201" t="s">
        <v>1477</v>
      </c>
      <c r="O201" t="s">
        <v>1135</v>
      </c>
      <c r="Q201" t="s">
        <v>1136</v>
      </c>
    </row>
    <row r="202" spans="2:17">
      <c r="B202" t="s">
        <v>1478</v>
      </c>
      <c r="C202" t="s">
        <v>673</v>
      </c>
      <c r="D202">
        <v>3.0863240867984301E-3</v>
      </c>
      <c r="E202" t="s">
        <v>94</v>
      </c>
      <c r="H202" t="s">
        <v>588</v>
      </c>
      <c r="I202">
        <v>3.0863240867984301E-3</v>
      </c>
      <c r="J202">
        <v>1.0247973619913604</v>
      </c>
      <c r="N202" t="s">
        <v>1479</v>
      </c>
      <c r="O202" t="s">
        <v>1140</v>
      </c>
      <c r="Q202" t="s">
        <v>1480</v>
      </c>
    </row>
    <row r="203" spans="2:17">
      <c r="B203" t="s">
        <v>1481</v>
      </c>
      <c r="C203" t="s">
        <v>1482</v>
      </c>
      <c r="D203">
        <v>5.5348775175019002E-5</v>
      </c>
      <c r="E203" t="s">
        <v>94</v>
      </c>
      <c r="H203" t="s">
        <v>588</v>
      </c>
      <c r="I203">
        <v>5.5348775175019002E-5</v>
      </c>
      <c r="J203">
        <v>1.0247973619913604</v>
      </c>
      <c r="N203" t="s">
        <v>1483</v>
      </c>
      <c r="O203" t="s">
        <v>1173</v>
      </c>
      <c r="Q203" t="s">
        <v>1154</v>
      </c>
    </row>
    <row r="204" spans="2:17">
      <c r="B204" t="s">
        <v>1484</v>
      </c>
      <c r="C204" t="s">
        <v>673</v>
      </c>
      <c r="D204">
        <v>1.00840187582023E-4</v>
      </c>
      <c r="E204" t="s">
        <v>94</v>
      </c>
      <c r="H204" t="s">
        <v>588</v>
      </c>
      <c r="I204">
        <v>1.00840187582023E-4</v>
      </c>
      <c r="J204">
        <v>1.0247973619913604</v>
      </c>
      <c r="N204" t="s">
        <v>1485</v>
      </c>
      <c r="O204" t="s">
        <v>1140</v>
      </c>
      <c r="Q204" t="s">
        <v>1486</v>
      </c>
    </row>
    <row r="205" spans="2:17">
      <c r="B205" t="s">
        <v>874</v>
      </c>
      <c r="C205" t="s">
        <v>621</v>
      </c>
      <c r="D205">
        <v>3.4639040374689599E-6</v>
      </c>
      <c r="E205" t="s">
        <v>626</v>
      </c>
      <c r="H205" t="s">
        <v>588</v>
      </c>
      <c r="I205">
        <v>3.4639040374689599E-6</v>
      </c>
      <c r="J205">
        <v>1</v>
      </c>
      <c r="O205" t="s">
        <v>1157</v>
      </c>
      <c r="Q205" t="s">
        <v>1323</v>
      </c>
    </row>
    <row r="206" spans="2:17">
      <c r="B206" t="s">
        <v>1487</v>
      </c>
      <c r="C206" t="s">
        <v>621</v>
      </c>
      <c r="D206">
        <v>3.4639040374689599E-6</v>
      </c>
      <c r="E206" t="s">
        <v>626</v>
      </c>
      <c r="H206" t="s">
        <v>588</v>
      </c>
      <c r="I206">
        <v>3.4639040374689599E-6</v>
      </c>
      <c r="J206">
        <v>1</v>
      </c>
      <c r="O206" t="s">
        <v>1157</v>
      </c>
      <c r="Q206" t="s">
        <v>1323</v>
      </c>
    </row>
    <row r="207" spans="2:17">
      <c r="B207" t="s">
        <v>1488</v>
      </c>
      <c r="C207" t="s">
        <v>1489</v>
      </c>
      <c r="D207">
        <v>1.00940781637079E-4</v>
      </c>
      <c r="E207" t="s">
        <v>94</v>
      </c>
      <c r="H207" t="s">
        <v>588</v>
      </c>
      <c r="I207">
        <v>1.00940781637079E-4</v>
      </c>
      <c r="J207">
        <v>1.0247973619913604</v>
      </c>
      <c r="N207" t="s">
        <v>1490</v>
      </c>
      <c r="O207" t="s">
        <v>1173</v>
      </c>
      <c r="Q207" t="s">
        <v>1154</v>
      </c>
    </row>
    <row r="208" spans="2:17">
      <c r="B208" t="s">
        <v>1491</v>
      </c>
      <c r="C208" t="s">
        <v>1489</v>
      </c>
      <c r="D208">
        <v>1.08639499103131E-5</v>
      </c>
      <c r="E208" t="s">
        <v>94</v>
      </c>
      <c r="H208" t="s">
        <v>588</v>
      </c>
      <c r="I208">
        <v>1.08639499103131E-5</v>
      </c>
      <c r="J208">
        <v>1.0247973619913604</v>
      </c>
      <c r="N208" t="s">
        <v>1492</v>
      </c>
      <c r="O208" t="s">
        <v>1173</v>
      </c>
      <c r="Q208" t="s">
        <v>1154</v>
      </c>
    </row>
    <row r="209" spans="1:17">
      <c r="B209" t="s">
        <v>1493</v>
      </c>
      <c r="C209" t="s">
        <v>1170</v>
      </c>
      <c r="D209">
        <v>3.2188159606870198E-5</v>
      </c>
      <c r="E209" t="s">
        <v>94</v>
      </c>
      <c r="H209" t="s">
        <v>588</v>
      </c>
      <c r="I209">
        <v>3.2188159606870198E-5</v>
      </c>
      <c r="J209">
        <v>1.0247973619913604</v>
      </c>
      <c r="N209" t="s">
        <v>1494</v>
      </c>
      <c r="O209" t="s">
        <v>1173</v>
      </c>
      <c r="Q209" t="s">
        <v>1154</v>
      </c>
    </row>
    <row r="210" spans="1:17">
      <c r="B210" t="s">
        <v>1495</v>
      </c>
      <c r="C210" t="s">
        <v>1170</v>
      </c>
      <c r="D210">
        <v>3.0023303411520402E-6</v>
      </c>
      <c r="E210" t="s">
        <v>94</v>
      </c>
      <c r="H210" t="s">
        <v>588</v>
      </c>
      <c r="I210">
        <v>3.0023303411520402E-6</v>
      </c>
      <c r="J210">
        <v>1.0247973619913604</v>
      </c>
      <c r="N210" t="s">
        <v>1496</v>
      </c>
      <c r="O210" t="s">
        <v>1173</v>
      </c>
      <c r="Q210" t="s">
        <v>1154</v>
      </c>
    </row>
    <row r="211" spans="1:17">
      <c r="B211" t="s">
        <v>1497</v>
      </c>
      <c r="C211" t="s">
        <v>1170</v>
      </c>
      <c r="D211">
        <v>2.5598582223163199E-6</v>
      </c>
      <c r="E211" t="s">
        <v>94</v>
      </c>
      <c r="H211" t="s">
        <v>588</v>
      </c>
      <c r="I211">
        <v>2.5598582223163199E-6</v>
      </c>
      <c r="J211">
        <v>1.0247973619913604</v>
      </c>
      <c r="N211" t="s">
        <v>1498</v>
      </c>
      <c r="O211" t="s">
        <v>1173</v>
      </c>
      <c r="Q211" t="s">
        <v>1154</v>
      </c>
    </row>
    <row r="212" spans="1:17">
      <c r="B212" t="s">
        <v>1499</v>
      </c>
      <c r="C212" t="s">
        <v>1170</v>
      </c>
      <c r="D212">
        <v>5.5839286514708704E-7</v>
      </c>
      <c r="E212" t="s">
        <v>94</v>
      </c>
      <c r="H212" t="s">
        <v>588</v>
      </c>
      <c r="I212">
        <v>5.5839286514708704E-7</v>
      </c>
      <c r="J212">
        <v>1.0247973619913604</v>
      </c>
      <c r="N212" t="s">
        <v>1500</v>
      </c>
      <c r="O212" t="s">
        <v>1173</v>
      </c>
      <c r="Q212" t="s">
        <v>1154</v>
      </c>
    </row>
    <row r="213" spans="1:17">
      <c r="B213" t="s">
        <v>1501</v>
      </c>
      <c r="C213" t="s">
        <v>1502</v>
      </c>
      <c r="D213">
        <v>8.2665539382035505E-5</v>
      </c>
      <c r="E213" t="s">
        <v>475</v>
      </c>
      <c r="H213" t="s">
        <v>588</v>
      </c>
      <c r="I213">
        <v>8.2665539382035505E-5</v>
      </c>
      <c r="J213">
        <v>1.4139824580805163</v>
      </c>
      <c r="N213" t="s">
        <v>1503</v>
      </c>
      <c r="O213" t="s">
        <v>851</v>
      </c>
      <c r="Q213" t="s">
        <v>1504</v>
      </c>
    </row>
    <row r="214" spans="1:17">
      <c r="B214" t="s">
        <v>1505</v>
      </c>
      <c r="C214" t="s">
        <v>809</v>
      </c>
      <c r="D214">
        <v>3.6333013412034401E-6</v>
      </c>
      <c r="E214" t="s">
        <v>94</v>
      </c>
      <c r="H214" t="s">
        <v>588</v>
      </c>
      <c r="I214">
        <v>3.6333013412034401E-6</v>
      </c>
      <c r="J214">
        <v>1</v>
      </c>
      <c r="N214" t="s">
        <v>1506</v>
      </c>
      <c r="O214" t="s">
        <v>1157</v>
      </c>
      <c r="Q214" t="s">
        <v>1507</v>
      </c>
    </row>
    <row r="215" spans="1:17">
      <c r="B215" t="s">
        <v>1508</v>
      </c>
      <c r="C215" t="s">
        <v>813</v>
      </c>
      <c r="D215">
        <v>3.3036544839690402E-4</v>
      </c>
      <c r="E215" t="s">
        <v>94</v>
      </c>
      <c r="H215" t="s">
        <v>588</v>
      </c>
      <c r="I215">
        <v>3.3036544839690402E-4</v>
      </c>
      <c r="J215">
        <v>1</v>
      </c>
      <c r="N215" t="s">
        <v>1509</v>
      </c>
      <c r="O215" t="s">
        <v>1157</v>
      </c>
      <c r="Q215" t="s">
        <v>1510</v>
      </c>
    </row>
    <row r="216" spans="1:17">
      <c r="B216" t="s">
        <v>878</v>
      </c>
      <c r="C216" t="s">
        <v>639</v>
      </c>
      <c r="D216">
        <v>1.8541072082216802E-2</v>
      </c>
      <c r="E216" t="s">
        <v>640</v>
      </c>
      <c r="H216" t="s">
        <v>588</v>
      </c>
      <c r="I216">
        <v>1.8541072082216802E-2</v>
      </c>
      <c r="J216">
        <v>1.0247973619913604</v>
      </c>
      <c r="O216" t="s">
        <v>1157</v>
      </c>
      <c r="Q216" t="s">
        <v>1511</v>
      </c>
    </row>
    <row r="217" spans="1:17">
      <c r="B217" t="s">
        <v>1512</v>
      </c>
      <c r="C217" t="s">
        <v>664</v>
      </c>
      <c r="D217">
        <v>1.6768211934511099E-3</v>
      </c>
      <c r="E217" t="s">
        <v>94</v>
      </c>
      <c r="H217" t="s">
        <v>588</v>
      </c>
      <c r="I217">
        <v>1.6768211934511099E-3</v>
      </c>
      <c r="J217">
        <v>1.0247973619913604</v>
      </c>
      <c r="N217" t="s">
        <v>1513</v>
      </c>
      <c r="O217" t="s">
        <v>1140</v>
      </c>
      <c r="Q217" t="s">
        <v>1514</v>
      </c>
    </row>
    <row r="218" spans="1:17">
      <c r="B218" t="s">
        <v>1515</v>
      </c>
      <c r="C218" t="s">
        <v>667</v>
      </c>
      <c r="D218">
        <v>8.8549125138710403E-4</v>
      </c>
      <c r="E218" t="s">
        <v>94</v>
      </c>
      <c r="H218" t="s">
        <v>588</v>
      </c>
      <c r="I218">
        <v>8.8549125138710403E-4</v>
      </c>
      <c r="J218">
        <v>1.0247973619913604</v>
      </c>
      <c r="N218" t="s">
        <v>1516</v>
      </c>
      <c r="O218" t="s">
        <v>1150</v>
      </c>
      <c r="Q218" t="s">
        <v>1151</v>
      </c>
    </row>
    <row r="219" spans="1:17">
      <c r="B219" t="s">
        <v>1517</v>
      </c>
      <c r="C219" t="s">
        <v>569</v>
      </c>
      <c r="D219">
        <v>6.3383943828625297E-6</v>
      </c>
      <c r="E219" t="s">
        <v>94</v>
      </c>
      <c r="H219" t="s">
        <v>588</v>
      </c>
      <c r="I219">
        <v>6.3383943828625297E-6</v>
      </c>
      <c r="J219">
        <v>1.0247973619913604</v>
      </c>
      <c r="N219" t="s">
        <v>1518</v>
      </c>
      <c r="O219" t="s">
        <v>855</v>
      </c>
      <c r="Q219" t="s">
        <v>595</v>
      </c>
    </row>
    <row r="220" spans="1:17">
      <c r="B220" t="s">
        <v>1519</v>
      </c>
      <c r="C220" t="s">
        <v>1417</v>
      </c>
      <c r="D220">
        <v>1.2276425988523401E-6</v>
      </c>
      <c r="E220" t="s">
        <v>626</v>
      </c>
      <c r="H220" t="s">
        <v>588</v>
      </c>
      <c r="I220">
        <v>1.2276425988523401E-6</v>
      </c>
      <c r="J220">
        <v>1.0247973619913604</v>
      </c>
      <c r="N220" t="s">
        <v>1520</v>
      </c>
      <c r="O220" t="s">
        <v>1150</v>
      </c>
      <c r="Q220" t="s">
        <v>1151</v>
      </c>
    </row>
    <row r="221" spans="1:17">
      <c r="B221" t="s">
        <v>1521</v>
      </c>
      <c r="C221" t="s">
        <v>569</v>
      </c>
      <c r="D221">
        <v>0.17332816564435199</v>
      </c>
      <c r="E221" t="s">
        <v>94</v>
      </c>
      <c r="H221" t="s">
        <v>588</v>
      </c>
      <c r="I221">
        <v>0.17332816564435199</v>
      </c>
      <c r="J221">
        <v>1.0805386501323246</v>
      </c>
      <c r="N221" t="s">
        <v>1522</v>
      </c>
      <c r="O221" t="s">
        <v>1157</v>
      </c>
      <c r="Q221" t="s">
        <v>811</v>
      </c>
    </row>
    <row r="222" spans="1:17">
      <c r="B222" t="s">
        <v>1523</v>
      </c>
      <c r="C222" t="s">
        <v>569</v>
      </c>
      <c r="D222">
        <v>1.0415915677321501E-3</v>
      </c>
      <c r="E222" t="s">
        <v>94</v>
      </c>
      <c r="H222" t="s">
        <v>588</v>
      </c>
      <c r="I222">
        <v>1.0415915677321501E-3</v>
      </c>
      <c r="J222">
        <v>1.0247973619913604</v>
      </c>
      <c r="N222" t="s">
        <v>1524</v>
      </c>
      <c r="O222" t="s">
        <v>1140</v>
      </c>
      <c r="Q222" t="s">
        <v>1525</v>
      </c>
    </row>
    <row r="224" spans="1:17">
      <c r="A224" t="s">
        <v>710</v>
      </c>
    </row>
    <row r="225" spans="1:17">
      <c r="A225" s="421" t="s">
        <v>570</v>
      </c>
      <c r="B225" s="421" t="s">
        <v>571</v>
      </c>
      <c r="C225" s="421" t="s">
        <v>568</v>
      </c>
      <c r="D225" s="421" t="s">
        <v>572</v>
      </c>
      <c r="E225" s="421" t="s">
        <v>573</v>
      </c>
      <c r="F225" s="421" t="s">
        <v>574</v>
      </c>
      <c r="G225" s="421" t="s">
        <v>575</v>
      </c>
      <c r="H225" s="421" t="s">
        <v>576</v>
      </c>
      <c r="I225" s="421" t="s">
        <v>577</v>
      </c>
      <c r="J225" s="421" t="s">
        <v>578</v>
      </c>
      <c r="K225" s="421" t="s">
        <v>579</v>
      </c>
      <c r="L225" s="421" t="s">
        <v>580</v>
      </c>
      <c r="M225" s="421" t="s">
        <v>581</v>
      </c>
      <c r="N225" s="421" t="s">
        <v>582</v>
      </c>
      <c r="O225" s="421" t="s">
        <v>583</v>
      </c>
      <c r="P225" s="421" t="s">
        <v>584</v>
      </c>
      <c r="Q225" s="421" t="s">
        <v>585</v>
      </c>
    </row>
    <row r="226" spans="1:17">
      <c r="B226" t="s">
        <v>1526</v>
      </c>
      <c r="C226" t="s">
        <v>667</v>
      </c>
      <c r="D226">
        <v>9.3891607985060706E-5</v>
      </c>
      <c r="E226" t="s">
        <v>94</v>
      </c>
      <c r="H226" t="s">
        <v>588</v>
      </c>
      <c r="I226">
        <v>9.3891607985060706E-5</v>
      </c>
      <c r="J226">
        <v>1.0247973619913604</v>
      </c>
      <c r="N226" t="s">
        <v>1527</v>
      </c>
      <c r="O226" t="s">
        <v>1173</v>
      </c>
      <c r="Q226" t="s">
        <v>1528</v>
      </c>
    </row>
    <row r="227" spans="1:17">
      <c r="B227" t="s">
        <v>1526</v>
      </c>
      <c r="C227" t="s">
        <v>667</v>
      </c>
      <c r="D227">
        <v>3.1188046036565902E-3</v>
      </c>
      <c r="E227" t="s">
        <v>94</v>
      </c>
      <c r="H227" t="s">
        <v>588</v>
      </c>
      <c r="I227">
        <v>3.1188046036565902E-3</v>
      </c>
      <c r="J227">
        <v>1</v>
      </c>
      <c r="N227" t="s">
        <v>1527</v>
      </c>
      <c r="O227" t="s">
        <v>1157</v>
      </c>
      <c r="Q227" t="s">
        <v>1529</v>
      </c>
    </row>
    <row r="228" spans="1:17">
      <c r="A228" s="421" t="s">
        <v>645</v>
      </c>
      <c r="B228" s="421" t="s">
        <v>1109</v>
      </c>
      <c r="C228" s="421" t="s">
        <v>667</v>
      </c>
      <c r="D228" s="421">
        <v>1</v>
      </c>
      <c r="E228" s="421" t="s">
        <v>94</v>
      </c>
      <c r="M228" s="421"/>
      <c r="O228" s="421" t="s">
        <v>1098</v>
      </c>
      <c r="P228" s="421"/>
      <c r="Q228" s="421" t="s">
        <v>595</v>
      </c>
    </row>
    <row r="229" spans="1:17">
      <c r="B229" t="s">
        <v>716</v>
      </c>
      <c r="C229" t="s">
        <v>658</v>
      </c>
      <c r="D229">
        <v>7.8849538142423206E-9</v>
      </c>
      <c r="E229" t="s">
        <v>94</v>
      </c>
      <c r="H229" t="s">
        <v>588</v>
      </c>
      <c r="I229">
        <v>7.8849538142423206E-9</v>
      </c>
      <c r="J229">
        <v>2.2394398661220611</v>
      </c>
      <c r="O229" t="s">
        <v>1157</v>
      </c>
      <c r="Q229" t="s">
        <v>1166</v>
      </c>
    </row>
    <row r="230" spans="1:17">
      <c r="B230" t="s">
        <v>717</v>
      </c>
      <c r="C230" t="s">
        <v>661</v>
      </c>
      <c r="D230">
        <v>2.7285712736089302E-9</v>
      </c>
      <c r="E230" t="s">
        <v>94</v>
      </c>
      <c r="H230" t="s">
        <v>588</v>
      </c>
      <c r="I230">
        <v>2.7285712736089302E-9</v>
      </c>
      <c r="J230">
        <v>2.2394398661220611</v>
      </c>
      <c r="O230" t="s">
        <v>1157</v>
      </c>
      <c r="Q230" t="s">
        <v>1166</v>
      </c>
    </row>
    <row r="231" spans="1:17">
      <c r="B231" t="s">
        <v>722</v>
      </c>
      <c r="C231" t="s">
        <v>661</v>
      </c>
      <c r="D231">
        <v>2.70491334014038E-5</v>
      </c>
      <c r="E231" t="s">
        <v>94</v>
      </c>
      <c r="H231" t="s">
        <v>588</v>
      </c>
      <c r="I231">
        <v>2.70491334014038E-5</v>
      </c>
      <c r="J231">
        <v>1.2214027581601699</v>
      </c>
      <c r="O231" t="s">
        <v>1145</v>
      </c>
      <c r="Q231" t="s">
        <v>1146</v>
      </c>
    </row>
    <row r="232" spans="1:17">
      <c r="B232" t="s">
        <v>722</v>
      </c>
      <c r="C232" t="s">
        <v>712</v>
      </c>
      <c r="D232">
        <v>6.4473421128074296E-8</v>
      </c>
      <c r="E232" t="s">
        <v>94</v>
      </c>
      <c r="H232" t="s">
        <v>588</v>
      </c>
      <c r="I232">
        <v>6.4473421128074296E-8</v>
      </c>
      <c r="J232">
        <v>1.2214027581601699</v>
      </c>
      <c r="O232" t="s">
        <v>1150</v>
      </c>
      <c r="Q232" t="s">
        <v>1530</v>
      </c>
    </row>
    <row r="233" spans="1:17">
      <c r="B233" t="s">
        <v>724</v>
      </c>
      <c r="C233" t="s">
        <v>658</v>
      </c>
      <c r="D233">
        <v>4.0211439030630498E-8</v>
      </c>
      <c r="E233" t="s">
        <v>94</v>
      </c>
      <c r="H233" t="s">
        <v>588</v>
      </c>
      <c r="I233">
        <v>4.0211439030630498E-8</v>
      </c>
      <c r="J233">
        <v>2.2394398661220611</v>
      </c>
      <c r="O233" t="s">
        <v>1157</v>
      </c>
      <c r="Q233" t="s">
        <v>1166</v>
      </c>
    </row>
    <row r="234" spans="1:17">
      <c r="B234" t="s">
        <v>725</v>
      </c>
      <c r="C234" t="s">
        <v>661</v>
      </c>
      <c r="D234">
        <v>1.20217077776399E-8</v>
      </c>
      <c r="E234" t="s">
        <v>94</v>
      </c>
      <c r="H234" t="s">
        <v>588</v>
      </c>
      <c r="I234">
        <v>1.20217077776399E-8</v>
      </c>
      <c r="J234">
        <v>2.2394398661220611</v>
      </c>
      <c r="O234" t="s">
        <v>1157</v>
      </c>
      <c r="Q234" t="s">
        <v>1166</v>
      </c>
    </row>
    <row r="235" spans="1:17">
      <c r="B235" t="s">
        <v>726</v>
      </c>
      <c r="C235" t="s">
        <v>658</v>
      </c>
      <c r="D235">
        <v>1.3195193352463701E-3</v>
      </c>
      <c r="E235" t="s">
        <v>94</v>
      </c>
      <c r="H235" t="s">
        <v>588</v>
      </c>
      <c r="I235">
        <v>1.3195193352463701E-3</v>
      </c>
      <c r="J235">
        <v>1.0247973619913604</v>
      </c>
      <c r="O235" t="s">
        <v>1157</v>
      </c>
      <c r="Q235" t="s">
        <v>1531</v>
      </c>
    </row>
    <row r="236" spans="1:17">
      <c r="B236" t="s">
        <v>728</v>
      </c>
      <c r="C236" t="s">
        <v>658</v>
      </c>
      <c r="D236">
        <v>5.1094431176404299E-6</v>
      </c>
      <c r="E236" t="s">
        <v>94</v>
      </c>
      <c r="H236" t="s">
        <v>588</v>
      </c>
      <c r="I236">
        <v>5.1094431176404299E-6</v>
      </c>
      <c r="J236">
        <v>2.2394398661220611</v>
      </c>
      <c r="O236" t="s">
        <v>1157</v>
      </c>
      <c r="Q236" t="s">
        <v>1166</v>
      </c>
    </row>
    <row r="237" spans="1:17">
      <c r="B237" t="s">
        <v>734</v>
      </c>
      <c r="C237" t="s">
        <v>661</v>
      </c>
      <c r="D237">
        <v>4.07019907969203E-5</v>
      </c>
      <c r="E237" t="s">
        <v>94</v>
      </c>
      <c r="H237" t="s">
        <v>588</v>
      </c>
      <c r="I237">
        <v>4.07019907969203E-5</v>
      </c>
      <c r="J237">
        <v>1.2214027581601699</v>
      </c>
      <c r="O237" t="s">
        <v>1145</v>
      </c>
      <c r="Q237" t="s">
        <v>1146</v>
      </c>
    </row>
    <row r="238" spans="1:17">
      <c r="B238" t="s">
        <v>734</v>
      </c>
      <c r="C238" t="s">
        <v>712</v>
      </c>
      <c r="D238">
        <v>4.7862322869662101E-7</v>
      </c>
      <c r="E238" t="s">
        <v>94</v>
      </c>
      <c r="H238" t="s">
        <v>588</v>
      </c>
      <c r="I238">
        <v>4.7862322869662101E-7</v>
      </c>
      <c r="J238">
        <v>1.2214027581601699</v>
      </c>
      <c r="O238" t="s">
        <v>1532</v>
      </c>
      <c r="Q238" t="s">
        <v>1530</v>
      </c>
    </row>
    <row r="239" spans="1:17">
      <c r="B239" t="s">
        <v>735</v>
      </c>
      <c r="C239" t="s">
        <v>658</v>
      </c>
      <c r="D239">
        <v>6.6966910136614302E-8</v>
      </c>
      <c r="E239" t="s">
        <v>94</v>
      </c>
      <c r="H239" t="s">
        <v>588</v>
      </c>
      <c r="I239">
        <v>6.6966910136614302E-8</v>
      </c>
      <c r="J239">
        <v>2.2394398661220611</v>
      </c>
      <c r="O239" t="s">
        <v>1157</v>
      </c>
      <c r="Q239" t="s">
        <v>1166</v>
      </c>
    </row>
    <row r="240" spans="1:17">
      <c r="B240" t="s">
        <v>1533</v>
      </c>
      <c r="C240" t="s">
        <v>667</v>
      </c>
      <c r="D240">
        <v>7.9275469943655501E-4</v>
      </c>
      <c r="E240" t="s">
        <v>94</v>
      </c>
      <c r="H240" t="s">
        <v>588</v>
      </c>
      <c r="I240">
        <v>7.9275469943655501E-4</v>
      </c>
      <c r="J240">
        <v>1.0247973619913604</v>
      </c>
      <c r="N240" t="s">
        <v>1534</v>
      </c>
      <c r="O240" t="s">
        <v>1157</v>
      </c>
      <c r="Q240" t="s">
        <v>1535</v>
      </c>
    </row>
    <row r="241" spans="2:17">
      <c r="B241" t="s">
        <v>1536</v>
      </c>
      <c r="C241" t="s">
        <v>667</v>
      </c>
      <c r="D241">
        <v>4.11369393485957E-5</v>
      </c>
      <c r="E241" t="s">
        <v>94</v>
      </c>
      <c r="H241" t="s">
        <v>588</v>
      </c>
      <c r="I241">
        <v>4.11369393485957E-5</v>
      </c>
      <c r="J241">
        <v>1.0247973619913604</v>
      </c>
      <c r="N241" t="s">
        <v>1537</v>
      </c>
      <c r="O241" t="s">
        <v>1153</v>
      </c>
      <c r="Q241" t="s">
        <v>1538</v>
      </c>
    </row>
    <row r="242" spans="2:17">
      <c r="B242" t="s">
        <v>736</v>
      </c>
      <c r="C242" t="s">
        <v>661</v>
      </c>
      <c r="D242">
        <v>6.0604010575347197E-8</v>
      </c>
      <c r="E242" t="s">
        <v>94</v>
      </c>
      <c r="H242" t="s">
        <v>588</v>
      </c>
      <c r="I242">
        <v>6.0604010575347197E-8</v>
      </c>
      <c r="J242">
        <v>2.2394398661220611</v>
      </c>
      <c r="O242" t="s">
        <v>1157</v>
      </c>
      <c r="Q242" t="s">
        <v>1166</v>
      </c>
    </row>
    <row r="243" spans="2:17">
      <c r="B243" t="s">
        <v>740</v>
      </c>
      <c r="C243" t="s">
        <v>661</v>
      </c>
      <c r="D243">
        <v>1.59118333941912E-5</v>
      </c>
      <c r="E243" t="s">
        <v>94</v>
      </c>
      <c r="H243" t="s">
        <v>588</v>
      </c>
      <c r="I243">
        <v>1.59118333941912E-5</v>
      </c>
      <c r="J243">
        <v>1.2214027581601699</v>
      </c>
      <c r="O243" t="s">
        <v>1145</v>
      </c>
      <c r="Q243" t="s">
        <v>1539</v>
      </c>
    </row>
    <row r="244" spans="2:17">
      <c r="B244" t="s">
        <v>740</v>
      </c>
      <c r="C244" t="s">
        <v>712</v>
      </c>
      <c r="D244">
        <v>1.7726718814298E-7</v>
      </c>
      <c r="E244" t="s">
        <v>94</v>
      </c>
      <c r="H244" t="s">
        <v>588</v>
      </c>
      <c r="I244">
        <v>1.7726718814298E-7</v>
      </c>
      <c r="J244">
        <v>1.2214027581601699</v>
      </c>
      <c r="O244" t="s">
        <v>1532</v>
      </c>
      <c r="Q244" t="s">
        <v>1540</v>
      </c>
    </row>
    <row r="245" spans="2:17">
      <c r="B245" t="s">
        <v>741</v>
      </c>
      <c r="C245" t="s">
        <v>661</v>
      </c>
      <c r="D245">
        <v>2.5903607503519002E-6</v>
      </c>
      <c r="E245" t="s">
        <v>94</v>
      </c>
      <c r="H245" t="s">
        <v>588</v>
      </c>
      <c r="I245">
        <v>2.5903607503519002E-6</v>
      </c>
      <c r="J245">
        <v>1.2505791921887124</v>
      </c>
      <c r="O245" t="s">
        <v>1541</v>
      </c>
      <c r="Q245" t="s">
        <v>1542</v>
      </c>
    </row>
    <row r="246" spans="2:17">
      <c r="B246" t="s">
        <v>973</v>
      </c>
      <c r="C246" t="s">
        <v>744</v>
      </c>
      <c r="D246">
        <v>3.9284739424049001E-4</v>
      </c>
      <c r="E246" t="s">
        <v>94</v>
      </c>
      <c r="H246" t="s">
        <v>588</v>
      </c>
      <c r="I246">
        <v>3.9284739424049001E-4</v>
      </c>
      <c r="J246">
        <v>1.0247973619913604</v>
      </c>
      <c r="N246" t="s">
        <v>974</v>
      </c>
      <c r="O246" t="s">
        <v>1140</v>
      </c>
      <c r="Q246" t="s">
        <v>1543</v>
      </c>
    </row>
    <row r="247" spans="2:17">
      <c r="B247" t="s">
        <v>743</v>
      </c>
      <c r="C247" t="s">
        <v>744</v>
      </c>
      <c r="D247">
        <v>1.7212255405594601E-3</v>
      </c>
      <c r="E247" t="s">
        <v>94</v>
      </c>
      <c r="H247" t="s">
        <v>588</v>
      </c>
      <c r="I247">
        <v>1.7212255405594601E-3</v>
      </c>
      <c r="J247">
        <v>1.0247973619913604</v>
      </c>
      <c r="N247" t="s">
        <v>745</v>
      </c>
      <c r="O247" t="s">
        <v>1140</v>
      </c>
      <c r="Q247" t="s">
        <v>1544</v>
      </c>
    </row>
    <row r="248" spans="2:17">
      <c r="B248" t="s">
        <v>746</v>
      </c>
      <c r="C248" t="s">
        <v>744</v>
      </c>
      <c r="D248">
        <v>6.79413318148987E-4</v>
      </c>
      <c r="E248" t="s">
        <v>94</v>
      </c>
      <c r="H248" t="s">
        <v>588</v>
      </c>
      <c r="I248">
        <v>6.79413318148987E-4</v>
      </c>
      <c r="J248">
        <v>1.0247973619913604</v>
      </c>
      <c r="N248" t="s">
        <v>747</v>
      </c>
      <c r="O248" t="s">
        <v>921</v>
      </c>
      <c r="Q248" t="s">
        <v>1545</v>
      </c>
    </row>
    <row r="249" spans="2:17">
      <c r="B249" t="s">
        <v>649</v>
      </c>
      <c r="C249" t="s">
        <v>650</v>
      </c>
      <c r="D249">
        <v>1.6483722591157E-3</v>
      </c>
      <c r="E249" t="s">
        <v>94</v>
      </c>
      <c r="H249" t="s">
        <v>588</v>
      </c>
      <c r="I249">
        <v>1.6483722591157E-3</v>
      </c>
      <c r="J249">
        <v>1.0247973619913604</v>
      </c>
      <c r="N249" t="s">
        <v>651</v>
      </c>
      <c r="O249" t="s">
        <v>1435</v>
      </c>
      <c r="Q249" t="s">
        <v>1546</v>
      </c>
    </row>
    <row r="250" spans="2:17">
      <c r="B250" t="s">
        <v>977</v>
      </c>
      <c r="C250" t="s">
        <v>787</v>
      </c>
      <c r="D250">
        <v>1.8032820059122399E-2</v>
      </c>
      <c r="E250" t="s">
        <v>94</v>
      </c>
      <c r="H250" t="s">
        <v>588</v>
      </c>
      <c r="I250">
        <v>1.8032820059122399E-2</v>
      </c>
      <c r="J250">
        <v>1.0247973619913604</v>
      </c>
      <c r="N250" t="s">
        <v>978</v>
      </c>
      <c r="O250" t="s">
        <v>1140</v>
      </c>
      <c r="Q250" t="s">
        <v>1547</v>
      </c>
    </row>
    <row r="251" spans="2:17">
      <c r="B251" t="s">
        <v>752</v>
      </c>
      <c r="C251" t="s">
        <v>658</v>
      </c>
      <c r="D251">
        <v>6.0717012889959906E-8</v>
      </c>
      <c r="E251" t="s">
        <v>94</v>
      </c>
      <c r="H251" t="s">
        <v>588</v>
      </c>
      <c r="I251">
        <v>6.0717012889959906E-8</v>
      </c>
      <c r="J251">
        <v>2.2394398661220611</v>
      </c>
      <c r="O251" t="s">
        <v>1157</v>
      </c>
      <c r="Q251" t="s">
        <v>1166</v>
      </c>
    </row>
    <row r="252" spans="2:17">
      <c r="B252" t="s">
        <v>752</v>
      </c>
      <c r="C252" t="s">
        <v>661</v>
      </c>
      <c r="D252">
        <v>4.9547168714784701E-8</v>
      </c>
      <c r="E252" t="s">
        <v>94</v>
      </c>
      <c r="H252" t="s">
        <v>588</v>
      </c>
      <c r="I252">
        <v>4.9547168714784701E-8</v>
      </c>
      <c r="J252">
        <v>2.2394398661220611</v>
      </c>
      <c r="O252" t="s">
        <v>1157</v>
      </c>
      <c r="Q252" t="s">
        <v>1166</v>
      </c>
    </row>
    <row r="253" spans="2:17">
      <c r="B253" t="s">
        <v>754</v>
      </c>
      <c r="C253" t="s">
        <v>658</v>
      </c>
      <c r="D253">
        <v>7.6606876821648706E-9</v>
      </c>
      <c r="E253" t="s">
        <v>94</v>
      </c>
      <c r="H253" t="s">
        <v>588</v>
      </c>
      <c r="I253">
        <v>7.6606876821648706E-9</v>
      </c>
      <c r="J253">
        <v>2.2394398661220611</v>
      </c>
      <c r="O253" t="s">
        <v>1157</v>
      </c>
      <c r="Q253" t="s">
        <v>1166</v>
      </c>
    </row>
    <row r="254" spans="2:17">
      <c r="B254" t="s">
        <v>754</v>
      </c>
      <c r="C254" t="s">
        <v>661</v>
      </c>
      <c r="D254">
        <v>5.5866605847354604E-10</v>
      </c>
      <c r="E254" t="s">
        <v>94</v>
      </c>
      <c r="H254" t="s">
        <v>588</v>
      </c>
      <c r="I254">
        <v>5.5866605847354604E-10</v>
      </c>
      <c r="J254">
        <v>2.2394398661220611</v>
      </c>
      <c r="O254" t="s">
        <v>1157</v>
      </c>
      <c r="Q254" t="s">
        <v>1166</v>
      </c>
    </row>
    <row r="255" spans="2:17">
      <c r="B255" t="s">
        <v>1548</v>
      </c>
      <c r="C255" t="s">
        <v>787</v>
      </c>
      <c r="D255">
        <v>3.06149347742933E-4</v>
      </c>
      <c r="E255" t="s">
        <v>94</v>
      </c>
      <c r="H255" t="s">
        <v>588</v>
      </c>
      <c r="I255">
        <v>3.06149347742933E-4</v>
      </c>
      <c r="J255">
        <v>1.0247973619913604</v>
      </c>
      <c r="N255" t="s">
        <v>1549</v>
      </c>
      <c r="O255" t="s">
        <v>1157</v>
      </c>
      <c r="Q255" t="s">
        <v>1550</v>
      </c>
    </row>
    <row r="256" spans="2:17">
      <c r="B256" t="s">
        <v>260</v>
      </c>
      <c r="C256" t="s">
        <v>654</v>
      </c>
      <c r="D256">
        <v>1.02259664356263E-2</v>
      </c>
      <c r="E256" t="s">
        <v>94</v>
      </c>
      <c r="H256" t="s">
        <v>588</v>
      </c>
      <c r="I256">
        <v>1.02259664356263E-2</v>
      </c>
      <c r="J256">
        <v>1</v>
      </c>
      <c r="O256" t="s">
        <v>1157</v>
      </c>
      <c r="Q256" t="s">
        <v>1551</v>
      </c>
    </row>
    <row r="257" spans="2:17">
      <c r="B257" t="s">
        <v>761</v>
      </c>
      <c r="C257" t="s">
        <v>658</v>
      </c>
      <c r="D257">
        <v>1.38645147544003E-5</v>
      </c>
      <c r="E257" t="s">
        <v>94</v>
      </c>
      <c r="H257" t="s">
        <v>588</v>
      </c>
      <c r="I257">
        <v>1.38645147544003E-5</v>
      </c>
      <c r="J257">
        <v>1.2214027581601699</v>
      </c>
      <c r="O257" t="s">
        <v>1157</v>
      </c>
      <c r="Q257" t="s">
        <v>1552</v>
      </c>
    </row>
    <row r="258" spans="2:17">
      <c r="B258" t="s">
        <v>762</v>
      </c>
      <c r="C258" t="s">
        <v>654</v>
      </c>
      <c r="D258">
        <v>1.5888578878872599E-5</v>
      </c>
      <c r="E258" t="s">
        <v>94</v>
      </c>
      <c r="H258" t="s">
        <v>588</v>
      </c>
      <c r="I258">
        <v>1.5888578878872599E-5</v>
      </c>
      <c r="J258">
        <v>1.2214027581601699</v>
      </c>
      <c r="O258" t="s">
        <v>1145</v>
      </c>
      <c r="Q258" t="s">
        <v>1146</v>
      </c>
    </row>
    <row r="259" spans="2:17">
      <c r="B259" t="s">
        <v>653</v>
      </c>
      <c r="C259" t="s">
        <v>658</v>
      </c>
      <c r="D259">
        <v>1.84889171677802E-5</v>
      </c>
      <c r="E259" t="s">
        <v>94</v>
      </c>
      <c r="H259" t="s">
        <v>588</v>
      </c>
      <c r="I259">
        <v>1.84889171677802E-5</v>
      </c>
      <c r="J259">
        <v>1.7293101253499219</v>
      </c>
      <c r="O259" t="s">
        <v>1157</v>
      </c>
      <c r="Q259" t="s">
        <v>1166</v>
      </c>
    </row>
    <row r="260" spans="2:17">
      <c r="B260" t="s">
        <v>656</v>
      </c>
      <c r="C260" t="s">
        <v>658</v>
      </c>
      <c r="D260">
        <v>2.7033630649645699E-6</v>
      </c>
      <c r="E260" t="s">
        <v>94</v>
      </c>
      <c r="H260" t="s">
        <v>588</v>
      </c>
      <c r="I260">
        <v>2.7033630649645699E-6</v>
      </c>
      <c r="J260">
        <v>1.2214027581601699</v>
      </c>
      <c r="O260" t="s">
        <v>1157</v>
      </c>
      <c r="Q260" t="s">
        <v>1166</v>
      </c>
    </row>
    <row r="261" spans="2:17">
      <c r="B261" t="s">
        <v>657</v>
      </c>
      <c r="C261" t="s">
        <v>658</v>
      </c>
      <c r="D261">
        <v>2.8276656110385001E-6</v>
      </c>
      <c r="E261" t="s">
        <v>94</v>
      </c>
      <c r="H261" t="s">
        <v>588</v>
      </c>
      <c r="I261">
        <v>2.8276656110385001E-6</v>
      </c>
      <c r="J261">
        <v>1.4139824580805163</v>
      </c>
      <c r="O261" t="s">
        <v>1157</v>
      </c>
      <c r="Q261" t="s">
        <v>1166</v>
      </c>
    </row>
    <row r="262" spans="2:17">
      <c r="B262" t="s">
        <v>892</v>
      </c>
      <c r="C262" t="s">
        <v>661</v>
      </c>
      <c r="D262">
        <v>8.3027096486811001E-10</v>
      </c>
      <c r="E262" t="s">
        <v>94</v>
      </c>
      <c r="H262" t="s">
        <v>588</v>
      </c>
      <c r="I262">
        <v>8.3027096486811001E-10</v>
      </c>
      <c r="J262">
        <v>1.2214027581601699</v>
      </c>
      <c r="O262" t="s">
        <v>1145</v>
      </c>
      <c r="Q262" t="s">
        <v>1146</v>
      </c>
    </row>
    <row r="263" spans="2:17">
      <c r="B263" t="s">
        <v>892</v>
      </c>
      <c r="C263" t="s">
        <v>712</v>
      </c>
      <c r="D263">
        <v>2.4797912926906601E-9</v>
      </c>
      <c r="E263" t="s">
        <v>94</v>
      </c>
      <c r="H263" t="s">
        <v>588</v>
      </c>
      <c r="I263">
        <v>2.4797912926906601E-9</v>
      </c>
      <c r="J263">
        <v>1.2214027581601699</v>
      </c>
      <c r="O263" t="s">
        <v>1553</v>
      </c>
      <c r="Q263" t="s">
        <v>1530</v>
      </c>
    </row>
    <row r="264" spans="2:17">
      <c r="B264" t="s">
        <v>1554</v>
      </c>
      <c r="C264" t="s">
        <v>887</v>
      </c>
      <c r="D264">
        <v>7.49374458991106E-4</v>
      </c>
      <c r="E264" t="s">
        <v>94</v>
      </c>
      <c r="H264" t="s">
        <v>588</v>
      </c>
      <c r="I264">
        <v>7.49374458991106E-4</v>
      </c>
      <c r="J264">
        <v>1.0247973619913604</v>
      </c>
      <c r="O264" t="s">
        <v>1140</v>
      </c>
      <c r="Q264" t="s">
        <v>1555</v>
      </c>
    </row>
    <row r="265" spans="2:17">
      <c r="B265" t="s">
        <v>1556</v>
      </c>
      <c r="C265" t="s">
        <v>787</v>
      </c>
      <c r="D265">
        <v>3.39098680653274E-4</v>
      </c>
      <c r="E265" t="s">
        <v>94</v>
      </c>
      <c r="N265" t="s">
        <v>1557</v>
      </c>
      <c r="Q265" t="s">
        <v>1558</v>
      </c>
    </row>
    <row r="266" spans="2:17">
      <c r="B266" t="s">
        <v>1556</v>
      </c>
      <c r="C266" t="s">
        <v>787</v>
      </c>
      <c r="D266">
        <v>7.5559686936079401E-6</v>
      </c>
      <c r="E266" t="s">
        <v>94</v>
      </c>
      <c r="N266" t="s">
        <v>1557</v>
      </c>
      <c r="Q266" t="s">
        <v>1558</v>
      </c>
    </row>
    <row r="267" spans="2:17">
      <c r="B267" t="s">
        <v>1556</v>
      </c>
      <c r="C267" t="s">
        <v>787</v>
      </c>
      <c r="D267">
        <v>1.6104686603297101E-4</v>
      </c>
      <c r="E267" t="s">
        <v>94</v>
      </c>
      <c r="N267" t="s">
        <v>1557</v>
      </c>
      <c r="Q267" t="s">
        <v>1558</v>
      </c>
    </row>
    <row r="268" spans="2:17">
      <c r="B268" t="s">
        <v>983</v>
      </c>
      <c r="C268" t="s">
        <v>787</v>
      </c>
      <c r="D268">
        <v>1.16153492574761E-2</v>
      </c>
      <c r="E268" t="s">
        <v>94</v>
      </c>
      <c r="H268" t="s">
        <v>588</v>
      </c>
      <c r="I268">
        <v>1.16153492574761E-2</v>
      </c>
      <c r="J268">
        <v>1.0247973619913604</v>
      </c>
      <c r="N268" t="s">
        <v>984</v>
      </c>
      <c r="O268" t="s">
        <v>1140</v>
      </c>
      <c r="Q268" t="s">
        <v>1559</v>
      </c>
    </row>
    <row r="269" spans="2:17">
      <c r="B269" t="s">
        <v>983</v>
      </c>
      <c r="C269" t="s">
        <v>787</v>
      </c>
      <c r="D269">
        <v>3.73888896208907E-3</v>
      </c>
      <c r="E269" t="s">
        <v>94</v>
      </c>
      <c r="H269" t="s">
        <v>588</v>
      </c>
      <c r="I269">
        <v>3.73888896208907E-3</v>
      </c>
      <c r="J269">
        <v>1.0247973619913604</v>
      </c>
      <c r="N269" t="s">
        <v>984</v>
      </c>
      <c r="O269" t="s">
        <v>798</v>
      </c>
      <c r="Q269" t="s">
        <v>1558</v>
      </c>
    </row>
    <row r="270" spans="2:17">
      <c r="B270" t="s">
        <v>983</v>
      </c>
      <c r="C270" t="s">
        <v>787</v>
      </c>
      <c r="D270">
        <v>4.7370384955932899E-6</v>
      </c>
      <c r="E270" t="s">
        <v>94</v>
      </c>
      <c r="H270" t="s">
        <v>588</v>
      </c>
      <c r="I270">
        <v>4.7370384955932899E-6</v>
      </c>
      <c r="J270">
        <v>1.0247973619913604</v>
      </c>
      <c r="N270" t="s">
        <v>984</v>
      </c>
      <c r="O270" t="s">
        <v>798</v>
      </c>
      <c r="Q270" t="s">
        <v>1558</v>
      </c>
    </row>
    <row r="271" spans="2:17">
      <c r="B271" t="s">
        <v>772</v>
      </c>
      <c r="C271" t="s">
        <v>661</v>
      </c>
      <c r="D271">
        <v>1.26736442080976E-7</v>
      </c>
      <c r="E271" t="s">
        <v>94</v>
      </c>
      <c r="H271" t="s">
        <v>588</v>
      </c>
      <c r="I271">
        <v>1.26736442080976E-7</v>
      </c>
      <c r="J271">
        <v>2.2394398661220611</v>
      </c>
      <c r="O271" t="s">
        <v>1157</v>
      </c>
      <c r="Q271" t="s">
        <v>1166</v>
      </c>
    </row>
    <row r="272" spans="2:17">
      <c r="B272" t="s">
        <v>1560</v>
      </c>
      <c r="C272" t="s">
        <v>744</v>
      </c>
      <c r="D272">
        <v>2.81965589772761E-3</v>
      </c>
      <c r="E272" t="s">
        <v>94</v>
      </c>
      <c r="H272" t="s">
        <v>588</v>
      </c>
      <c r="I272">
        <v>2.81965589772761E-3</v>
      </c>
      <c r="J272">
        <v>1.0247973619913604</v>
      </c>
      <c r="N272" t="s">
        <v>1561</v>
      </c>
      <c r="O272" t="s">
        <v>1140</v>
      </c>
      <c r="Q272" t="s">
        <v>1562</v>
      </c>
    </row>
    <row r="273" spans="2:17">
      <c r="B273" t="s">
        <v>776</v>
      </c>
      <c r="C273" t="s">
        <v>658</v>
      </c>
      <c r="D273">
        <v>1.76109761080972E-3</v>
      </c>
      <c r="E273" t="s">
        <v>94</v>
      </c>
      <c r="H273" t="s">
        <v>588</v>
      </c>
      <c r="I273">
        <v>1.76109761080972E-3</v>
      </c>
      <c r="J273">
        <v>1.0247973619913604</v>
      </c>
      <c r="O273" t="s">
        <v>1157</v>
      </c>
      <c r="Q273" t="s">
        <v>1166</v>
      </c>
    </row>
    <row r="274" spans="2:17">
      <c r="B274" t="s">
        <v>275</v>
      </c>
      <c r="C274" t="s">
        <v>658</v>
      </c>
      <c r="D274">
        <v>1.8010830452111201E-5</v>
      </c>
      <c r="E274" t="s">
        <v>94</v>
      </c>
      <c r="H274" t="s">
        <v>588</v>
      </c>
      <c r="I274">
        <v>1.8010830452111201E-5</v>
      </c>
      <c r="J274">
        <v>1.2214027581601699</v>
      </c>
      <c r="O274" t="s">
        <v>1157</v>
      </c>
      <c r="Q274" t="s">
        <v>1166</v>
      </c>
    </row>
    <row r="275" spans="2:17">
      <c r="B275" t="s">
        <v>783</v>
      </c>
      <c r="C275" t="s">
        <v>661</v>
      </c>
      <c r="D275">
        <v>1.59118333941912E-5</v>
      </c>
      <c r="E275" t="s">
        <v>94</v>
      </c>
      <c r="H275" t="s">
        <v>588</v>
      </c>
      <c r="I275">
        <v>1.59118333941912E-5</v>
      </c>
      <c r="J275">
        <v>1.2214027581601699</v>
      </c>
      <c r="O275" t="s">
        <v>1145</v>
      </c>
      <c r="Q275" t="s">
        <v>1563</v>
      </c>
    </row>
    <row r="276" spans="2:17">
      <c r="B276" t="s">
        <v>783</v>
      </c>
      <c r="C276" t="s">
        <v>712</v>
      </c>
      <c r="D276">
        <v>1.7726718814298E-7</v>
      </c>
      <c r="E276" t="s">
        <v>94</v>
      </c>
      <c r="H276" t="s">
        <v>588</v>
      </c>
      <c r="I276">
        <v>1.7726718814298E-7</v>
      </c>
      <c r="J276">
        <v>1.2214027581601699</v>
      </c>
      <c r="O276" t="s">
        <v>1532</v>
      </c>
      <c r="Q276" t="s">
        <v>1540</v>
      </c>
    </row>
    <row r="277" spans="2:17">
      <c r="B277" t="s">
        <v>1564</v>
      </c>
      <c r="C277" t="s">
        <v>670</v>
      </c>
      <c r="D277">
        <v>9.9264245433614505E-4</v>
      </c>
      <c r="E277" t="s">
        <v>94</v>
      </c>
      <c r="N277" t="s">
        <v>1565</v>
      </c>
    </row>
    <row r="278" spans="2:17">
      <c r="B278" t="s">
        <v>1566</v>
      </c>
      <c r="C278" t="s">
        <v>670</v>
      </c>
      <c r="D278">
        <v>8.5077394316611095E-4</v>
      </c>
      <c r="E278" t="s">
        <v>94</v>
      </c>
      <c r="N278" t="s">
        <v>1567</v>
      </c>
      <c r="Q278" t="s">
        <v>1136</v>
      </c>
    </row>
    <row r="279" spans="2:17">
      <c r="B279" t="s">
        <v>1568</v>
      </c>
      <c r="C279" t="s">
        <v>670</v>
      </c>
      <c r="D279">
        <v>1.76924172512574E-3</v>
      </c>
      <c r="E279" t="s">
        <v>94</v>
      </c>
      <c r="N279" t="s">
        <v>1569</v>
      </c>
    </row>
    <row r="280" spans="2:17">
      <c r="B280" t="s">
        <v>1570</v>
      </c>
      <c r="C280" t="s">
        <v>787</v>
      </c>
      <c r="D280">
        <v>1.94642825459207E-6</v>
      </c>
      <c r="E280" t="s">
        <v>94</v>
      </c>
      <c r="H280" t="s">
        <v>588</v>
      </c>
      <c r="I280">
        <v>1.94642825459207E-6</v>
      </c>
      <c r="J280">
        <v>1.0247973619913604</v>
      </c>
      <c r="N280" t="s">
        <v>1571</v>
      </c>
      <c r="O280" t="s">
        <v>1140</v>
      </c>
      <c r="Q280" t="s">
        <v>1572</v>
      </c>
    </row>
    <row r="281" spans="2:17">
      <c r="B281" t="s">
        <v>1573</v>
      </c>
      <c r="C281" t="s">
        <v>787</v>
      </c>
      <c r="D281">
        <v>3.3514870284811701E-4</v>
      </c>
      <c r="E281" t="s">
        <v>94</v>
      </c>
      <c r="H281" t="s">
        <v>588</v>
      </c>
      <c r="I281">
        <v>3.3514870284811701E-4</v>
      </c>
      <c r="J281">
        <v>1.151909910168909</v>
      </c>
      <c r="N281" t="s">
        <v>1574</v>
      </c>
      <c r="O281" t="s">
        <v>798</v>
      </c>
      <c r="Q281" t="s">
        <v>1575</v>
      </c>
    </row>
    <row r="282" spans="2:17">
      <c r="B282" t="s">
        <v>1573</v>
      </c>
      <c r="C282" t="s">
        <v>787</v>
      </c>
      <c r="D282">
        <v>2.8819858468362102E-6</v>
      </c>
      <c r="E282" t="s">
        <v>94</v>
      </c>
      <c r="H282" t="s">
        <v>588</v>
      </c>
      <c r="I282">
        <v>2.8819858468362102E-6</v>
      </c>
      <c r="J282">
        <v>1.151909910168909</v>
      </c>
      <c r="N282" t="s">
        <v>1574</v>
      </c>
      <c r="O282" t="s">
        <v>798</v>
      </c>
      <c r="Q282" t="s">
        <v>1575</v>
      </c>
    </row>
    <row r="283" spans="2:17">
      <c r="B283" t="s">
        <v>1573</v>
      </c>
      <c r="C283" t="s">
        <v>787</v>
      </c>
      <c r="D283">
        <v>1.28958274627181E-5</v>
      </c>
      <c r="E283" t="s">
        <v>94</v>
      </c>
      <c r="H283" t="s">
        <v>588</v>
      </c>
      <c r="I283">
        <v>1.28958274627181E-5</v>
      </c>
      <c r="J283">
        <v>1.151909910168909</v>
      </c>
      <c r="N283" t="s">
        <v>1574</v>
      </c>
      <c r="O283" t="s">
        <v>798</v>
      </c>
      <c r="Q283" t="s">
        <v>1575</v>
      </c>
    </row>
    <row r="284" spans="2:17">
      <c r="B284" t="s">
        <v>1573</v>
      </c>
      <c r="C284" t="s">
        <v>787</v>
      </c>
      <c r="D284">
        <v>3.1586556869230699E-3</v>
      </c>
      <c r="E284" t="s">
        <v>94</v>
      </c>
      <c r="H284" t="s">
        <v>588</v>
      </c>
      <c r="I284">
        <v>3.1586556869230699E-3</v>
      </c>
      <c r="J284">
        <v>1.0247973619913604</v>
      </c>
      <c r="N284" t="s">
        <v>1574</v>
      </c>
      <c r="O284" t="s">
        <v>1157</v>
      </c>
      <c r="Q284" t="s">
        <v>1576</v>
      </c>
    </row>
    <row r="285" spans="2:17">
      <c r="B285" t="s">
        <v>1573</v>
      </c>
      <c r="C285" t="s">
        <v>787</v>
      </c>
      <c r="D285">
        <v>6.3662428297948199E-4</v>
      </c>
      <c r="E285" t="s">
        <v>94</v>
      </c>
      <c r="H285" t="s">
        <v>588</v>
      </c>
      <c r="I285">
        <v>6.3662428297948199E-4</v>
      </c>
      <c r="J285">
        <v>1.151909910168909</v>
      </c>
      <c r="N285" t="s">
        <v>1577</v>
      </c>
      <c r="O285" t="s">
        <v>798</v>
      </c>
      <c r="Q285" t="s">
        <v>1575</v>
      </c>
    </row>
    <row r="286" spans="2:17">
      <c r="B286" t="s">
        <v>1573</v>
      </c>
      <c r="C286" t="s">
        <v>787</v>
      </c>
      <c r="D286">
        <v>7.0078849752786396E-7</v>
      </c>
      <c r="E286" t="s">
        <v>94</v>
      </c>
      <c r="H286" t="s">
        <v>588</v>
      </c>
      <c r="I286">
        <v>7.0078849752786396E-7</v>
      </c>
      <c r="J286">
        <v>1.151909910168909</v>
      </c>
      <c r="N286" t="s">
        <v>1574</v>
      </c>
      <c r="O286" t="s">
        <v>798</v>
      </c>
      <c r="Q286" t="s">
        <v>1575</v>
      </c>
    </row>
    <row r="287" spans="2:17">
      <c r="B287" t="s">
        <v>1573</v>
      </c>
      <c r="C287" t="s">
        <v>787</v>
      </c>
      <c r="D287">
        <v>3.0889929518176298E-5</v>
      </c>
      <c r="E287" t="s">
        <v>94</v>
      </c>
      <c r="H287" t="s">
        <v>588</v>
      </c>
      <c r="I287">
        <v>3.0889929518176298E-5</v>
      </c>
      <c r="J287">
        <v>1.151909910168909</v>
      </c>
      <c r="N287" t="s">
        <v>1574</v>
      </c>
      <c r="O287" t="s">
        <v>798</v>
      </c>
      <c r="Q287" t="s">
        <v>1575</v>
      </c>
    </row>
    <row r="288" spans="2:17">
      <c r="B288" t="s">
        <v>1573</v>
      </c>
      <c r="C288" t="s">
        <v>787</v>
      </c>
      <c r="D288">
        <v>4.3764563316943803E-6</v>
      </c>
      <c r="E288" t="s">
        <v>94</v>
      </c>
      <c r="H288" t="s">
        <v>588</v>
      </c>
      <c r="I288">
        <v>4.3764563316943803E-6</v>
      </c>
      <c r="J288">
        <v>1.151909910168909</v>
      </c>
      <c r="N288" t="s">
        <v>1574</v>
      </c>
      <c r="O288" t="s">
        <v>798</v>
      </c>
      <c r="Q288" t="s">
        <v>1575</v>
      </c>
    </row>
    <row r="289" spans="2:17">
      <c r="B289" t="s">
        <v>1578</v>
      </c>
      <c r="C289" t="s">
        <v>650</v>
      </c>
      <c r="D289">
        <v>8.8335445110890496E-7</v>
      </c>
      <c r="E289" t="s">
        <v>94</v>
      </c>
      <c r="H289" t="s">
        <v>588</v>
      </c>
      <c r="I289">
        <v>8.8335445110890496E-7</v>
      </c>
      <c r="J289">
        <v>1.0247973619913604</v>
      </c>
      <c r="N289" t="s">
        <v>1579</v>
      </c>
      <c r="O289" t="s">
        <v>798</v>
      </c>
      <c r="Q289" t="s">
        <v>979</v>
      </c>
    </row>
    <row r="290" spans="2:17">
      <c r="B290" t="s">
        <v>1578</v>
      </c>
      <c r="C290" t="s">
        <v>650</v>
      </c>
      <c r="D290">
        <v>3.56824066354324E-5</v>
      </c>
      <c r="E290" t="s">
        <v>94</v>
      </c>
      <c r="H290" t="s">
        <v>588</v>
      </c>
      <c r="I290">
        <v>3.56824066354324E-5</v>
      </c>
      <c r="J290">
        <v>1.0247973619913604</v>
      </c>
      <c r="N290" t="s">
        <v>1579</v>
      </c>
      <c r="O290" t="s">
        <v>798</v>
      </c>
      <c r="Q290" t="s">
        <v>979</v>
      </c>
    </row>
    <row r="291" spans="2:17">
      <c r="B291" t="s">
        <v>1578</v>
      </c>
      <c r="C291" t="s">
        <v>650</v>
      </c>
      <c r="D291">
        <v>3.1947675098079101E-3</v>
      </c>
      <c r="E291" t="s">
        <v>94</v>
      </c>
      <c r="H291" t="s">
        <v>588</v>
      </c>
      <c r="I291">
        <v>3.1947675098079101E-3</v>
      </c>
      <c r="J291">
        <v>1.0247973619913604</v>
      </c>
      <c r="N291" t="s">
        <v>1579</v>
      </c>
      <c r="O291" t="s">
        <v>1435</v>
      </c>
      <c r="Q291" t="s">
        <v>1580</v>
      </c>
    </row>
    <row r="292" spans="2:17">
      <c r="B292" t="s">
        <v>1578</v>
      </c>
      <c r="C292" t="s">
        <v>650</v>
      </c>
      <c r="D292">
        <v>5.6083917990840502E-6</v>
      </c>
      <c r="E292" t="s">
        <v>94</v>
      </c>
      <c r="H292" t="s">
        <v>588</v>
      </c>
      <c r="I292">
        <v>5.6083917990840502E-6</v>
      </c>
      <c r="J292">
        <v>1.0247973619913604</v>
      </c>
      <c r="N292" t="s">
        <v>1581</v>
      </c>
      <c r="O292" t="s">
        <v>1157</v>
      </c>
      <c r="Q292" t="s">
        <v>1582</v>
      </c>
    </row>
    <row r="293" spans="2:17">
      <c r="B293" t="s">
        <v>1583</v>
      </c>
      <c r="C293" t="s">
        <v>670</v>
      </c>
      <c r="D293">
        <v>1.19705279965311E-5</v>
      </c>
      <c r="E293" t="s">
        <v>94</v>
      </c>
      <c r="H293" t="s">
        <v>588</v>
      </c>
      <c r="I293">
        <v>1.19705279965311E-5</v>
      </c>
      <c r="J293">
        <v>1.0247973619913604</v>
      </c>
      <c r="N293" t="s">
        <v>1584</v>
      </c>
      <c r="O293" t="s">
        <v>1140</v>
      </c>
      <c r="Q293" t="s">
        <v>1585</v>
      </c>
    </row>
    <row r="294" spans="2:17">
      <c r="B294" t="s">
        <v>1586</v>
      </c>
      <c r="C294" t="s">
        <v>670</v>
      </c>
      <c r="D294">
        <v>7.9171160114782294E-6</v>
      </c>
      <c r="E294" t="s">
        <v>94</v>
      </c>
      <c r="H294" t="s">
        <v>588</v>
      </c>
      <c r="I294">
        <v>7.9171160114782294E-6</v>
      </c>
      <c r="J294">
        <v>1.0247973619913604</v>
      </c>
      <c r="N294" t="s">
        <v>1587</v>
      </c>
      <c r="O294" t="s">
        <v>1157</v>
      </c>
      <c r="Q294" t="s">
        <v>1588</v>
      </c>
    </row>
    <row r="295" spans="2:17">
      <c r="B295" t="s">
        <v>1589</v>
      </c>
      <c r="C295" t="s">
        <v>787</v>
      </c>
      <c r="D295">
        <v>9.47312005201214E-6</v>
      </c>
      <c r="E295" t="s">
        <v>94</v>
      </c>
      <c r="H295" t="s">
        <v>588</v>
      </c>
      <c r="I295">
        <v>9.47312005201214E-6</v>
      </c>
      <c r="J295">
        <v>1.0247973619913604</v>
      </c>
      <c r="N295" t="s">
        <v>1590</v>
      </c>
      <c r="O295" t="s">
        <v>1173</v>
      </c>
      <c r="Q295" t="s">
        <v>1591</v>
      </c>
    </row>
    <row r="296" spans="2:17">
      <c r="B296" t="s">
        <v>1589</v>
      </c>
      <c r="C296" t="s">
        <v>787</v>
      </c>
      <c r="D296">
        <v>1.43114666729115E-7</v>
      </c>
      <c r="E296" t="s">
        <v>94</v>
      </c>
      <c r="H296" t="s">
        <v>588</v>
      </c>
      <c r="I296">
        <v>1.43114666729115E-7</v>
      </c>
      <c r="J296">
        <v>1.0247973619913604</v>
      </c>
      <c r="N296" t="s">
        <v>1590</v>
      </c>
      <c r="O296" t="s">
        <v>1173</v>
      </c>
      <c r="Q296" t="s">
        <v>1591</v>
      </c>
    </row>
    <row r="297" spans="2:17">
      <c r="B297" t="s">
        <v>1592</v>
      </c>
      <c r="C297" t="s">
        <v>787</v>
      </c>
      <c r="D297">
        <v>1.29686094521831E-6</v>
      </c>
      <c r="E297" t="s">
        <v>94</v>
      </c>
      <c r="H297" t="s">
        <v>588</v>
      </c>
      <c r="I297">
        <v>1.29686094521831E-6</v>
      </c>
      <c r="J297">
        <v>1.0247973619913604</v>
      </c>
      <c r="N297" t="s">
        <v>1593</v>
      </c>
      <c r="O297" t="s">
        <v>1173</v>
      </c>
      <c r="Q297" t="s">
        <v>1594</v>
      </c>
    </row>
    <row r="298" spans="2:17">
      <c r="B298" t="s">
        <v>1592</v>
      </c>
      <c r="C298" t="s">
        <v>787</v>
      </c>
      <c r="D298">
        <v>7.0826595337643198E-6</v>
      </c>
      <c r="E298" t="s">
        <v>94</v>
      </c>
      <c r="H298" t="s">
        <v>588</v>
      </c>
      <c r="I298">
        <v>7.0826595337643198E-6</v>
      </c>
      <c r="J298">
        <v>1.0247973619913604</v>
      </c>
      <c r="N298" t="s">
        <v>1593</v>
      </c>
      <c r="O298" t="s">
        <v>1173</v>
      </c>
      <c r="Q298" t="s">
        <v>1594</v>
      </c>
    </row>
    <row r="299" spans="2:17">
      <c r="B299" t="s">
        <v>1592</v>
      </c>
      <c r="C299" t="s">
        <v>787</v>
      </c>
      <c r="D299">
        <v>2.2242693968001901E-4</v>
      </c>
      <c r="E299" t="s">
        <v>94</v>
      </c>
      <c r="H299" t="s">
        <v>588</v>
      </c>
      <c r="I299">
        <v>2.2242693968001901E-4</v>
      </c>
      <c r="J299">
        <v>1.0247973619913604</v>
      </c>
      <c r="N299" t="s">
        <v>1595</v>
      </c>
      <c r="O299" t="s">
        <v>1173</v>
      </c>
      <c r="Q299" t="s">
        <v>1594</v>
      </c>
    </row>
    <row r="300" spans="2:17">
      <c r="B300" t="s">
        <v>1592</v>
      </c>
      <c r="C300" t="s">
        <v>787</v>
      </c>
      <c r="D300">
        <v>1.79762400309918E-3</v>
      </c>
      <c r="E300" t="s">
        <v>94</v>
      </c>
      <c r="H300" t="s">
        <v>588</v>
      </c>
      <c r="I300">
        <v>1.79762400309918E-3</v>
      </c>
      <c r="J300">
        <v>1.0247973619913604</v>
      </c>
      <c r="N300" t="s">
        <v>1593</v>
      </c>
      <c r="O300" t="s">
        <v>1173</v>
      </c>
      <c r="Q300" t="s">
        <v>1594</v>
      </c>
    </row>
    <row r="301" spans="2:17">
      <c r="B301" t="s">
        <v>1592</v>
      </c>
      <c r="C301" t="s">
        <v>787</v>
      </c>
      <c r="D301">
        <v>6.7256473772896504E-6</v>
      </c>
      <c r="E301" t="s">
        <v>94</v>
      </c>
      <c r="H301" t="s">
        <v>588</v>
      </c>
      <c r="I301">
        <v>6.7256473772896504E-6</v>
      </c>
      <c r="J301">
        <v>1.0247973619913604</v>
      </c>
      <c r="N301" t="s">
        <v>1593</v>
      </c>
      <c r="O301" t="s">
        <v>1173</v>
      </c>
      <c r="Q301" t="s">
        <v>1594</v>
      </c>
    </row>
    <row r="302" spans="2:17">
      <c r="B302" t="s">
        <v>1592</v>
      </c>
      <c r="C302" t="s">
        <v>787</v>
      </c>
      <c r="D302">
        <v>2.8613135583692901E-6</v>
      </c>
      <c r="E302" t="s">
        <v>94</v>
      </c>
      <c r="H302" t="s">
        <v>588</v>
      </c>
      <c r="I302">
        <v>2.8613135583692901E-6</v>
      </c>
      <c r="J302">
        <v>1.0247973619913604</v>
      </c>
      <c r="N302" t="s">
        <v>1593</v>
      </c>
      <c r="O302" t="s">
        <v>1173</v>
      </c>
      <c r="Q302" t="s">
        <v>1594</v>
      </c>
    </row>
    <row r="303" spans="2:17">
      <c r="B303" t="s">
        <v>1592</v>
      </c>
      <c r="C303" t="s">
        <v>787</v>
      </c>
      <c r="D303">
        <v>2.5664170854887799E-4</v>
      </c>
      <c r="E303" t="s">
        <v>94</v>
      </c>
      <c r="H303" t="s">
        <v>588</v>
      </c>
      <c r="I303">
        <v>2.5664170854887799E-4</v>
      </c>
      <c r="J303">
        <v>1.0247973619913604</v>
      </c>
      <c r="N303" t="s">
        <v>1593</v>
      </c>
      <c r="O303" t="s">
        <v>1173</v>
      </c>
      <c r="Q303" t="s">
        <v>1594</v>
      </c>
    </row>
    <row r="304" spans="2:17">
      <c r="B304" t="s">
        <v>1592</v>
      </c>
      <c r="C304" t="s">
        <v>787</v>
      </c>
      <c r="D304">
        <v>1.7147809669969498E-5</v>
      </c>
      <c r="E304" t="s">
        <v>94</v>
      </c>
      <c r="H304" t="s">
        <v>588</v>
      </c>
      <c r="I304">
        <v>1.7147809669969498E-5</v>
      </c>
      <c r="J304">
        <v>1.0247973619913604</v>
      </c>
      <c r="N304" t="s">
        <v>1593</v>
      </c>
      <c r="O304" t="s">
        <v>1173</v>
      </c>
      <c r="Q304" t="s">
        <v>1594</v>
      </c>
    </row>
    <row r="305" spans="2:17">
      <c r="B305" t="s">
        <v>1596</v>
      </c>
      <c r="C305" t="s">
        <v>787</v>
      </c>
      <c r="D305">
        <v>1.67090099287065E-5</v>
      </c>
      <c r="E305" t="s">
        <v>94</v>
      </c>
      <c r="H305" t="s">
        <v>588</v>
      </c>
      <c r="I305">
        <v>1.67090099287065E-5</v>
      </c>
      <c r="J305">
        <v>1.0247973619913604</v>
      </c>
      <c r="N305" t="s">
        <v>1597</v>
      </c>
      <c r="O305" t="s">
        <v>798</v>
      </c>
      <c r="Q305" t="s">
        <v>979</v>
      </c>
    </row>
    <row r="306" spans="2:17">
      <c r="B306" t="s">
        <v>1596</v>
      </c>
      <c r="C306" t="s">
        <v>787</v>
      </c>
      <c r="D306">
        <v>1.4481410541332299E-5</v>
      </c>
      <c r="E306" t="s">
        <v>94</v>
      </c>
      <c r="H306" t="s">
        <v>588</v>
      </c>
      <c r="I306">
        <v>1.4481410541332299E-5</v>
      </c>
      <c r="J306">
        <v>1.0247973619913604</v>
      </c>
      <c r="N306" t="s">
        <v>1598</v>
      </c>
      <c r="O306" t="s">
        <v>798</v>
      </c>
      <c r="Q306" t="s">
        <v>979</v>
      </c>
    </row>
    <row r="307" spans="2:17">
      <c r="B307" t="s">
        <v>1596</v>
      </c>
      <c r="C307" t="s">
        <v>787</v>
      </c>
      <c r="D307">
        <v>1.8628973804088301E-7</v>
      </c>
      <c r="E307" t="s">
        <v>94</v>
      </c>
      <c r="H307" t="s">
        <v>588</v>
      </c>
      <c r="I307">
        <v>1.8628973804088301E-7</v>
      </c>
      <c r="J307">
        <v>1.0247973619913604</v>
      </c>
      <c r="N307" t="s">
        <v>1597</v>
      </c>
      <c r="O307" t="s">
        <v>798</v>
      </c>
      <c r="Q307" t="s">
        <v>979</v>
      </c>
    </row>
    <row r="308" spans="2:17">
      <c r="B308" t="s">
        <v>1596</v>
      </c>
      <c r="C308" t="s">
        <v>787</v>
      </c>
      <c r="D308">
        <v>1.11643163401292E-6</v>
      </c>
      <c r="E308" t="s">
        <v>94</v>
      </c>
      <c r="H308" t="s">
        <v>588</v>
      </c>
      <c r="I308">
        <v>1.11643163401292E-6</v>
      </c>
      <c r="J308">
        <v>1.0247973619913604</v>
      </c>
      <c r="N308" t="s">
        <v>1597</v>
      </c>
      <c r="O308" t="s">
        <v>798</v>
      </c>
      <c r="Q308" t="s">
        <v>979</v>
      </c>
    </row>
    <row r="309" spans="2:17">
      <c r="B309" t="s">
        <v>1596</v>
      </c>
      <c r="C309" t="s">
        <v>787</v>
      </c>
      <c r="D309">
        <v>1.1697231259568E-4</v>
      </c>
      <c r="E309" t="s">
        <v>94</v>
      </c>
      <c r="H309" t="s">
        <v>588</v>
      </c>
      <c r="I309">
        <v>1.1697231259568E-4</v>
      </c>
      <c r="J309">
        <v>1.0247973619913604</v>
      </c>
      <c r="N309" t="s">
        <v>1597</v>
      </c>
      <c r="O309" t="s">
        <v>798</v>
      </c>
      <c r="Q309" t="s">
        <v>979</v>
      </c>
    </row>
    <row r="310" spans="2:17">
      <c r="B310" t="s">
        <v>1596</v>
      </c>
      <c r="C310" t="s">
        <v>787</v>
      </c>
      <c r="D310">
        <v>4.6112624927751102E-7</v>
      </c>
      <c r="E310" t="s">
        <v>94</v>
      </c>
      <c r="H310" t="s">
        <v>588</v>
      </c>
      <c r="I310">
        <v>4.6112624927751102E-7</v>
      </c>
      <c r="J310">
        <v>1.0247973619913604</v>
      </c>
      <c r="N310" t="s">
        <v>1597</v>
      </c>
      <c r="O310" t="s">
        <v>798</v>
      </c>
      <c r="Q310" t="s">
        <v>979</v>
      </c>
    </row>
    <row r="311" spans="2:17">
      <c r="B311" t="s">
        <v>1596</v>
      </c>
      <c r="C311" t="s">
        <v>787</v>
      </c>
      <c r="D311">
        <v>8.4433908004776297E-8</v>
      </c>
      <c r="E311" t="s">
        <v>94</v>
      </c>
      <c r="H311" t="s">
        <v>588</v>
      </c>
      <c r="I311">
        <v>8.4433908004776297E-8</v>
      </c>
      <c r="J311">
        <v>1.0247973619913604</v>
      </c>
      <c r="N311" t="s">
        <v>1597</v>
      </c>
      <c r="O311" t="s">
        <v>798</v>
      </c>
      <c r="Q311" t="s">
        <v>979</v>
      </c>
    </row>
    <row r="312" spans="2:17">
      <c r="B312" t="s">
        <v>1596</v>
      </c>
      <c r="C312" t="s">
        <v>787</v>
      </c>
      <c r="D312">
        <v>4.37882483870345E-7</v>
      </c>
      <c r="E312" t="s">
        <v>94</v>
      </c>
      <c r="H312" t="s">
        <v>588</v>
      </c>
      <c r="I312">
        <v>4.37882483870345E-7</v>
      </c>
      <c r="J312">
        <v>1.0247973619913604</v>
      </c>
      <c r="N312" t="s">
        <v>1597</v>
      </c>
      <c r="O312" t="s">
        <v>798</v>
      </c>
      <c r="Q312" t="s">
        <v>979</v>
      </c>
    </row>
    <row r="313" spans="2:17">
      <c r="B313" t="s">
        <v>1599</v>
      </c>
      <c r="C313" t="s">
        <v>787</v>
      </c>
      <c r="D313">
        <v>3.5305003125135097E-8</v>
      </c>
      <c r="E313" t="s">
        <v>94</v>
      </c>
      <c r="H313" t="s">
        <v>588</v>
      </c>
      <c r="I313">
        <v>3.5305003125135097E-8</v>
      </c>
      <c r="J313">
        <v>1.0247973619913604</v>
      </c>
      <c r="N313" t="s">
        <v>1600</v>
      </c>
      <c r="O313" t="s">
        <v>798</v>
      </c>
      <c r="Q313" t="s">
        <v>1601</v>
      </c>
    </row>
    <row r="314" spans="2:17">
      <c r="B314" t="s">
        <v>1599</v>
      </c>
      <c r="C314" t="s">
        <v>787</v>
      </c>
      <c r="D314">
        <v>1.38471913465196E-8</v>
      </c>
      <c r="E314" t="s">
        <v>94</v>
      </c>
      <c r="H314" t="s">
        <v>588</v>
      </c>
      <c r="I314">
        <v>1.38471913465196E-8</v>
      </c>
      <c r="J314">
        <v>1.0247973619913604</v>
      </c>
      <c r="N314" t="s">
        <v>1600</v>
      </c>
      <c r="O314" t="s">
        <v>798</v>
      </c>
      <c r="Q314" t="s">
        <v>1601</v>
      </c>
    </row>
    <row r="315" spans="2:17">
      <c r="B315" t="s">
        <v>1599</v>
      </c>
      <c r="C315" t="s">
        <v>787</v>
      </c>
      <c r="D315">
        <v>5.2839030154538997E-7</v>
      </c>
      <c r="E315" t="s">
        <v>94</v>
      </c>
      <c r="H315" t="s">
        <v>588</v>
      </c>
      <c r="I315">
        <v>5.2839030154538997E-7</v>
      </c>
      <c r="J315">
        <v>1.0247973619913604</v>
      </c>
      <c r="N315" t="s">
        <v>1600</v>
      </c>
      <c r="O315" t="s">
        <v>798</v>
      </c>
      <c r="Q315" t="s">
        <v>1601</v>
      </c>
    </row>
    <row r="316" spans="2:17">
      <c r="B316" t="s">
        <v>1599</v>
      </c>
      <c r="C316" t="s">
        <v>787</v>
      </c>
      <c r="D316">
        <v>2.6700599438062E-9</v>
      </c>
      <c r="E316" t="s">
        <v>94</v>
      </c>
      <c r="H316" t="s">
        <v>588</v>
      </c>
      <c r="I316">
        <v>2.6700599438062E-9</v>
      </c>
      <c r="J316">
        <v>1.0247973619913604</v>
      </c>
      <c r="N316" t="s">
        <v>1600</v>
      </c>
      <c r="O316" t="s">
        <v>798</v>
      </c>
      <c r="Q316" t="s">
        <v>1601</v>
      </c>
    </row>
    <row r="317" spans="2:17">
      <c r="B317" t="s">
        <v>1599</v>
      </c>
      <c r="C317" t="s">
        <v>787</v>
      </c>
      <c r="D317">
        <v>1.4582230721380601E-8</v>
      </c>
      <c r="E317" t="s">
        <v>94</v>
      </c>
      <c r="H317" t="s">
        <v>588</v>
      </c>
      <c r="I317">
        <v>1.4582230721380601E-8</v>
      </c>
      <c r="J317">
        <v>1.0247973619913604</v>
      </c>
      <c r="N317" t="s">
        <v>1600</v>
      </c>
      <c r="O317" t="s">
        <v>798</v>
      </c>
      <c r="Q317" t="s">
        <v>1601</v>
      </c>
    </row>
    <row r="318" spans="2:17">
      <c r="B318" t="s">
        <v>1599</v>
      </c>
      <c r="C318" t="s">
        <v>787</v>
      </c>
      <c r="D318">
        <v>3.6990244059108802E-6</v>
      </c>
      <c r="E318" t="s">
        <v>94</v>
      </c>
      <c r="H318" t="s">
        <v>588</v>
      </c>
      <c r="I318">
        <v>3.6990244059108802E-6</v>
      </c>
      <c r="J318">
        <v>1.0247973619913604</v>
      </c>
      <c r="N318" t="s">
        <v>1600</v>
      </c>
      <c r="O318" t="s">
        <v>798</v>
      </c>
      <c r="Q318" t="s">
        <v>1601</v>
      </c>
    </row>
    <row r="319" spans="2:17">
      <c r="B319" t="s">
        <v>1599</v>
      </c>
      <c r="C319" t="s">
        <v>787</v>
      </c>
      <c r="D319">
        <v>4.5794675539638498E-7</v>
      </c>
      <c r="E319" t="s">
        <v>94</v>
      </c>
      <c r="H319" t="s">
        <v>588</v>
      </c>
      <c r="I319">
        <v>4.5794675539638498E-7</v>
      </c>
      <c r="J319">
        <v>1.0247973619913604</v>
      </c>
      <c r="N319" t="s">
        <v>1602</v>
      </c>
      <c r="O319" t="s">
        <v>798</v>
      </c>
      <c r="Q319" t="s">
        <v>1601</v>
      </c>
    </row>
    <row r="320" spans="2:17">
      <c r="B320" t="s">
        <v>1599</v>
      </c>
      <c r="C320" t="s">
        <v>787</v>
      </c>
      <c r="D320">
        <v>5.8910546632162804E-9</v>
      </c>
      <c r="E320" t="s">
        <v>94</v>
      </c>
      <c r="H320" t="s">
        <v>588</v>
      </c>
      <c r="I320">
        <v>5.8910546632162804E-9</v>
      </c>
      <c r="J320">
        <v>1.0247973619913604</v>
      </c>
      <c r="N320" t="s">
        <v>1600</v>
      </c>
      <c r="O320" t="s">
        <v>798</v>
      </c>
      <c r="Q320" t="s">
        <v>1601</v>
      </c>
    </row>
    <row r="321" spans="2:17">
      <c r="B321" t="s">
        <v>1603</v>
      </c>
      <c r="C321" t="s">
        <v>787</v>
      </c>
      <c r="D321">
        <v>5.82799778360598E-8</v>
      </c>
      <c r="E321" t="s">
        <v>94</v>
      </c>
      <c r="H321" t="s">
        <v>588</v>
      </c>
      <c r="I321">
        <v>5.82799778360598E-8</v>
      </c>
      <c r="J321">
        <v>1.0247973619913604</v>
      </c>
      <c r="N321" t="s">
        <v>1604</v>
      </c>
      <c r="O321" t="s">
        <v>798</v>
      </c>
      <c r="Q321" t="s">
        <v>979</v>
      </c>
    </row>
    <row r="322" spans="2:17">
      <c r="B322" t="s">
        <v>1603</v>
      </c>
      <c r="C322" t="s">
        <v>787</v>
      </c>
      <c r="D322">
        <v>7.7060996492153703E-7</v>
      </c>
      <c r="E322" t="s">
        <v>94</v>
      </c>
      <c r="H322" t="s">
        <v>588</v>
      </c>
      <c r="I322">
        <v>7.7060996492153703E-7</v>
      </c>
      <c r="J322">
        <v>1.0247973619913604</v>
      </c>
      <c r="N322" t="s">
        <v>1604</v>
      </c>
      <c r="O322" t="s">
        <v>798</v>
      </c>
      <c r="Q322" t="s">
        <v>979</v>
      </c>
    </row>
    <row r="323" spans="2:17">
      <c r="B323" t="s">
        <v>1603</v>
      </c>
      <c r="C323" t="s">
        <v>787</v>
      </c>
      <c r="D323">
        <v>9.9957032112736795E-6</v>
      </c>
      <c r="E323" t="s">
        <v>94</v>
      </c>
      <c r="H323" t="s">
        <v>588</v>
      </c>
      <c r="I323">
        <v>9.9957032112736795E-6</v>
      </c>
      <c r="J323">
        <v>1.0247973619913604</v>
      </c>
      <c r="N323" t="s">
        <v>1605</v>
      </c>
      <c r="O323" t="s">
        <v>798</v>
      </c>
      <c r="Q323" t="s">
        <v>979</v>
      </c>
    </row>
    <row r="324" spans="2:17">
      <c r="B324" t="s">
        <v>1603</v>
      </c>
      <c r="C324" t="s">
        <v>787</v>
      </c>
      <c r="D324">
        <v>3.1828951451587997E-7</v>
      </c>
      <c r="E324" t="s">
        <v>94</v>
      </c>
      <c r="H324" t="s">
        <v>588</v>
      </c>
      <c r="I324">
        <v>3.1828951451587997E-7</v>
      </c>
      <c r="J324">
        <v>1.0247973619913604</v>
      </c>
      <c r="N324" t="s">
        <v>1604</v>
      </c>
      <c r="O324" t="s">
        <v>798</v>
      </c>
      <c r="Q324" t="s">
        <v>979</v>
      </c>
    </row>
    <row r="325" spans="2:17">
      <c r="B325" t="s">
        <v>1603</v>
      </c>
      <c r="C325" t="s">
        <v>787</v>
      </c>
      <c r="D325">
        <v>3.0224565056634502E-7</v>
      </c>
      <c r="E325" t="s">
        <v>94</v>
      </c>
      <c r="H325" t="s">
        <v>588</v>
      </c>
      <c r="I325">
        <v>3.0224565056634502E-7</v>
      </c>
      <c r="J325">
        <v>1.0247973619913604</v>
      </c>
      <c r="N325" t="s">
        <v>1604</v>
      </c>
      <c r="O325" t="s">
        <v>798</v>
      </c>
      <c r="Q325" t="s">
        <v>979</v>
      </c>
    </row>
    <row r="326" spans="2:17">
      <c r="B326" t="s">
        <v>1603</v>
      </c>
      <c r="C326" t="s">
        <v>787</v>
      </c>
      <c r="D326">
        <v>1.2858532858024201E-7</v>
      </c>
      <c r="E326" t="s">
        <v>94</v>
      </c>
      <c r="H326" t="s">
        <v>588</v>
      </c>
      <c r="I326">
        <v>1.2858532858024201E-7</v>
      </c>
      <c r="J326">
        <v>1.0247973619913604</v>
      </c>
      <c r="N326" t="s">
        <v>1604</v>
      </c>
      <c r="O326" t="s">
        <v>798</v>
      </c>
      <c r="Q326" t="s">
        <v>979</v>
      </c>
    </row>
    <row r="327" spans="2:17">
      <c r="B327" t="s">
        <v>1603</v>
      </c>
      <c r="C327" t="s">
        <v>787</v>
      </c>
      <c r="D327">
        <v>8.0739408450965298E-5</v>
      </c>
      <c r="E327" t="s">
        <v>94</v>
      </c>
      <c r="H327" t="s">
        <v>588</v>
      </c>
      <c r="I327">
        <v>8.0739408450965298E-5</v>
      </c>
      <c r="J327">
        <v>1.0247973619913604</v>
      </c>
      <c r="N327" t="s">
        <v>1604</v>
      </c>
      <c r="O327" t="s">
        <v>798</v>
      </c>
      <c r="Q327" t="s">
        <v>979</v>
      </c>
    </row>
    <row r="328" spans="2:17">
      <c r="B328" t="s">
        <v>1603</v>
      </c>
      <c r="C328" t="s">
        <v>787</v>
      </c>
      <c r="D328">
        <v>1.15332897803621E-5</v>
      </c>
      <c r="E328" t="s">
        <v>94</v>
      </c>
      <c r="H328" t="s">
        <v>588</v>
      </c>
      <c r="I328">
        <v>1.15332897803621E-5</v>
      </c>
      <c r="J328">
        <v>1.0247973619913604</v>
      </c>
      <c r="N328" t="s">
        <v>1604</v>
      </c>
      <c r="O328" t="s">
        <v>798</v>
      </c>
      <c r="Q328" t="s">
        <v>979</v>
      </c>
    </row>
    <row r="329" spans="2:17">
      <c r="B329" t="s">
        <v>1606</v>
      </c>
      <c r="C329" t="s">
        <v>787</v>
      </c>
      <c r="D329">
        <v>3.7934007766898298E-6</v>
      </c>
      <c r="E329" t="s">
        <v>94</v>
      </c>
      <c r="H329" t="s">
        <v>588</v>
      </c>
      <c r="I329">
        <v>3.7934007766898298E-6</v>
      </c>
      <c r="J329">
        <v>1.0247973619913604</v>
      </c>
      <c r="N329" t="s">
        <v>1607</v>
      </c>
      <c r="O329" t="s">
        <v>1157</v>
      </c>
      <c r="Q329" t="s">
        <v>1608</v>
      </c>
    </row>
    <row r="330" spans="2:17">
      <c r="B330" t="s">
        <v>1609</v>
      </c>
      <c r="C330" t="s">
        <v>670</v>
      </c>
      <c r="D330">
        <v>2.20432876857283E-4</v>
      </c>
      <c r="E330" t="s">
        <v>94</v>
      </c>
      <c r="H330" t="s">
        <v>588</v>
      </c>
      <c r="I330">
        <v>2.20432876857283E-4</v>
      </c>
      <c r="J330">
        <v>1.0247973619913604</v>
      </c>
      <c r="N330" t="s">
        <v>1610</v>
      </c>
      <c r="O330" t="s">
        <v>1140</v>
      </c>
      <c r="Q330" t="s">
        <v>1611</v>
      </c>
    </row>
    <row r="331" spans="2:17">
      <c r="B331" t="s">
        <v>1612</v>
      </c>
      <c r="C331" t="s">
        <v>1613</v>
      </c>
      <c r="D331">
        <v>1.71070734533374E-3</v>
      </c>
      <c r="E331" t="s">
        <v>640</v>
      </c>
      <c r="H331" t="s">
        <v>588</v>
      </c>
      <c r="I331">
        <v>1.71070734533374E-3</v>
      </c>
      <c r="J331">
        <v>1</v>
      </c>
      <c r="N331" t="s">
        <v>1614</v>
      </c>
      <c r="O331" t="s">
        <v>1157</v>
      </c>
      <c r="Q331" t="s">
        <v>1615</v>
      </c>
    </row>
    <row r="332" spans="2:17">
      <c r="B332" t="s">
        <v>251</v>
      </c>
      <c r="C332" t="s">
        <v>887</v>
      </c>
      <c r="D332">
        <v>1.9714037178132E-4</v>
      </c>
      <c r="E332" t="s">
        <v>640</v>
      </c>
      <c r="H332" t="s">
        <v>588</v>
      </c>
      <c r="I332">
        <v>1.9714037178132E-4</v>
      </c>
      <c r="J332">
        <v>1</v>
      </c>
      <c r="O332" t="s">
        <v>1157</v>
      </c>
      <c r="Q332" t="s">
        <v>1616</v>
      </c>
    </row>
    <row r="333" spans="2:17">
      <c r="B333" t="s">
        <v>251</v>
      </c>
      <c r="C333" t="s">
        <v>654</v>
      </c>
      <c r="D333">
        <v>2.6117371851543401E-4</v>
      </c>
      <c r="E333" t="s">
        <v>640</v>
      </c>
      <c r="H333" t="s">
        <v>588</v>
      </c>
      <c r="I333">
        <v>2.6117371851543401E-4</v>
      </c>
      <c r="J333">
        <v>1.2214027581601699</v>
      </c>
      <c r="O333" t="s">
        <v>1028</v>
      </c>
      <c r="Q333" t="s">
        <v>835</v>
      </c>
    </row>
    <row r="334" spans="2:17">
      <c r="B334" t="s">
        <v>789</v>
      </c>
      <c r="C334" t="s">
        <v>661</v>
      </c>
      <c r="D334">
        <v>1.8281497073065801E-2</v>
      </c>
      <c r="E334" t="s">
        <v>640</v>
      </c>
      <c r="H334" t="s">
        <v>588</v>
      </c>
      <c r="I334">
        <v>1.8281497073065801E-2</v>
      </c>
      <c r="J334">
        <v>1</v>
      </c>
      <c r="O334" t="s">
        <v>1157</v>
      </c>
      <c r="Q334" t="s">
        <v>1617</v>
      </c>
    </row>
    <row r="335" spans="2:17">
      <c r="B335" t="s">
        <v>789</v>
      </c>
      <c r="C335" t="s">
        <v>712</v>
      </c>
      <c r="D335">
        <v>9.0593530649260493E-6</v>
      </c>
      <c r="E335" t="s">
        <v>640</v>
      </c>
      <c r="H335" t="s">
        <v>588</v>
      </c>
      <c r="I335">
        <v>9.0593530649260493E-6</v>
      </c>
      <c r="J335">
        <v>1.0247973619913604</v>
      </c>
      <c r="O335" t="s">
        <v>921</v>
      </c>
      <c r="Q335" t="s">
        <v>1618</v>
      </c>
    </row>
    <row r="336" spans="2:17">
      <c r="B336" t="s">
        <v>791</v>
      </c>
      <c r="C336" t="s">
        <v>658</v>
      </c>
      <c r="D336">
        <v>7.2451868638198398E-6</v>
      </c>
      <c r="E336" t="s">
        <v>94</v>
      </c>
      <c r="H336" t="s">
        <v>588</v>
      </c>
      <c r="I336">
        <v>7.2451868638198398E-6</v>
      </c>
      <c r="J336">
        <v>2.2394398661220611</v>
      </c>
      <c r="O336" t="s">
        <v>1157</v>
      </c>
      <c r="Q336" t="s">
        <v>1166</v>
      </c>
    </row>
    <row r="337" spans="1:17">
      <c r="B337" t="s">
        <v>792</v>
      </c>
      <c r="C337" t="s">
        <v>661</v>
      </c>
      <c r="D337">
        <v>8.4821275845415704E-7</v>
      </c>
      <c r="E337" t="s">
        <v>94</v>
      </c>
      <c r="H337" t="s">
        <v>588</v>
      </c>
      <c r="I337">
        <v>8.4821275845415704E-7</v>
      </c>
      <c r="J337">
        <v>2.2394398661220611</v>
      </c>
      <c r="O337" t="s">
        <v>1157</v>
      </c>
      <c r="Q337" t="s">
        <v>1166</v>
      </c>
    </row>
    <row r="339" spans="1:17" ht="21">
      <c r="A339" s="426" t="s">
        <v>1619</v>
      </c>
    </row>
    <row r="341" spans="1:17">
      <c r="A341" s="421" t="s">
        <v>564</v>
      </c>
    </row>
    <row r="342" spans="1:17">
      <c r="A342" s="423" t="s">
        <v>565</v>
      </c>
      <c r="B342" t="s">
        <v>1620</v>
      </c>
    </row>
    <row r="343" spans="1:17">
      <c r="A343" s="423" t="s">
        <v>567</v>
      </c>
      <c r="B343" t="s">
        <v>1112</v>
      </c>
    </row>
    <row r="344" spans="1:17">
      <c r="A344" s="423" t="s">
        <v>568</v>
      </c>
      <c r="B344" t="s">
        <v>667</v>
      </c>
    </row>
    <row r="345" spans="1:17">
      <c r="A345" s="423" t="s">
        <v>585</v>
      </c>
      <c r="B345" t="s">
        <v>1621</v>
      </c>
    </row>
    <row r="347" spans="1:17">
      <c r="A347" s="423" t="s">
        <v>665</v>
      </c>
    </row>
    <row r="348" spans="1:17">
      <c r="A348" s="421" t="s">
        <v>570</v>
      </c>
      <c r="B348" s="421" t="s">
        <v>571</v>
      </c>
      <c r="C348" s="421" t="s">
        <v>568</v>
      </c>
      <c r="D348" s="421" t="s">
        <v>572</v>
      </c>
      <c r="E348" s="421" t="s">
        <v>573</v>
      </c>
      <c r="F348" s="421" t="s">
        <v>574</v>
      </c>
      <c r="G348" s="421" t="s">
        <v>575</v>
      </c>
      <c r="H348" s="421" t="s">
        <v>576</v>
      </c>
      <c r="I348" s="421" t="s">
        <v>577</v>
      </c>
      <c r="J348" s="421" t="s">
        <v>578</v>
      </c>
      <c r="K348" s="421" t="s">
        <v>579</v>
      </c>
      <c r="L348" s="421" t="s">
        <v>580</v>
      </c>
      <c r="M348" s="421" t="s">
        <v>581</v>
      </c>
      <c r="N348" s="421" t="s">
        <v>582</v>
      </c>
      <c r="O348" s="421" t="s">
        <v>583</v>
      </c>
      <c r="P348" s="421" t="s">
        <v>584</v>
      </c>
      <c r="Q348" s="421" t="s">
        <v>585</v>
      </c>
    </row>
    <row r="349" spans="1:17">
      <c r="B349" t="s">
        <v>1622</v>
      </c>
      <c r="C349" t="s">
        <v>673</v>
      </c>
      <c r="D349">
        <v>4.6022895191729798E-7</v>
      </c>
      <c r="E349" t="s">
        <v>94</v>
      </c>
      <c r="H349" t="s">
        <v>588</v>
      </c>
      <c r="I349">
        <v>4.6022895191729798E-7</v>
      </c>
      <c r="J349">
        <v>1.0247973619913604</v>
      </c>
      <c r="N349" t="s">
        <v>1623</v>
      </c>
      <c r="O349" t="s">
        <v>1624</v>
      </c>
      <c r="Q349" t="s">
        <v>1625</v>
      </c>
    </row>
    <row r="350" spans="1:17">
      <c r="B350" t="s">
        <v>1626</v>
      </c>
      <c r="C350" t="s">
        <v>664</v>
      </c>
      <c r="D350">
        <v>4.7976467261193401E-4</v>
      </c>
      <c r="E350" t="s">
        <v>94</v>
      </c>
      <c r="H350" t="s">
        <v>588</v>
      </c>
      <c r="I350">
        <v>4.7976467261193401E-4</v>
      </c>
      <c r="J350">
        <v>1.151909910168909</v>
      </c>
      <c r="N350" t="s">
        <v>1627</v>
      </c>
      <c r="O350" t="s">
        <v>1628</v>
      </c>
      <c r="Q350" t="s">
        <v>1629</v>
      </c>
    </row>
    <row r="351" spans="1:17">
      <c r="B351" t="s">
        <v>1630</v>
      </c>
      <c r="C351" t="s">
        <v>664</v>
      </c>
      <c r="D351">
        <v>2.64894435729625E-7</v>
      </c>
      <c r="E351" t="s">
        <v>94</v>
      </c>
      <c r="H351" t="s">
        <v>588</v>
      </c>
      <c r="I351">
        <v>2.64894435729625E-7</v>
      </c>
      <c r="J351">
        <v>1</v>
      </c>
      <c r="N351" t="s">
        <v>1631</v>
      </c>
      <c r="O351" t="s">
        <v>1632</v>
      </c>
      <c r="Q351" t="s">
        <v>1633</v>
      </c>
    </row>
    <row r="352" spans="1:17">
      <c r="B352" t="s">
        <v>1634</v>
      </c>
      <c r="C352" t="s">
        <v>1635</v>
      </c>
      <c r="D352">
        <v>1.24509069195066E-6</v>
      </c>
      <c r="E352" t="s">
        <v>94</v>
      </c>
      <c r="H352" t="s">
        <v>588</v>
      </c>
      <c r="I352">
        <v>1.24509069195066E-6</v>
      </c>
      <c r="J352">
        <v>1.074399999999982</v>
      </c>
      <c r="N352" t="s">
        <v>1636</v>
      </c>
      <c r="O352" t="s">
        <v>589</v>
      </c>
      <c r="Q352" t="s">
        <v>1637</v>
      </c>
    </row>
    <row r="353" spans="2:17">
      <c r="B353" t="s">
        <v>1638</v>
      </c>
      <c r="C353" t="s">
        <v>1635</v>
      </c>
      <c r="D353">
        <v>7.9633629790274303E-8</v>
      </c>
      <c r="E353" t="s">
        <v>94</v>
      </c>
      <c r="H353" t="s">
        <v>588</v>
      </c>
      <c r="I353">
        <v>7.9633629790274303E-8</v>
      </c>
      <c r="J353">
        <v>1.0247973619913604</v>
      </c>
      <c r="N353" t="s">
        <v>1639</v>
      </c>
      <c r="O353" t="s">
        <v>834</v>
      </c>
      <c r="Q353" t="s">
        <v>1640</v>
      </c>
    </row>
    <row r="354" spans="2:17">
      <c r="B354" t="s">
        <v>1641</v>
      </c>
      <c r="C354" t="s">
        <v>673</v>
      </c>
      <c r="D354">
        <v>2.6905707659503398E-4</v>
      </c>
      <c r="E354" t="s">
        <v>94</v>
      </c>
      <c r="H354" t="s">
        <v>588</v>
      </c>
      <c r="I354">
        <v>2.6905707659503398E-4</v>
      </c>
      <c r="J354">
        <v>1.0247973619913604</v>
      </c>
      <c r="N354" t="s">
        <v>1642</v>
      </c>
      <c r="O354" t="s">
        <v>641</v>
      </c>
      <c r="Q354" t="s">
        <v>1643</v>
      </c>
    </row>
    <row r="355" spans="2:17">
      <c r="B355" t="s">
        <v>1644</v>
      </c>
      <c r="C355" t="s">
        <v>673</v>
      </c>
      <c r="D355">
        <v>1.4414578237265999E-5</v>
      </c>
      <c r="E355" t="s">
        <v>94</v>
      </c>
      <c r="H355" t="s">
        <v>588</v>
      </c>
      <c r="I355">
        <v>1.4414578237265999E-5</v>
      </c>
      <c r="J355">
        <v>1</v>
      </c>
      <c r="N355" t="s">
        <v>1645</v>
      </c>
      <c r="O355" t="s">
        <v>1054</v>
      </c>
      <c r="Q355" t="s">
        <v>595</v>
      </c>
    </row>
    <row r="356" spans="2:17">
      <c r="B356" t="s">
        <v>1644</v>
      </c>
      <c r="C356" t="s">
        <v>673</v>
      </c>
      <c r="D356">
        <v>1.8487887246789301E-5</v>
      </c>
      <c r="E356" t="s">
        <v>94</v>
      </c>
      <c r="H356" t="s">
        <v>588</v>
      </c>
      <c r="I356">
        <v>1.8487887246789301E-5</v>
      </c>
      <c r="J356">
        <v>1</v>
      </c>
      <c r="N356" t="s">
        <v>1645</v>
      </c>
      <c r="O356" t="s">
        <v>594</v>
      </c>
      <c r="Q356" t="s">
        <v>595</v>
      </c>
    </row>
    <row r="357" spans="2:17">
      <c r="B357" t="s">
        <v>1646</v>
      </c>
      <c r="C357" t="s">
        <v>673</v>
      </c>
      <c r="D357">
        <v>1.17977058338518E-8</v>
      </c>
      <c r="E357" t="s">
        <v>94</v>
      </c>
      <c r="H357" t="s">
        <v>588</v>
      </c>
      <c r="I357">
        <v>1.17977058338518E-8</v>
      </c>
      <c r="J357">
        <v>1</v>
      </c>
      <c r="N357" t="s">
        <v>1647</v>
      </c>
      <c r="O357" t="s">
        <v>956</v>
      </c>
      <c r="Q357" t="s">
        <v>1648</v>
      </c>
    </row>
    <row r="358" spans="2:17">
      <c r="B358" t="s">
        <v>1646</v>
      </c>
      <c r="C358" t="s">
        <v>673</v>
      </c>
      <c r="D358">
        <v>1.01791940272081E-7</v>
      </c>
      <c r="E358" t="s">
        <v>94</v>
      </c>
      <c r="H358" t="s">
        <v>588</v>
      </c>
      <c r="I358">
        <v>1.01791940272081E-7</v>
      </c>
      <c r="J358">
        <v>1.0247973619913604</v>
      </c>
      <c r="N358" t="s">
        <v>1647</v>
      </c>
      <c r="O358" t="s">
        <v>1649</v>
      </c>
      <c r="Q358" t="s">
        <v>1648</v>
      </c>
    </row>
    <row r="359" spans="2:17">
      <c r="B359" t="s">
        <v>1650</v>
      </c>
      <c r="C359" t="s">
        <v>673</v>
      </c>
      <c r="D359">
        <v>7.8786145525565301E-9</v>
      </c>
      <c r="E359" t="s">
        <v>94</v>
      </c>
      <c r="H359" t="s">
        <v>588</v>
      </c>
      <c r="I359">
        <v>7.8786145525565301E-9</v>
      </c>
      <c r="J359">
        <v>1.0247973619913604</v>
      </c>
      <c r="N359" t="s">
        <v>1651</v>
      </c>
      <c r="O359" t="s">
        <v>641</v>
      </c>
      <c r="Q359" t="s">
        <v>1643</v>
      </c>
    </row>
    <row r="360" spans="2:17">
      <c r="B360" t="s">
        <v>1650</v>
      </c>
      <c r="C360" t="s">
        <v>673</v>
      </c>
      <c r="D360">
        <v>4.9658973413573395E-4</v>
      </c>
      <c r="E360" t="s">
        <v>94</v>
      </c>
      <c r="H360" t="s">
        <v>588</v>
      </c>
      <c r="I360">
        <v>4.9658973413573395E-4</v>
      </c>
      <c r="J360">
        <v>1.0247973619913604</v>
      </c>
      <c r="N360" t="s">
        <v>1651</v>
      </c>
      <c r="O360" t="s">
        <v>641</v>
      </c>
      <c r="Q360" t="s">
        <v>1643</v>
      </c>
    </row>
    <row r="361" spans="2:17">
      <c r="B361" t="s">
        <v>1652</v>
      </c>
      <c r="C361" t="s">
        <v>1143</v>
      </c>
      <c r="D361">
        <v>1.8960895301756199E-8</v>
      </c>
      <c r="E361" t="s">
        <v>94</v>
      </c>
      <c r="H361" t="s">
        <v>588</v>
      </c>
      <c r="I361">
        <v>1.8960895301756199E-8</v>
      </c>
      <c r="J361">
        <v>1</v>
      </c>
      <c r="N361" t="s">
        <v>1653</v>
      </c>
      <c r="O361" t="s">
        <v>1654</v>
      </c>
      <c r="Q361" t="s">
        <v>595</v>
      </c>
    </row>
    <row r="362" spans="2:17">
      <c r="B362" t="s">
        <v>1655</v>
      </c>
      <c r="C362" t="s">
        <v>1143</v>
      </c>
      <c r="D362">
        <v>5.4265296689455701E-5</v>
      </c>
      <c r="E362" t="s">
        <v>94</v>
      </c>
      <c r="H362" t="s">
        <v>588</v>
      </c>
      <c r="I362">
        <v>5.4265296689455701E-5</v>
      </c>
      <c r="J362">
        <v>1.0247973619913604</v>
      </c>
      <c r="N362" t="s">
        <v>1656</v>
      </c>
      <c r="O362" t="s">
        <v>1657</v>
      </c>
      <c r="Q362" t="s">
        <v>1658</v>
      </c>
    </row>
    <row r="363" spans="2:17">
      <c r="B363" t="s">
        <v>1655</v>
      </c>
      <c r="C363" t="s">
        <v>1143</v>
      </c>
      <c r="D363">
        <v>6.4190304062198495E-5</v>
      </c>
      <c r="E363" t="s">
        <v>94</v>
      </c>
      <c r="H363" t="s">
        <v>588</v>
      </c>
      <c r="I363">
        <v>6.4190304062198495E-5</v>
      </c>
      <c r="J363">
        <v>1.0247973619913604</v>
      </c>
      <c r="N363" t="s">
        <v>1656</v>
      </c>
      <c r="O363" t="s">
        <v>1659</v>
      </c>
      <c r="Q363" t="s">
        <v>1658</v>
      </c>
    </row>
    <row r="364" spans="2:17">
      <c r="B364" t="s">
        <v>1660</v>
      </c>
      <c r="C364" t="s">
        <v>1143</v>
      </c>
      <c r="D364">
        <v>6.5601880868858102E-7</v>
      </c>
      <c r="E364" t="s">
        <v>94</v>
      </c>
      <c r="H364" t="s">
        <v>588</v>
      </c>
      <c r="I364">
        <v>6.5601880868858102E-7</v>
      </c>
      <c r="J364">
        <v>1.1051709180756477</v>
      </c>
      <c r="N364" t="s">
        <v>1661</v>
      </c>
      <c r="O364" t="s">
        <v>921</v>
      </c>
      <c r="Q364" t="s">
        <v>595</v>
      </c>
    </row>
    <row r="365" spans="2:17">
      <c r="B365" t="s">
        <v>1662</v>
      </c>
      <c r="C365" t="s">
        <v>1143</v>
      </c>
      <c r="D365">
        <v>6.8635271009984103E-5</v>
      </c>
      <c r="E365" t="s">
        <v>94</v>
      </c>
      <c r="H365" t="s">
        <v>588</v>
      </c>
      <c r="I365">
        <v>6.8635271009984103E-5</v>
      </c>
      <c r="J365">
        <v>1.499999999999694</v>
      </c>
      <c r="N365" t="s">
        <v>1663</v>
      </c>
      <c r="O365" t="s">
        <v>952</v>
      </c>
      <c r="Q365" t="s">
        <v>1664</v>
      </c>
    </row>
    <row r="366" spans="2:17">
      <c r="B366" t="s">
        <v>1662</v>
      </c>
      <c r="C366" t="s">
        <v>1143</v>
      </c>
      <c r="D366">
        <v>2.9054317148551199E-5</v>
      </c>
      <c r="E366" t="s">
        <v>94</v>
      </c>
      <c r="H366" t="s">
        <v>588</v>
      </c>
      <c r="I366">
        <v>2.9054317148551199E-5</v>
      </c>
      <c r="J366">
        <v>1.499999999999694</v>
      </c>
      <c r="N366" t="s">
        <v>1663</v>
      </c>
      <c r="O366" t="s">
        <v>952</v>
      </c>
      <c r="Q366" t="s">
        <v>1664</v>
      </c>
    </row>
    <row r="367" spans="2:17">
      <c r="B367" t="s">
        <v>1133</v>
      </c>
      <c r="C367" t="s">
        <v>701</v>
      </c>
      <c r="D367">
        <v>1.24873949878396E-4</v>
      </c>
      <c r="E367" t="s">
        <v>94</v>
      </c>
      <c r="H367" t="s">
        <v>588</v>
      </c>
      <c r="I367">
        <v>1.24873949878396E-4</v>
      </c>
      <c r="J367">
        <v>1.0805386501323246</v>
      </c>
      <c r="N367" t="s">
        <v>1134</v>
      </c>
      <c r="O367" t="s">
        <v>1665</v>
      </c>
      <c r="Q367" t="s">
        <v>1666</v>
      </c>
    </row>
    <row r="368" spans="2:17">
      <c r="B368" t="s">
        <v>1667</v>
      </c>
      <c r="C368" t="s">
        <v>673</v>
      </c>
      <c r="D368">
        <v>7.0219211731131197E-6</v>
      </c>
      <c r="E368" t="s">
        <v>94</v>
      </c>
      <c r="H368" t="s">
        <v>588</v>
      </c>
      <c r="I368">
        <v>7.0219211731131197E-6</v>
      </c>
      <c r="J368">
        <v>1.0247973619913604</v>
      </c>
      <c r="N368" t="s">
        <v>1668</v>
      </c>
      <c r="O368" t="s">
        <v>1669</v>
      </c>
      <c r="Q368" t="s">
        <v>1545</v>
      </c>
    </row>
    <row r="369" spans="2:17">
      <c r="B369" t="s">
        <v>1670</v>
      </c>
      <c r="C369" t="s">
        <v>673</v>
      </c>
      <c r="D369">
        <v>2.8049112144068399E-6</v>
      </c>
      <c r="E369" t="s">
        <v>94</v>
      </c>
      <c r="H369" t="s">
        <v>588</v>
      </c>
      <c r="I369">
        <v>2.8049112144068399E-6</v>
      </c>
      <c r="J369">
        <v>1.0247973619913604</v>
      </c>
      <c r="N369" t="s">
        <v>1671</v>
      </c>
      <c r="O369" t="s">
        <v>641</v>
      </c>
      <c r="Q369" t="s">
        <v>1672</v>
      </c>
    </row>
    <row r="370" spans="2:17">
      <c r="B370" t="s">
        <v>1673</v>
      </c>
      <c r="C370" t="s">
        <v>1138</v>
      </c>
      <c r="D370">
        <v>1.03738597771344E-7</v>
      </c>
      <c r="E370" t="s">
        <v>94</v>
      </c>
      <c r="H370" t="s">
        <v>588</v>
      </c>
      <c r="I370">
        <v>1.03738597771344E-7</v>
      </c>
      <c r="J370">
        <v>1.1051709180756477</v>
      </c>
      <c r="N370" t="s">
        <v>1674</v>
      </c>
      <c r="O370" t="s">
        <v>1675</v>
      </c>
      <c r="Q370" t="s">
        <v>1545</v>
      </c>
    </row>
    <row r="371" spans="2:17">
      <c r="B371" t="s">
        <v>1673</v>
      </c>
      <c r="C371" t="s">
        <v>1138</v>
      </c>
      <c r="D371">
        <v>1.03738274920495E-7</v>
      </c>
      <c r="E371" t="s">
        <v>94</v>
      </c>
      <c r="H371" t="s">
        <v>588</v>
      </c>
      <c r="I371">
        <v>1.03738274920495E-7</v>
      </c>
      <c r="J371">
        <v>1.1051709180756477</v>
      </c>
      <c r="N371" t="s">
        <v>1674</v>
      </c>
      <c r="O371" t="s">
        <v>1632</v>
      </c>
      <c r="Q371" t="s">
        <v>1545</v>
      </c>
    </row>
    <row r="372" spans="2:17">
      <c r="B372" t="s">
        <v>1676</v>
      </c>
      <c r="C372" t="s">
        <v>673</v>
      </c>
      <c r="D372">
        <v>5.0002749513880803E-10</v>
      </c>
      <c r="E372" t="s">
        <v>94</v>
      </c>
      <c r="H372" t="s">
        <v>588</v>
      </c>
      <c r="I372">
        <v>5.0002749513880803E-10</v>
      </c>
      <c r="J372">
        <v>1.0247973619913604</v>
      </c>
      <c r="N372" t="s">
        <v>1677</v>
      </c>
      <c r="O372" t="s">
        <v>1678</v>
      </c>
      <c r="Q372" t="s">
        <v>1679</v>
      </c>
    </row>
    <row r="373" spans="2:17">
      <c r="B373" t="s">
        <v>1680</v>
      </c>
      <c r="C373" t="s">
        <v>1681</v>
      </c>
      <c r="D373">
        <v>4.7366402889632301E-5</v>
      </c>
      <c r="E373" t="s">
        <v>94</v>
      </c>
      <c r="H373" t="s">
        <v>588</v>
      </c>
      <c r="I373">
        <v>4.7366402889632301E-5</v>
      </c>
      <c r="J373">
        <v>1.499999999999694</v>
      </c>
      <c r="N373" t="s">
        <v>1682</v>
      </c>
      <c r="O373" t="s">
        <v>952</v>
      </c>
      <c r="Q373" t="s">
        <v>1683</v>
      </c>
    </row>
    <row r="374" spans="2:17">
      <c r="B374" t="s">
        <v>1684</v>
      </c>
      <c r="C374" t="s">
        <v>1681</v>
      </c>
      <c r="D374">
        <v>3.1174939216530101E-7</v>
      </c>
      <c r="E374" t="s">
        <v>94</v>
      </c>
      <c r="H374" t="s">
        <v>588</v>
      </c>
      <c r="I374">
        <v>3.1174939216530101E-7</v>
      </c>
      <c r="J374">
        <v>3.103899999993966</v>
      </c>
      <c r="N374" t="s">
        <v>1685</v>
      </c>
      <c r="O374" t="s">
        <v>1686</v>
      </c>
      <c r="Q374" t="s">
        <v>1687</v>
      </c>
    </row>
    <row r="375" spans="2:17">
      <c r="B375" t="s">
        <v>1688</v>
      </c>
      <c r="C375" t="s">
        <v>1689</v>
      </c>
      <c r="D375">
        <v>4.8838468146569702E-8</v>
      </c>
      <c r="E375" t="s">
        <v>616</v>
      </c>
      <c r="H375" t="s">
        <v>588</v>
      </c>
      <c r="I375">
        <v>4.8838468146569702E-8</v>
      </c>
      <c r="J375">
        <v>1.0247973619913604</v>
      </c>
      <c r="N375" t="s">
        <v>1690</v>
      </c>
      <c r="O375" t="s">
        <v>1691</v>
      </c>
      <c r="Q375" t="s">
        <v>1692</v>
      </c>
    </row>
    <row r="376" spans="2:17">
      <c r="B376" t="s">
        <v>1693</v>
      </c>
      <c r="C376" t="s">
        <v>1689</v>
      </c>
      <c r="D376">
        <v>7.3223698071175303E-8</v>
      </c>
      <c r="E376" t="s">
        <v>616</v>
      </c>
      <c r="H376" t="s">
        <v>588</v>
      </c>
      <c r="I376">
        <v>7.3223698071175303E-8</v>
      </c>
      <c r="J376">
        <v>1.0247973619913604</v>
      </c>
      <c r="N376" t="s">
        <v>1694</v>
      </c>
      <c r="O376" t="s">
        <v>1695</v>
      </c>
      <c r="Q376" t="s">
        <v>1696</v>
      </c>
    </row>
    <row r="377" spans="2:17">
      <c r="B377" t="s">
        <v>1697</v>
      </c>
      <c r="C377" t="s">
        <v>1698</v>
      </c>
      <c r="D377">
        <v>5.6752719189860201E-5</v>
      </c>
      <c r="E377" t="s">
        <v>616</v>
      </c>
      <c r="H377" t="s">
        <v>588</v>
      </c>
      <c r="I377">
        <v>5.6752719189860201E-5</v>
      </c>
      <c r="J377">
        <v>1</v>
      </c>
      <c r="N377" t="s">
        <v>1699</v>
      </c>
      <c r="O377" t="s">
        <v>1700</v>
      </c>
      <c r="Q377" t="s">
        <v>1701</v>
      </c>
    </row>
    <row r="378" spans="2:17">
      <c r="B378" t="s">
        <v>1702</v>
      </c>
      <c r="C378" t="s">
        <v>1698</v>
      </c>
      <c r="D378">
        <v>2.8098290253293501E-5</v>
      </c>
      <c r="E378" t="s">
        <v>616</v>
      </c>
      <c r="H378" t="s">
        <v>588</v>
      </c>
      <c r="I378">
        <v>2.8098290253293501E-5</v>
      </c>
      <c r="J378">
        <v>1</v>
      </c>
      <c r="N378" t="s">
        <v>1703</v>
      </c>
      <c r="O378" t="s">
        <v>882</v>
      </c>
      <c r="Q378" t="s">
        <v>1701</v>
      </c>
    </row>
    <row r="379" spans="2:17">
      <c r="B379" t="s">
        <v>1704</v>
      </c>
      <c r="C379" t="s">
        <v>1698</v>
      </c>
      <c r="D379">
        <v>2.9037544482881999E-4</v>
      </c>
      <c r="E379" t="s">
        <v>616</v>
      </c>
      <c r="H379" t="s">
        <v>588</v>
      </c>
      <c r="I379">
        <v>2.9037544482881999E-4</v>
      </c>
      <c r="J379">
        <v>1</v>
      </c>
      <c r="N379" t="s">
        <v>1705</v>
      </c>
      <c r="O379" t="s">
        <v>882</v>
      </c>
      <c r="Q379" t="s">
        <v>595</v>
      </c>
    </row>
    <row r="380" spans="2:17">
      <c r="B380" t="s">
        <v>1706</v>
      </c>
      <c r="C380" t="s">
        <v>1698</v>
      </c>
      <c r="D380">
        <v>6.8772733093556905E-4</v>
      </c>
      <c r="E380" t="s">
        <v>616</v>
      </c>
      <c r="H380" t="s">
        <v>588</v>
      </c>
      <c r="I380">
        <v>6.8772733093556905E-4</v>
      </c>
      <c r="J380">
        <v>1</v>
      </c>
      <c r="N380" t="s">
        <v>1707</v>
      </c>
      <c r="O380" t="s">
        <v>882</v>
      </c>
      <c r="Q380" t="s">
        <v>1701</v>
      </c>
    </row>
    <row r="381" spans="2:17">
      <c r="B381" t="s">
        <v>1142</v>
      </c>
      <c r="C381" t="s">
        <v>1143</v>
      </c>
      <c r="D381">
        <v>7.5318608378624496E-5</v>
      </c>
      <c r="E381" t="s">
        <v>94</v>
      </c>
      <c r="H381" t="s">
        <v>588</v>
      </c>
      <c r="I381">
        <v>7.5318608378624496E-5</v>
      </c>
      <c r="J381">
        <v>1.2214027581601699</v>
      </c>
      <c r="N381" t="s">
        <v>1144</v>
      </c>
      <c r="O381" t="s">
        <v>1145</v>
      </c>
      <c r="Q381" t="s">
        <v>595</v>
      </c>
    </row>
    <row r="382" spans="2:17">
      <c r="B382" t="s">
        <v>1142</v>
      </c>
      <c r="C382" t="s">
        <v>1143</v>
      </c>
      <c r="D382">
        <v>1.6907095810958501E-5</v>
      </c>
      <c r="E382" t="s">
        <v>94</v>
      </c>
      <c r="H382" t="s">
        <v>588</v>
      </c>
      <c r="I382">
        <v>1.6907095810958501E-5</v>
      </c>
      <c r="J382">
        <v>1.2214027581601699</v>
      </c>
      <c r="N382" t="s">
        <v>1144</v>
      </c>
      <c r="O382" t="s">
        <v>1708</v>
      </c>
      <c r="Q382" t="s">
        <v>595</v>
      </c>
    </row>
    <row r="383" spans="2:17">
      <c r="B383" t="s">
        <v>1709</v>
      </c>
      <c r="C383" t="s">
        <v>1143</v>
      </c>
      <c r="D383">
        <v>2.8252819572149498E-7</v>
      </c>
      <c r="E383" t="s">
        <v>94</v>
      </c>
      <c r="H383" t="s">
        <v>588</v>
      </c>
      <c r="I383">
        <v>2.8252819572149498E-7</v>
      </c>
      <c r="J383">
        <v>1.0805386501323246</v>
      </c>
      <c r="N383" t="s">
        <v>1710</v>
      </c>
      <c r="O383" t="s">
        <v>1711</v>
      </c>
      <c r="Q383" t="s">
        <v>1712</v>
      </c>
    </row>
    <row r="384" spans="2:17">
      <c r="B384" t="s">
        <v>1709</v>
      </c>
      <c r="C384" t="s">
        <v>1143</v>
      </c>
      <c r="D384">
        <v>6.8904164333985306E-5</v>
      </c>
      <c r="E384" t="s">
        <v>94</v>
      </c>
      <c r="H384" t="s">
        <v>588</v>
      </c>
      <c r="I384">
        <v>6.8904164333985306E-5</v>
      </c>
      <c r="J384">
        <v>1.0247973619913604</v>
      </c>
      <c r="N384" t="s">
        <v>1710</v>
      </c>
      <c r="O384" t="s">
        <v>1713</v>
      </c>
      <c r="Q384" t="s">
        <v>1714</v>
      </c>
    </row>
    <row r="385" spans="2:17">
      <c r="B385" t="s">
        <v>1715</v>
      </c>
      <c r="C385" t="s">
        <v>1143</v>
      </c>
      <c r="D385">
        <v>7.8656884054033893E-9</v>
      </c>
      <c r="E385" t="s">
        <v>94</v>
      </c>
      <c r="H385" t="s">
        <v>588</v>
      </c>
      <c r="I385">
        <v>7.8656884054033893E-9</v>
      </c>
      <c r="J385">
        <v>1.1051709180756477</v>
      </c>
      <c r="N385" t="s">
        <v>1716</v>
      </c>
      <c r="O385" t="s">
        <v>921</v>
      </c>
      <c r="Q385" t="s">
        <v>595</v>
      </c>
    </row>
    <row r="386" spans="2:17">
      <c r="B386" t="s">
        <v>1717</v>
      </c>
      <c r="C386" t="s">
        <v>708</v>
      </c>
      <c r="D386">
        <v>2.3015633608530899E-6</v>
      </c>
      <c r="E386" t="s">
        <v>94</v>
      </c>
      <c r="H386" t="s">
        <v>588</v>
      </c>
      <c r="I386">
        <v>2.3015633608530899E-6</v>
      </c>
      <c r="J386">
        <v>1.0247973619913604</v>
      </c>
      <c r="N386" t="s">
        <v>1718</v>
      </c>
      <c r="O386" t="s">
        <v>1719</v>
      </c>
      <c r="Q386" t="s">
        <v>1720</v>
      </c>
    </row>
    <row r="387" spans="2:17">
      <c r="B387" t="s">
        <v>1721</v>
      </c>
      <c r="C387" t="s">
        <v>673</v>
      </c>
      <c r="D387">
        <v>2.9149812013511202E-5</v>
      </c>
      <c r="E387" t="s">
        <v>94</v>
      </c>
      <c r="H387" t="s">
        <v>588</v>
      </c>
      <c r="I387">
        <v>2.9149812013511202E-5</v>
      </c>
      <c r="J387">
        <v>1.0247973619913604</v>
      </c>
      <c r="N387" t="s">
        <v>1722</v>
      </c>
      <c r="O387" t="s">
        <v>641</v>
      </c>
      <c r="Q387" t="s">
        <v>1723</v>
      </c>
    </row>
    <row r="388" spans="2:17">
      <c r="B388" t="s">
        <v>1724</v>
      </c>
      <c r="C388" t="s">
        <v>1725</v>
      </c>
      <c r="D388">
        <v>1.35300080465249E-4</v>
      </c>
      <c r="E388" t="s">
        <v>94</v>
      </c>
      <c r="N388" t="s">
        <v>1726</v>
      </c>
    </row>
    <row r="389" spans="2:17">
      <c r="B389" t="s">
        <v>1724</v>
      </c>
      <c r="C389" t="s">
        <v>1725</v>
      </c>
      <c r="D389">
        <v>3.4302877656142098E-6</v>
      </c>
      <c r="E389" t="s">
        <v>94</v>
      </c>
      <c r="N389" t="s">
        <v>1726</v>
      </c>
    </row>
    <row r="390" spans="2:17">
      <c r="B390" t="s">
        <v>1724</v>
      </c>
      <c r="C390" t="s">
        <v>1725</v>
      </c>
      <c r="D390">
        <v>1.01658488473999E-4</v>
      </c>
      <c r="E390" t="s">
        <v>94</v>
      </c>
      <c r="N390" t="s">
        <v>1726</v>
      </c>
    </row>
    <row r="391" spans="2:17">
      <c r="B391" t="s">
        <v>1724</v>
      </c>
      <c r="C391" t="s">
        <v>1725</v>
      </c>
      <c r="D391">
        <v>2.8846662804583399E-5</v>
      </c>
      <c r="E391" t="s">
        <v>94</v>
      </c>
      <c r="N391" t="s">
        <v>1727</v>
      </c>
      <c r="Q391" t="s">
        <v>1728</v>
      </c>
    </row>
    <row r="392" spans="2:17">
      <c r="B392" t="s">
        <v>1729</v>
      </c>
      <c r="C392" t="s">
        <v>667</v>
      </c>
      <c r="D392">
        <v>5.1133281727852099E-4</v>
      </c>
      <c r="E392" t="s">
        <v>94</v>
      </c>
      <c r="H392" t="s">
        <v>588</v>
      </c>
      <c r="I392">
        <v>5.1133281727852099E-4</v>
      </c>
      <c r="J392">
        <v>1.1051709180756477</v>
      </c>
      <c r="N392" t="s">
        <v>1730</v>
      </c>
      <c r="O392" t="s">
        <v>1731</v>
      </c>
      <c r="Q392" t="s">
        <v>595</v>
      </c>
    </row>
    <row r="393" spans="2:17">
      <c r="B393" t="s">
        <v>1732</v>
      </c>
      <c r="C393" t="s">
        <v>667</v>
      </c>
      <c r="D393">
        <v>1.0100267268446901E-4</v>
      </c>
      <c r="E393" t="s">
        <v>94</v>
      </c>
      <c r="H393" t="s">
        <v>1733</v>
      </c>
      <c r="I393">
        <v>1.0100267268446901E-4</v>
      </c>
      <c r="K393">
        <v>1.0100267268446901E-4</v>
      </c>
      <c r="L393">
        <v>1.0100267268446901E-4</v>
      </c>
      <c r="N393" t="s">
        <v>1734</v>
      </c>
      <c r="O393" t="s">
        <v>1735</v>
      </c>
      <c r="Q393" t="s">
        <v>1736</v>
      </c>
    </row>
    <row r="394" spans="2:17">
      <c r="B394" t="s">
        <v>1147</v>
      </c>
      <c r="C394" t="s">
        <v>857</v>
      </c>
      <c r="D394">
        <v>1.12472498548792E-14</v>
      </c>
      <c r="E394" t="s">
        <v>616</v>
      </c>
      <c r="H394" t="s">
        <v>588</v>
      </c>
      <c r="I394">
        <v>1.12472498548792E-14</v>
      </c>
      <c r="J394">
        <v>1.8221188003905089</v>
      </c>
      <c r="N394" t="s">
        <v>1148</v>
      </c>
      <c r="O394" t="s">
        <v>952</v>
      </c>
      <c r="Q394" t="s">
        <v>1737</v>
      </c>
    </row>
    <row r="395" spans="2:17">
      <c r="B395" t="s">
        <v>1738</v>
      </c>
      <c r="C395" t="s">
        <v>673</v>
      </c>
      <c r="D395">
        <v>2.9587538060490799E-10</v>
      </c>
      <c r="E395" t="s">
        <v>94</v>
      </c>
      <c r="H395" t="s">
        <v>588</v>
      </c>
      <c r="I395">
        <v>2.9587538060490799E-10</v>
      </c>
      <c r="J395">
        <v>1.0247973619913604</v>
      </c>
      <c r="N395" t="s">
        <v>1739</v>
      </c>
      <c r="O395" t="s">
        <v>641</v>
      </c>
      <c r="Q395" t="s">
        <v>1643</v>
      </c>
    </row>
    <row r="396" spans="2:17">
      <c r="B396" t="s">
        <v>666</v>
      </c>
      <c r="C396" t="s">
        <v>667</v>
      </c>
      <c r="D396">
        <v>6.1122260086256001E-5</v>
      </c>
      <c r="E396" t="s">
        <v>94</v>
      </c>
      <c r="H396" t="s">
        <v>588</v>
      </c>
      <c r="I396">
        <v>6.1122260086256001E-5</v>
      </c>
      <c r="J396">
        <v>1.0247973619913604</v>
      </c>
      <c r="N396" t="s">
        <v>668</v>
      </c>
      <c r="O396" t="s">
        <v>1157</v>
      </c>
      <c r="Q396" t="s">
        <v>1740</v>
      </c>
    </row>
    <row r="397" spans="2:17">
      <c r="B397" t="s">
        <v>666</v>
      </c>
      <c r="C397" t="s">
        <v>667</v>
      </c>
      <c r="D397">
        <v>4.87603202520695E-5</v>
      </c>
      <c r="E397" t="s">
        <v>94</v>
      </c>
      <c r="H397" t="s">
        <v>588</v>
      </c>
      <c r="I397">
        <v>4.87603202520695E-5</v>
      </c>
      <c r="J397">
        <v>1.1051709180756477</v>
      </c>
      <c r="N397" t="s">
        <v>668</v>
      </c>
      <c r="O397" t="s">
        <v>1741</v>
      </c>
      <c r="Q397" t="s">
        <v>595</v>
      </c>
    </row>
    <row r="398" spans="2:17">
      <c r="B398" t="s">
        <v>1742</v>
      </c>
      <c r="C398" t="s">
        <v>673</v>
      </c>
      <c r="D398">
        <v>1.2619144026518301E-4</v>
      </c>
      <c r="E398" t="s">
        <v>94</v>
      </c>
      <c r="H398" t="s">
        <v>588</v>
      </c>
      <c r="I398">
        <v>1.2619144026518301E-4</v>
      </c>
      <c r="J398">
        <v>1.0247973619913604</v>
      </c>
      <c r="N398" t="s">
        <v>1743</v>
      </c>
      <c r="O398" t="s">
        <v>641</v>
      </c>
      <c r="Q398" t="s">
        <v>1672</v>
      </c>
    </row>
    <row r="399" spans="2:17">
      <c r="B399" t="s">
        <v>1742</v>
      </c>
      <c r="C399" t="s">
        <v>673</v>
      </c>
      <c r="D399">
        <v>3.9756684388586198E-5</v>
      </c>
      <c r="E399" t="s">
        <v>94</v>
      </c>
      <c r="H399" t="s">
        <v>588</v>
      </c>
      <c r="I399">
        <v>3.9756684388586198E-5</v>
      </c>
      <c r="J399">
        <v>1.0247973619913604</v>
      </c>
      <c r="N399" t="s">
        <v>1743</v>
      </c>
      <c r="O399" t="s">
        <v>641</v>
      </c>
      <c r="Q399" t="s">
        <v>1672</v>
      </c>
    </row>
    <row r="400" spans="2:17">
      <c r="B400" t="s">
        <v>1109</v>
      </c>
      <c r="C400" t="s">
        <v>667</v>
      </c>
      <c r="D400">
        <v>5.1279099888161799E-4</v>
      </c>
      <c r="E400" t="s">
        <v>94</v>
      </c>
      <c r="H400" t="s">
        <v>588</v>
      </c>
      <c r="I400">
        <v>5.1279099888161799E-4</v>
      </c>
      <c r="J400">
        <v>1.0805386501323246</v>
      </c>
      <c r="N400" t="s">
        <v>1107</v>
      </c>
      <c r="O400" t="s">
        <v>1665</v>
      </c>
      <c r="Q400" t="s">
        <v>1744</v>
      </c>
    </row>
    <row r="401" spans="2:17">
      <c r="B401" t="s">
        <v>586</v>
      </c>
      <c r="C401" t="s">
        <v>587</v>
      </c>
      <c r="D401">
        <v>1.15051859898109E-5</v>
      </c>
      <c r="E401" t="s">
        <v>94</v>
      </c>
      <c r="H401" t="s">
        <v>588</v>
      </c>
      <c r="I401">
        <v>1.15051859898109E-5</v>
      </c>
      <c r="J401">
        <v>1.0247973619913604</v>
      </c>
      <c r="O401" t="s">
        <v>641</v>
      </c>
      <c r="Q401" t="s">
        <v>1643</v>
      </c>
    </row>
    <row r="402" spans="2:17">
      <c r="B402" t="s">
        <v>1155</v>
      </c>
      <c r="C402" t="s">
        <v>667</v>
      </c>
      <c r="D402">
        <v>6.4118556060916197E-5</v>
      </c>
      <c r="E402" t="s">
        <v>94</v>
      </c>
      <c r="H402" t="s">
        <v>588</v>
      </c>
      <c r="I402">
        <v>6.4118556060916197E-5</v>
      </c>
      <c r="J402">
        <v>1.0247973619913604</v>
      </c>
      <c r="N402" t="s">
        <v>1156</v>
      </c>
      <c r="O402" t="s">
        <v>1745</v>
      </c>
      <c r="Q402" t="s">
        <v>1746</v>
      </c>
    </row>
    <row r="403" spans="2:17">
      <c r="B403" t="s">
        <v>1155</v>
      </c>
      <c r="C403" t="s">
        <v>667</v>
      </c>
      <c r="D403">
        <v>2.01428195222267E-5</v>
      </c>
      <c r="E403" t="s">
        <v>94</v>
      </c>
      <c r="H403" t="s">
        <v>588</v>
      </c>
      <c r="I403">
        <v>2.01428195222267E-5</v>
      </c>
      <c r="J403">
        <v>1.0247973619913604</v>
      </c>
      <c r="N403" t="s">
        <v>1156</v>
      </c>
      <c r="O403" t="s">
        <v>1745</v>
      </c>
      <c r="Q403" t="s">
        <v>1746</v>
      </c>
    </row>
    <row r="404" spans="2:17">
      <c r="B404" t="s">
        <v>1155</v>
      </c>
      <c r="C404" t="s">
        <v>667</v>
      </c>
      <c r="D404">
        <v>8.7703907057687895E-6</v>
      </c>
      <c r="E404" t="s">
        <v>94</v>
      </c>
      <c r="H404" t="s">
        <v>588</v>
      </c>
      <c r="I404">
        <v>8.7703907057687895E-6</v>
      </c>
      <c r="J404">
        <v>1.0247973619913604</v>
      </c>
      <c r="N404" t="s">
        <v>1156</v>
      </c>
      <c r="O404" t="s">
        <v>1745</v>
      </c>
      <c r="Q404" t="s">
        <v>1746</v>
      </c>
    </row>
    <row r="405" spans="2:17">
      <c r="B405" t="s">
        <v>1159</v>
      </c>
      <c r="C405" t="s">
        <v>667</v>
      </c>
      <c r="D405">
        <v>6.3122806191445299E-3</v>
      </c>
      <c r="E405" t="s">
        <v>94</v>
      </c>
      <c r="H405" t="s">
        <v>588</v>
      </c>
      <c r="I405">
        <v>6.3122806191445299E-3</v>
      </c>
      <c r="J405">
        <v>1.0247973619913604</v>
      </c>
      <c r="N405" t="s">
        <v>1160</v>
      </c>
      <c r="O405" t="s">
        <v>1695</v>
      </c>
      <c r="Q405" t="s">
        <v>1747</v>
      </c>
    </row>
    <row r="406" spans="2:17">
      <c r="B406" t="s">
        <v>1161</v>
      </c>
      <c r="C406" t="s">
        <v>809</v>
      </c>
      <c r="D406">
        <v>3.0892304723796599E-4</v>
      </c>
      <c r="E406" t="s">
        <v>94</v>
      </c>
      <c r="H406" t="s">
        <v>588</v>
      </c>
      <c r="I406">
        <v>3.0892304723796599E-4</v>
      </c>
      <c r="J406">
        <v>1.1051709180756477</v>
      </c>
      <c r="N406" t="s">
        <v>1162</v>
      </c>
      <c r="O406" t="s">
        <v>1700</v>
      </c>
      <c r="Q406" t="s">
        <v>1748</v>
      </c>
    </row>
    <row r="407" spans="2:17">
      <c r="B407" t="s">
        <v>1161</v>
      </c>
      <c r="C407" t="s">
        <v>809</v>
      </c>
      <c r="D407">
        <v>3.8633498512106603E-5</v>
      </c>
      <c r="E407" t="s">
        <v>94</v>
      </c>
      <c r="H407" t="s">
        <v>588</v>
      </c>
      <c r="I407">
        <v>3.8633498512106603E-5</v>
      </c>
      <c r="J407">
        <v>1.0247973619913604</v>
      </c>
      <c r="N407" t="s">
        <v>1162</v>
      </c>
      <c r="O407" t="s">
        <v>641</v>
      </c>
      <c r="Q407" t="s">
        <v>1672</v>
      </c>
    </row>
    <row r="408" spans="2:17">
      <c r="B408" t="s">
        <v>1161</v>
      </c>
      <c r="C408" t="s">
        <v>809</v>
      </c>
      <c r="D408">
        <v>9.7508788105177095E-4</v>
      </c>
      <c r="E408" t="s">
        <v>94</v>
      </c>
      <c r="H408" t="s">
        <v>588</v>
      </c>
      <c r="I408">
        <v>9.7508788105177095E-4</v>
      </c>
      <c r="J408">
        <v>1.0247973619913604</v>
      </c>
      <c r="N408" t="s">
        <v>1162</v>
      </c>
      <c r="O408" t="s">
        <v>641</v>
      </c>
      <c r="Q408" t="s">
        <v>1672</v>
      </c>
    </row>
    <row r="409" spans="2:17">
      <c r="B409" t="s">
        <v>1161</v>
      </c>
      <c r="C409" t="s">
        <v>809</v>
      </c>
      <c r="D409">
        <v>2.9337606441978199E-4</v>
      </c>
      <c r="E409" t="s">
        <v>94</v>
      </c>
      <c r="H409" t="s">
        <v>588</v>
      </c>
      <c r="I409">
        <v>2.9337606441978199E-4</v>
      </c>
      <c r="J409">
        <v>1.0247973619913604</v>
      </c>
      <c r="N409" t="s">
        <v>1162</v>
      </c>
      <c r="O409" t="s">
        <v>641</v>
      </c>
      <c r="Q409" t="s">
        <v>1672</v>
      </c>
    </row>
    <row r="410" spans="2:17">
      <c r="B410" t="s">
        <v>1161</v>
      </c>
      <c r="C410" t="s">
        <v>809</v>
      </c>
      <c r="D410">
        <v>3.8699901440426397E-5</v>
      </c>
      <c r="E410" t="s">
        <v>94</v>
      </c>
      <c r="H410" t="s">
        <v>588</v>
      </c>
      <c r="I410">
        <v>3.8699901440426397E-5</v>
      </c>
      <c r="J410">
        <v>1.0247973619913604</v>
      </c>
      <c r="N410" t="s">
        <v>1162</v>
      </c>
      <c r="O410" t="s">
        <v>641</v>
      </c>
      <c r="Q410" t="s">
        <v>1672</v>
      </c>
    </row>
    <row r="411" spans="2:17">
      <c r="B411" t="s">
        <v>1161</v>
      </c>
      <c r="C411" t="s">
        <v>809</v>
      </c>
      <c r="D411">
        <v>2.10063086726669E-5</v>
      </c>
      <c r="E411" t="s">
        <v>94</v>
      </c>
      <c r="H411" t="s">
        <v>588</v>
      </c>
      <c r="I411">
        <v>2.10063086726669E-5</v>
      </c>
      <c r="J411">
        <v>1.0247973619913604</v>
      </c>
      <c r="N411" t="s">
        <v>1162</v>
      </c>
      <c r="O411" t="s">
        <v>641</v>
      </c>
      <c r="Q411" t="s">
        <v>1672</v>
      </c>
    </row>
    <row r="412" spans="2:17">
      <c r="B412" t="s">
        <v>1161</v>
      </c>
      <c r="C412" t="s">
        <v>809</v>
      </c>
      <c r="D412">
        <v>3.9506455702498499E-4</v>
      </c>
      <c r="E412" t="s">
        <v>94</v>
      </c>
      <c r="H412" t="s">
        <v>588</v>
      </c>
      <c r="I412">
        <v>3.9506455702498499E-4</v>
      </c>
      <c r="J412">
        <v>1.0247973619913604</v>
      </c>
      <c r="N412" t="s">
        <v>1162</v>
      </c>
      <c r="O412" t="s">
        <v>641</v>
      </c>
      <c r="Q412" t="s">
        <v>1672</v>
      </c>
    </row>
    <row r="413" spans="2:17">
      <c r="B413" t="s">
        <v>1161</v>
      </c>
      <c r="C413" t="s">
        <v>809</v>
      </c>
      <c r="D413">
        <v>1.05211323784694E-4</v>
      </c>
      <c r="E413" t="s">
        <v>94</v>
      </c>
      <c r="H413" t="s">
        <v>588</v>
      </c>
      <c r="I413">
        <v>1.05211323784694E-4</v>
      </c>
      <c r="J413">
        <v>1.0247973619913604</v>
      </c>
      <c r="N413" t="s">
        <v>1162</v>
      </c>
      <c r="O413" t="s">
        <v>641</v>
      </c>
      <c r="Q413" t="s">
        <v>1672</v>
      </c>
    </row>
    <row r="414" spans="2:17">
      <c r="B414" t="s">
        <v>1161</v>
      </c>
      <c r="C414" t="s">
        <v>809</v>
      </c>
      <c r="D414">
        <v>2.9978182464559399E-5</v>
      </c>
      <c r="E414" t="s">
        <v>94</v>
      </c>
      <c r="H414" t="s">
        <v>588</v>
      </c>
      <c r="I414">
        <v>2.9978182464559399E-5</v>
      </c>
      <c r="J414">
        <v>1.0247973619913604</v>
      </c>
      <c r="N414" t="s">
        <v>1162</v>
      </c>
      <c r="O414" t="s">
        <v>641</v>
      </c>
      <c r="Q414" t="s">
        <v>1672</v>
      </c>
    </row>
    <row r="415" spans="2:17">
      <c r="B415" t="s">
        <v>1749</v>
      </c>
      <c r="C415" t="s">
        <v>809</v>
      </c>
      <c r="D415">
        <v>2.71083946611082E-6</v>
      </c>
      <c r="E415" t="s">
        <v>94</v>
      </c>
      <c r="H415" t="s">
        <v>588</v>
      </c>
      <c r="I415">
        <v>2.71083946611082E-6</v>
      </c>
      <c r="J415">
        <v>1</v>
      </c>
      <c r="N415" t="s">
        <v>1750</v>
      </c>
      <c r="O415" t="s">
        <v>1751</v>
      </c>
    </row>
    <row r="416" spans="2:17">
      <c r="B416" t="s">
        <v>1749</v>
      </c>
      <c r="C416" t="s">
        <v>809</v>
      </c>
      <c r="D416">
        <v>5.3213166335504398E-5</v>
      </c>
      <c r="E416" t="s">
        <v>94</v>
      </c>
      <c r="H416" t="s">
        <v>588</v>
      </c>
      <c r="I416">
        <v>5.3213166335504398E-5</v>
      </c>
      <c r="J416">
        <v>1.0247973619913604</v>
      </c>
      <c r="N416" t="s">
        <v>1750</v>
      </c>
      <c r="O416" t="s">
        <v>1752</v>
      </c>
      <c r="Q416" t="s">
        <v>1753</v>
      </c>
    </row>
    <row r="417" spans="2:17">
      <c r="B417" t="s">
        <v>1164</v>
      </c>
      <c r="C417" t="s">
        <v>809</v>
      </c>
      <c r="D417">
        <v>1.9181761894350099E-4</v>
      </c>
      <c r="E417" t="s">
        <v>94</v>
      </c>
      <c r="H417" t="s">
        <v>588</v>
      </c>
      <c r="I417">
        <v>1.9181761894350099E-4</v>
      </c>
      <c r="J417">
        <v>1.0247973619913604</v>
      </c>
      <c r="N417" t="s">
        <v>1165</v>
      </c>
      <c r="O417" t="s">
        <v>641</v>
      </c>
      <c r="Q417" t="s">
        <v>1672</v>
      </c>
    </row>
    <row r="418" spans="2:17">
      <c r="B418" t="s">
        <v>1754</v>
      </c>
      <c r="C418" t="s">
        <v>809</v>
      </c>
      <c r="D418">
        <v>1.6297989078066299E-4</v>
      </c>
      <c r="E418" t="s">
        <v>94</v>
      </c>
      <c r="H418" t="s">
        <v>588</v>
      </c>
      <c r="I418">
        <v>1.6297989078066299E-4</v>
      </c>
      <c r="J418">
        <v>1</v>
      </c>
      <c r="N418" t="s">
        <v>1755</v>
      </c>
      <c r="O418" t="s">
        <v>1756</v>
      </c>
      <c r="Q418" t="s">
        <v>595</v>
      </c>
    </row>
    <row r="419" spans="2:17">
      <c r="B419" t="s">
        <v>1754</v>
      </c>
      <c r="C419" t="s">
        <v>809</v>
      </c>
      <c r="D419">
        <v>1.9349835098299799E-4</v>
      </c>
      <c r="E419" t="s">
        <v>94</v>
      </c>
      <c r="H419" t="s">
        <v>588</v>
      </c>
      <c r="I419">
        <v>1.9349835098299799E-4</v>
      </c>
      <c r="J419">
        <v>1.2505791921887124</v>
      </c>
      <c r="N419" t="s">
        <v>1755</v>
      </c>
      <c r="O419" t="s">
        <v>1757</v>
      </c>
      <c r="Q419" t="s">
        <v>595</v>
      </c>
    </row>
    <row r="420" spans="2:17">
      <c r="B420" t="s">
        <v>1754</v>
      </c>
      <c r="C420" t="s">
        <v>809</v>
      </c>
      <c r="D420">
        <v>6.9554371858429598E-4</v>
      </c>
      <c r="E420" t="s">
        <v>94</v>
      </c>
      <c r="H420" t="s">
        <v>588</v>
      </c>
      <c r="I420">
        <v>6.9554371858429598E-4</v>
      </c>
      <c r="J420">
        <v>1.4049000000004648</v>
      </c>
      <c r="N420" t="s">
        <v>1755</v>
      </c>
      <c r="O420" t="s">
        <v>1758</v>
      </c>
      <c r="Q420" t="s">
        <v>1759</v>
      </c>
    </row>
    <row r="421" spans="2:17">
      <c r="B421" t="s">
        <v>1754</v>
      </c>
      <c r="C421" t="s">
        <v>809</v>
      </c>
      <c r="D421">
        <v>7.1525282144638497E-4</v>
      </c>
      <c r="E421" t="s">
        <v>94</v>
      </c>
      <c r="H421" t="s">
        <v>588</v>
      </c>
      <c r="I421">
        <v>7.1525282144638497E-4</v>
      </c>
      <c r="J421">
        <v>1</v>
      </c>
      <c r="N421" t="s">
        <v>1755</v>
      </c>
      <c r="O421" t="s">
        <v>1756</v>
      </c>
      <c r="Q421" t="s">
        <v>1760</v>
      </c>
    </row>
    <row r="422" spans="2:17">
      <c r="B422" t="s">
        <v>1761</v>
      </c>
      <c r="C422" t="s">
        <v>809</v>
      </c>
      <c r="D422">
        <v>1.8034376919096199E-5</v>
      </c>
      <c r="E422" t="s">
        <v>94</v>
      </c>
      <c r="H422" t="s">
        <v>588</v>
      </c>
      <c r="I422">
        <v>1.8034376919096199E-5</v>
      </c>
      <c r="J422">
        <v>1.151909910168909</v>
      </c>
      <c r="N422" t="s">
        <v>1762</v>
      </c>
      <c r="O422" t="s">
        <v>867</v>
      </c>
      <c r="Q422" t="s">
        <v>1763</v>
      </c>
    </row>
    <row r="423" spans="2:17">
      <c r="B423" t="s">
        <v>1761</v>
      </c>
      <c r="C423" t="s">
        <v>809</v>
      </c>
      <c r="D423">
        <v>1.1222119356606499E-6</v>
      </c>
      <c r="E423" t="s">
        <v>94</v>
      </c>
      <c r="H423" t="s">
        <v>588</v>
      </c>
      <c r="I423">
        <v>1.1222119356606499E-6</v>
      </c>
      <c r="J423">
        <v>1.0247973619913604</v>
      </c>
      <c r="N423" t="s">
        <v>1764</v>
      </c>
      <c r="O423" t="s">
        <v>1765</v>
      </c>
      <c r="Q423" t="s">
        <v>1766</v>
      </c>
    </row>
    <row r="424" spans="2:17">
      <c r="B424" t="s">
        <v>1761</v>
      </c>
      <c r="C424" t="s">
        <v>809</v>
      </c>
      <c r="D424">
        <v>2.0051162109016601E-5</v>
      </c>
      <c r="E424" t="s">
        <v>94</v>
      </c>
      <c r="H424" t="s">
        <v>588</v>
      </c>
      <c r="I424">
        <v>2.0051162109016601E-5</v>
      </c>
      <c r="J424">
        <v>1.4049000000004648</v>
      </c>
      <c r="N424" t="s">
        <v>1762</v>
      </c>
      <c r="O424" t="s">
        <v>1758</v>
      </c>
      <c r="Q424" t="s">
        <v>1767</v>
      </c>
    </row>
    <row r="425" spans="2:17">
      <c r="B425" t="s">
        <v>1768</v>
      </c>
      <c r="C425" t="s">
        <v>650</v>
      </c>
      <c r="D425">
        <v>7.6946901336238504E-4</v>
      </c>
      <c r="E425" t="s">
        <v>94</v>
      </c>
      <c r="H425" t="s">
        <v>588</v>
      </c>
      <c r="I425">
        <v>7.6946901336238504E-4</v>
      </c>
      <c r="J425">
        <v>1.2505791921887124</v>
      </c>
      <c r="N425" t="s">
        <v>1769</v>
      </c>
      <c r="O425" t="s">
        <v>1628</v>
      </c>
      <c r="Q425" t="s">
        <v>979</v>
      </c>
    </row>
    <row r="426" spans="2:17">
      <c r="B426" t="s">
        <v>1768</v>
      </c>
      <c r="C426" t="s">
        <v>650</v>
      </c>
      <c r="D426">
        <v>7.6938309526549298E-4</v>
      </c>
      <c r="E426" t="s">
        <v>94</v>
      </c>
      <c r="H426" t="s">
        <v>588</v>
      </c>
      <c r="I426">
        <v>7.6938309526549298E-4</v>
      </c>
      <c r="J426">
        <v>1.2505791921887124</v>
      </c>
      <c r="N426" t="s">
        <v>1769</v>
      </c>
      <c r="O426" t="s">
        <v>1770</v>
      </c>
    </row>
    <row r="427" spans="2:17">
      <c r="B427" t="s">
        <v>1771</v>
      </c>
      <c r="C427" t="s">
        <v>676</v>
      </c>
      <c r="D427">
        <v>5.0850791331178501E-9</v>
      </c>
      <c r="E427" t="s">
        <v>94</v>
      </c>
      <c r="H427" t="s">
        <v>588</v>
      </c>
      <c r="I427">
        <v>5.0850791331178501E-9</v>
      </c>
      <c r="J427">
        <v>1</v>
      </c>
      <c r="N427" t="s">
        <v>1772</v>
      </c>
      <c r="O427" t="s">
        <v>1773</v>
      </c>
      <c r="Q427" t="s">
        <v>1774</v>
      </c>
    </row>
    <row r="428" spans="2:17">
      <c r="B428" t="s">
        <v>1771</v>
      </c>
      <c r="C428" t="s">
        <v>676</v>
      </c>
      <c r="D428">
        <v>5.0857939570298702E-9</v>
      </c>
      <c r="E428" t="s">
        <v>94</v>
      </c>
      <c r="H428" t="s">
        <v>588</v>
      </c>
      <c r="I428">
        <v>5.0857939570298702E-9</v>
      </c>
      <c r="J428">
        <v>1</v>
      </c>
      <c r="N428" t="s">
        <v>1772</v>
      </c>
      <c r="O428" t="s">
        <v>1773</v>
      </c>
      <c r="Q428" t="s">
        <v>1774</v>
      </c>
    </row>
    <row r="429" spans="2:17">
      <c r="B429" t="s">
        <v>1775</v>
      </c>
      <c r="C429" t="s">
        <v>587</v>
      </c>
      <c r="D429">
        <v>4.2003942955563401E-7</v>
      </c>
      <c r="E429" t="s">
        <v>94</v>
      </c>
      <c r="Q429" t="s">
        <v>1776</v>
      </c>
    </row>
    <row r="430" spans="2:17">
      <c r="B430" t="s">
        <v>1777</v>
      </c>
      <c r="C430" t="s">
        <v>701</v>
      </c>
      <c r="D430">
        <v>1.9132096490950099E-7</v>
      </c>
      <c r="E430" t="s">
        <v>94</v>
      </c>
      <c r="H430" t="s">
        <v>588</v>
      </c>
      <c r="I430">
        <v>1.9132096490950099E-7</v>
      </c>
      <c r="J430">
        <v>1.0247973619913604</v>
      </c>
      <c r="N430" t="s">
        <v>1778</v>
      </c>
      <c r="O430" t="s">
        <v>1779</v>
      </c>
      <c r="Q430" t="s">
        <v>1780</v>
      </c>
    </row>
    <row r="431" spans="2:17">
      <c r="B431" t="s">
        <v>1777</v>
      </c>
      <c r="C431" t="s">
        <v>701</v>
      </c>
      <c r="D431">
        <v>1.04608772634277E-7</v>
      </c>
      <c r="E431" t="s">
        <v>94</v>
      </c>
      <c r="H431" t="s">
        <v>588</v>
      </c>
      <c r="I431">
        <v>1.04608772634277E-7</v>
      </c>
      <c r="J431">
        <v>1.0247973619913604</v>
      </c>
      <c r="N431" t="s">
        <v>1778</v>
      </c>
      <c r="O431" t="s">
        <v>1779</v>
      </c>
      <c r="Q431" t="s">
        <v>1780</v>
      </c>
    </row>
    <row r="432" spans="2:17">
      <c r="B432" t="s">
        <v>1781</v>
      </c>
      <c r="C432" t="s">
        <v>857</v>
      </c>
      <c r="D432">
        <v>4.04532260542089E-14</v>
      </c>
      <c r="E432" t="s">
        <v>616</v>
      </c>
      <c r="H432" t="s">
        <v>588</v>
      </c>
      <c r="I432">
        <v>4.04532260542089E-14</v>
      </c>
      <c r="J432">
        <v>1.8523246175090917</v>
      </c>
      <c r="N432" t="s">
        <v>1782</v>
      </c>
      <c r="O432" t="s">
        <v>1783</v>
      </c>
      <c r="Q432" t="s">
        <v>1784</v>
      </c>
    </row>
    <row r="433" spans="2:17">
      <c r="B433" t="s">
        <v>1785</v>
      </c>
      <c r="C433" t="s">
        <v>948</v>
      </c>
      <c r="D433">
        <v>5.1806824349864503E-8</v>
      </c>
      <c r="E433" t="s">
        <v>94</v>
      </c>
      <c r="H433" t="s">
        <v>588</v>
      </c>
      <c r="I433">
        <v>5.1806824349864503E-8</v>
      </c>
      <c r="J433">
        <v>1.0247973619913604</v>
      </c>
      <c r="N433" t="s">
        <v>1786</v>
      </c>
      <c r="O433" t="s">
        <v>641</v>
      </c>
      <c r="Q433" t="s">
        <v>1672</v>
      </c>
    </row>
    <row r="434" spans="2:17">
      <c r="B434" t="s">
        <v>1787</v>
      </c>
      <c r="C434" t="s">
        <v>948</v>
      </c>
      <c r="D434">
        <v>1.03712848686324E-4</v>
      </c>
      <c r="E434" t="s">
        <v>94</v>
      </c>
      <c r="H434" t="s">
        <v>588</v>
      </c>
      <c r="I434">
        <v>1.03712848686324E-4</v>
      </c>
      <c r="J434">
        <v>1.1051709180756477</v>
      </c>
      <c r="N434" t="s">
        <v>1788</v>
      </c>
      <c r="O434" t="s">
        <v>1789</v>
      </c>
      <c r="Q434" t="s">
        <v>1790</v>
      </c>
    </row>
    <row r="435" spans="2:17">
      <c r="B435" t="s">
        <v>1791</v>
      </c>
      <c r="C435" t="s">
        <v>1417</v>
      </c>
      <c r="D435">
        <v>1.15003633893879E-6</v>
      </c>
      <c r="E435" t="s">
        <v>626</v>
      </c>
      <c r="H435" t="s">
        <v>588</v>
      </c>
      <c r="I435">
        <v>1.15003633893879E-6</v>
      </c>
      <c r="J435">
        <v>1.1051709180756477</v>
      </c>
      <c r="N435" t="s">
        <v>1792</v>
      </c>
      <c r="O435" t="s">
        <v>921</v>
      </c>
      <c r="Q435" t="s">
        <v>595</v>
      </c>
    </row>
    <row r="436" spans="2:17">
      <c r="B436" t="s">
        <v>1793</v>
      </c>
      <c r="C436" t="s">
        <v>673</v>
      </c>
      <c r="D436">
        <v>2.7190249192834998E-6</v>
      </c>
      <c r="E436" t="s">
        <v>94</v>
      </c>
      <c r="H436" t="s">
        <v>588</v>
      </c>
      <c r="I436">
        <v>2.7190249192834998E-6</v>
      </c>
      <c r="J436">
        <v>1</v>
      </c>
      <c r="N436" t="s">
        <v>1794</v>
      </c>
      <c r="O436" t="s">
        <v>841</v>
      </c>
      <c r="Q436" t="s">
        <v>1795</v>
      </c>
    </row>
    <row r="437" spans="2:17">
      <c r="B437" t="s">
        <v>1796</v>
      </c>
      <c r="C437" t="s">
        <v>1243</v>
      </c>
      <c r="D437">
        <v>1.58214178975358E-5</v>
      </c>
      <c r="E437" t="s">
        <v>626</v>
      </c>
      <c r="H437" t="s">
        <v>588</v>
      </c>
      <c r="I437">
        <v>1.58214178975358E-5</v>
      </c>
      <c r="J437">
        <v>1.1051709180756477</v>
      </c>
      <c r="N437" t="s">
        <v>1797</v>
      </c>
      <c r="O437" t="s">
        <v>1798</v>
      </c>
      <c r="Q437" t="s">
        <v>1799</v>
      </c>
    </row>
    <row r="438" spans="2:17">
      <c r="B438" t="s">
        <v>1800</v>
      </c>
      <c r="C438" t="s">
        <v>667</v>
      </c>
      <c r="D438">
        <v>3.5645369786190302E-9</v>
      </c>
      <c r="E438" t="s">
        <v>94</v>
      </c>
      <c r="H438" t="s">
        <v>588</v>
      </c>
      <c r="I438">
        <v>3.5645369786190302E-9</v>
      </c>
      <c r="J438">
        <v>1.0247973619913604</v>
      </c>
      <c r="N438" t="s">
        <v>1801</v>
      </c>
      <c r="O438" t="s">
        <v>641</v>
      </c>
      <c r="Q438" t="s">
        <v>1672</v>
      </c>
    </row>
    <row r="439" spans="2:17">
      <c r="B439" t="s">
        <v>1802</v>
      </c>
      <c r="C439" t="s">
        <v>587</v>
      </c>
      <c r="D439">
        <v>9.0754513038819405E-7</v>
      </c>
      <c r="E439" t="s">
        <v>94</v>
      </c>
      <c r="H439" t="s">
        <v>588</v>
      </c>
      <c r="I439">
        <v>9.0754513038819405E-7</v>
      </c>
      <c r="J439">
        <v>1.1051709180756477</v>
      </c>
      <c r="O439" t="s">
        <v>855</v>
      </c>
    </row>
    <row r="440" spans="2:17">
      <c r="B440" t="s">
        <v>1803</v>
      </c>
      <c r="C440" t="s">
        <v>1804</v>
      </c>
      <c r="D440">
        <v>4.2335418686971997E-4</v>
      </c>
      <c r="E440" t="s">
        <v>94</v>
      </c>
      <c r="H440" t="s">
        <v>588</v>
      </c>
      <c r="I440">
        <v>4.2335418686971997E-4</v>
      </c>
      <c r="J440">
        <v>1.0247973619913604</v>
      </c>
      <c r="N440" t="s">
        <v>1805</v>
      </c>
      <c r="O440" t="s">
        <v>1806</v>
      </c>
      <c r="Q440" t="s">
        <v>1807</v>
      </c>
    </row>
    <row r="441" spans="2:17">
      <c r="B441" t="s">
        <v>1803</v>
      </c>
      <c r="C441" t="s">
        <v>1804</v>
      </c>
      <c r="D441">
        <v>7.6682127236222706E-5</v>
      </c>
      <c r="E441" t="s">
        <v>94</v>
      </c>
      <c r="N441" t="s">
        <v>1808</v>
      </c>
    </row>
    <row r="442" spans="2:17">
      <c r="B442" t="s">
        <v>1803</v>
      </c>
      <c r="C442" t="s">
        <v>1804</v>
      </c>
      <c r="D442">
        <v>4.48604801859642E-5</v>
      </c>
      <c r="E442" t="s">
        <v>94</v>
      </c>
      <c r="N442" t="s">
        <v>1808</v>
      </c>
    </row>
    <row r="443" spans="2:17">
      <c r="B443" t="s">
        <v>1803</v>
      </c>
      <c r="C443" t="s">
        <v>1804</v>
      </c>
      <c r="D443">
        <v>1.11055309231685E-4</v>
      </c>
      <c r="E443" t="s">
        <v>94</v>
      </c>
      <c r="N443" t="s">
        <v>1808</v>
      </c>
    </row>
    <row r="444" spans="2:17">
      <c r="B444" t="s">
        <v>1803</v>
      </c>
      <c r="C444" t="s">
        <v>1804</v>
      </c>
      <c r="D444">
        <v>1.73335607880225E-3</v>
      </c>
      <c r="E444" t="s">
        <v>94</v>
      </c>
      <c r="N444" t="s">
        <v>1808</v>
      </c>
    </row>
    <row r="445" spans="2:17">
      <c r="B445" t="s">
        <v>1803</v>
      </c>
      <c r="C445" t="s">
        <v>1804</v>
      </c>
      <c r="D445">
        <v>1.35063356962383E-3</v>
      </c>
      <c r="E445" t="s">
        <v>94</v>
      </c>
      <c r="N445" t="s">
        <v>1808</v>
      </c>
    </row>
    <row r="446" spans="2:17">
      <c r="B446" t="s">
        <v>1803</v>
      </c>
      <c r="C446" t="s">
        <v>1804</v>
      </c>
      <c r="D446">
        <v>2.1136399216772E-4</v>
      </c>
      <c r="E446" t="s">
        <v>94</v>
      </c>
      <c r="N446" t="s">
        <v>1808</v>
      </c>
    </row>
    <row r="447" spans="2:17">
      <c r="B447" t="s">
        <v>1809</v>
      </c>
      <c r="C447" t="s">
        <v>1810</v>
      </c>
      <c r="D447">
        <v>4.8412236863220301E-6</v>
      </c>
      <c r="E447" t="s">
        <v>1811</v>
      </c>
      <c r="H447" t="s">
        <v>588</v>
      </c>
      <c r="I447">
        <v>4.8412236863220301E-6</v>
      </c>
      <c r="J447">
        <v>1.4056999999994499</v>
      </c>
      <c r="N447" t="s">
        <v>1812</v>
      </c>
      <c r="O447" t="s">
        <v>589</v>
      </c>
      <c r="Q447" t="s">
        <v>1813</v>
      </c>
    </row>
    <row r="448" spans="2:17">
      <c r="B448" t="s">
        <v>1809</v>
      </c>
      <c r="C448" t="s">
        <v>1810</v>
      </c>
      <c r="D448">
        <v>5.6338767652941196E-7</v>
      </c>
      <c r="E448" t="s">
        <v>1811</v>
      </c>
      <c r="H448" t="s">
        <v>588</v>
      </c>
      <c r="I448">
        <v>5.6338767652941196E-7</v>
      </c>
      <c r="J448">
        <v>1.4056999999994499</v>
      </c>
      <c r="N448" t="s">
        <v>1814</v>
      </c>
      <c r="O448" t="s">
        <v>589</v>
      </c>
      <c r="Q448" t="s">
        <v>1815</v>
      </c>
    </row>
    <row r="449" spans="2:17">
      <c r="B449" t="s">
        <v>1809</v>
      </c>
      <c r="C449" t="s">
        <v>1810</v>
      </c>
      <c r="D449">
        <v>1.7163648415476901E-6</v>
      </c>
      <c r="E449" t="s">
        <v>1811</v>
      </c>
      <c r="H449" t="s">
        <v>588</v>
      </c>
      <c r="I449">
        <v>1.7163648415476901E-6</v>
      </c>
      <c r="J449">
        <v>1</v>
      </c>
      <c r="N449" t="s">
        <v>1814</v>
      </c>
      <c r="O449" t="s">
        <v>1756</v>
      </c>
      <c r="Q449" t="s">
        <v>1816</v>
      </c>
    </row>
    <row r="450" spans="2:17">
      <c r="B450" t="s">
        <v>1817</v>
      </c>
      <c r="C450" t="s">
        <v>1804</v>
      </c>
      <c r="D450">
        <v>3.1095176711468998E-4</v>
      </c>
      <c r="E450" t="s">
        <v>94</v>
      </c>
      <c r="N450" t="s">
        <v>1818</v>
      </c>
    </row>
    <row r="451" spans="2:17">
      <c r="B451" t="s">
        <v>1817</v>
      </c>
      <c r="C451" t="s">
        <v>1804</v>
      </c>
      <c r="D451">
        <v>8.2787934635323093E-5</v>
      </c>
      <c r="E451" t="s">
        <v>94</v>
      </c>
      <c r="N451" t="s">
        <v>1818</v>
      </c>
    </row>
    <row r="452" spans="2:17">
      <c r="B452" t="s">
        <v>1817</v>
      </c>
      <c r="C452" t="s">
        <v>1804</v>
      </c>
      <c r="D452">
        <v>1.19078737760295E-5</v>
      </c>
      <c r="E452" t="s">
        <v>94</v>
      </c>
      <c r="N452" t="s">
        <v>1818</v>
      </c>
    </row>
    <row r="453" spans="2:17">
      <c r="B453" t="s">
        <v>1817</v>
      </c>
      <c r="C453" t="s">
        <v>1804</v>
      </c>
      <c r="D453">
        <v>5.4931030247512699E-5</v>
      </c>
      <c r="E453" t="s">
        <v>94</v>
      </c>
      <c r="N453" t="s">
        <v>1819</v>
      </c>
      <c r="Q453" t="s">
        <v>1728</v>
      </c>
    </row>
    <row r="454" spans="2:17">
      <c r="B454" t="s">
        <v>1817</v>
      </c>
      <c r="C454" t="s">
        <v>1804</v>
      </c>
      <c r="D454">
        <v>2.1472199971771801E-5</v>
      </c>
      <c r="E454" t="s">
        <v>94</v>
      </c>
      <c r="N454" t="s">
        <v>1818</v>
      </c>
    </row>
    <row r="455" spans="2:17">
      <c r="B455" t="s">
        <v>1817</v>
      </c>
      <c r="C455" t="s">
        <v>1804</v>
      </c>
      <c r="D455">
        <v>3.0638809898125602E-5</v>
      </c>
      <c r="E455" t="s">
        <v>94</v>
      </c>
      <c r="N455" t="s">
        <v>1818</v>
      </c>
    </row>
    <row r="456" spans="2:17">
      <c r="B456" t="s">
        <v>1820</v>
      </c>
      <c r="C456" t="s">
        <v>673</v>
      </c>
      <c r="D456">
        <v>1.48365245554069E-5</v>
      </c>
      <c r="E456" t="s">
        <v>94</v>
      </c>
      <c r="H456" t="s">
        <v>588</v>
      </c>
      <c r="I456">
        <v>1.48365245554069E-5</v>
      </c>
      <c r="J456">
        <v>1.0247973619913604</v>
      </c>
      <c r="N456" t="s">
        <v>1821</v>
      </c>
      <c r="O456" t="s">
        <v>1002</v>
      </c>
      <c r="Q456" t="s">
        <v>1822</v>
      </c>
    </row>
    <row r="457" spans="2:17">
      <c r="B457" t="s">
        <v>1820</v>
      </c>
      <c r="C457" t="s">
        <v>673</v>
      </c>
      <c r="D457">
        <v>2.2662085189596701E-5</v>
      </c>
      <c r="E457" t="s">
        <v>94</v>
      </c>
      <c r="H457" t="s">
        <v>588</v>
      </c>
      <c r="I457">
        <v>2.2662085189596701E-5</v>
      </c>
      <c r="J457">
        <v>1.0247973619913604</v>
      </c>
      <c r="N457" t="s">
        <v>1821</v>
      </c>
      <c r="O457" t="s">
        <v>1649</v>
      </c>
      <c r="Q457" t="s">
        <v>1823</v>
      </c>
    </row>
    <row r="458" spans="2:17">
      <c r="B458" t="s">
        <v>1824</v>
      </c>
      <c r="C458" t="s">
        <v>1825</v>
      </c>
      <c r="D458">
        <v>6.5698422138606806E-5</v>
      </c>
      <c r="E458" t="s">
        <v>94</v>
      </c>
      <c r="H458" t="s">
        <v>588</v>
      </c>
      <c r="I458">
        <v>6.5698422138606806E-5</v>
      </c>
      <c r="J458">
        <v>1.0247973619913604</v>
      </c>
      <c r="N458" t="s">
        <v>1826</v>
      </c>
      <c r="O458" t="s">
        <v>1827</v>
      </c>
      <c r="Q458" t="s">
        <v>1828</v>
      </c>
    </row>
    <row r="459" spans="2:17">
      <c r="B459" t="s">
        <v>1829</v>
      </c>
      <c r="C459" t="s">
        <v>1830</v>
      </c>
      <c r="D459">
        <v>3.2161444849491998E-4</v>
      </c>
      <c r="E459" t="s">
        <v>94</v>
      </c>
      <c r="N459" t="s">
        <v>1831</v>
      </c>
    </row>
    <row r="460" spans="2:17">
      <c r="B460" t="s">
        <v>1829</v>
      </c>
      <c r="C460" t="s">
        <v>1830</v>
      </c>
      <c r="D460">
        <v>8.6458240369979497E-4</v>
      </c>
      <c r="E460" t="s">
        <v>94</v>
      </c>
      <c r="N460" t="s">
        <v>1831</v>
      </c>
    </row>
    <row r="461" spans="2:17">
      <c r="B461" t="s">
        <v>1829</v>
      </c>
      <c r="C461" t="s">
        <v>1830</v>
      </c>
      <c r="D461">
        <v>1.3179965024385701E-4</v>
      </c>
      <c r="E461" t="s">
        <v>94</v>
      </c>
      <c r="N461" t="s">
        <v>1832</v>
      </c>
    </row>
    <row r="462" spans="2:17">
      <c r="B462" t="s">
        <v>1829</v>
      </c>
      <c r="C462" t="s">
        <v>1830</v>
      </c>
      <c r="D462">
        <v>1.58159580292629E-4</v>
      </c>
      <c r="E462" t="s">
        <v>94</v>
      </c>
      <c r="H462" t="s">
        <v>588</v>
      </c>
      <c r="I462">
        <v>1.58159580292629E-4</v>
      </c>
      <c r="J462">
        <v>1.0247973619913604</v>
      </c>
      <c r="N462" t="s">
        <v>1833</v>
      </c>
      <c r="O462" t="s">
        <v>1806</v>
      </c>
      <c r="Q462" t="s">
        <v>1807</v>
      </c>
    </row>
    <row r="463" spans="2:17">
      <c r="B463" t="s">
        <v>1834</v>
      </c>
      <c r="C463" t="s">
        <v>1835</v>
      </c>
      <c r="D463">
        <v>1.2607577638234501E-4</v>
      </c>
      <c r="E463" t="s">
        <v>94</v>
      </c>
      <c r="H463" t="s">
        <v>588</v>
      </c>
      <c r="I463">
        <v>1.2607577638234501E-4</v>
      </c>
      <c r="J463">
        <v>1.0247973619913604</v>
      </c>
      <c r="N463" t="s">
        <v>1836</v>
      </c>
      <c r="O463" t="s">
        <v>1806</v>
      </c>
      <c r="Q463" t="s">
        <v>1728</v>
      </c>
    </row>
    <row r="464" spans="2:17">
      <c r="B464" t="s">
        <v>1834</v>
      </c>
      <c r="C464" t="s">
        <v>1835</v>
      </c>
      <c r="D464">
        <v>1.0506314698528699E-3</v>
      </c>
      <c r="E464" t="s">
        <v>94</v>
      </c>
      <c r="N464" t="s">
        <v>1837</v>
      </c>
    </row>
    <row r="465" spans="2:17">
      <c r="B465" t="s">
        <v>1838</v>
      </c>
      <c r="C465" t="s">
        <v>1835</v>
      </c>
      <c r="D465">
        <v>3.4476959222473402E-4</v>
      </c>
      <c r="E465" t="s">
        <v>94</v>
      </c>
      <c r="H465" t="s">
        <v>588</v>
      </c>
      <c r="I465">
        <v>3.4476959222473402E-4</v>
      </c>
      <c r="J465">
        <v>1.0247973619913604</v>
      </c>
      <c r="N465" t="s">
        <v>1839</v>
      </c>
      <c r="O465" t="s">
        <v>1806</v>
      </c>
      <c r="Q465" t="s">
        <v>1728</v>
      </c>
    </row>
    <row r="466" spans="2:17">
      <c r="B466" t="s">
        <v>1838</v>
      </c>
      <c r="C466" t="s">
        <v>1835</v>
      </c>
      <c r="D466">
        <v>5.6407284118279302E-5</v>
      </c>
      <c r="E466" t="s">
        <v>94</v>
      </c>
      <c r="N466" t="s">
        <v>1840</v>
      </c>
    </row>
    <row r="467" spans="2:17">
      <c r="B467" t="s">
        <v>1838</v>
      </c>
      <c r="C467" t="s">
        <v>1835</v>
      </c>
      <c r="D467">
        <v>5.6809400665476699E-5</v>
      </c>
      <c r="E467" t="s">
        <v>94</v>
      </c>
      <c r="N467" t="s">
        <v>1840</v>
      </c>
    </row>
    <row r="468" spans="2:17">
      <c r="B468" t="s">
        <v>1838</v>
      </c>
      <c r="C468" t="s">
        <v>1835</v>
      </c>
      <c r="D468">
        <v>2.11077452480132E-4</v>
      </c>
      <c r="E468" t="s">
        <v>94</v>
      </c>
      <c r="N468" t="s">
        <v>1840</v>
      </c>
    </row>
    <row r="469" spans="2:17">
      <c r="B469" t="s">
        <v>1838</v>
      </c>
      <c r="C469" t="s">
        <v>1835</v>
      </c>
      <c r="D469">
        <v>7.8227030564985596E-4</v>
      </c>
      <c r="E469" t="s">
        <v>94</v>
      </c>
      <c r="N469" t="s">
        <v>1840</v>
      </c>
    </row>
    <row r="470" spans="2:17">
      <c r="B470" t="s">
        <v>1838</v>
      </c>
      <c r="C470" t="s">
        <v>1835</v>
      </c>
      <c r="D470">
        <v>1.76651549229237E-3</v>
      </c>
      <c r="E470" t="s">
        <v>94</v>
      </c>
      <c r="N470" t="s">
        <v>1840</v>
      </c>
    </row>
    <row r="471" spans="2:17">
      <c r="B471" t="s">
        <v>919</v>
      </c>
      <c r="C471" t="s">
        <v>569</v>
      </c>
      <c r="D471">
        <v>1.46570556766234E-4</v>
      </c>
      <c r="E471" t="s">
        <v>94</v>
      </c>
      <c r="H471" t="s">
        <v>588</v>
      </c>
      <c r="I471">
        <v>1.46570556766234E-4</v>
      </c>
      <c r="J471">
        <v>1.1051709180756477</v>
      </c>
      <c r="N471" t="s">
        <v>920</v>
      </c>
      <c r="O471" t="s">
        <v>1054</v>
      </c>
      <c r="Q471" t="s">
        <v>1841</v>
      </c>
    </row>
    <row r="472" spans="2:17">
      <c r="B472" t="s">
        <v>1842</v>
      </c>
      <c r="C472" t="s">
        <v>673</v>
      </c>
      <c r="D472">
        <v>9.1783743926925205E-8</v>
      </c>
      <c r="E472" t="s">
        <v>94</v>
      </c>
      <c r="H472" t="s">
        <v>588</v>
      </c>
      <c r="I472">
        <v>9.1783743926925205E-8</v>
      </c>
      <c r="J472">
        <v>1.0247973619913604</v>
      </c>
      <c r="N472" t="s">
        <v>1843</v>
      </c>
      <c r="O472" t="s">
        <v>641</v>
      </c>
      <c r="Q472" t="s">
        <v>1672</v>
      </c>
    </row>
    <row r="473" spans="2:17">
      <c r="B473" t="s">
        <v>1844</v>
      </c>
      <c r="C473" t="s">
        <v>673</v>
      </c>
      <c r="D473">
        <v>3.73843407267898E-5</v>
      </c>
      <c r="E473" t="s">
        <v>94</v>
      </c>
      <c r="H473" t="s">
        <v>588</v>
      </c>
      <c r="I473">
        <v>3.73843407267898E-5</v>
      </c>
      <c r="J473">
        <v>1.0247973619913604</v>
      </c>
      <c r="N473" t="s">
        <v>1845</v>
      </c>
      <c r="O473" t="s">
        <v>1752</v>
      </c>
      <c r="Q473" t="s">
        <v>1753</v>
      </c>
    </row>
    <row r="474" spans="2:17">
      <c r="B474" t="s">
        <v>1846</v>
      </c>
      <c r="C474" t="s">
        <v>587</v>
      </c>
      <c r="D474">
        <v>3.3224013269536902E-6</v>
      </c>
      <c r="E474" t="s">
        <v>94</v>
      </c>
      <c r="H474" t="s">
        <v>588</v>
      </c>
      <c r="I474">
        <v>3.3224013269536902E-6</v>
      </c>
      <c r="J474">
        <v>1.0247973619913604</v>
      </c>
      <c r="O474" t="s">
        <v>641</v>
      </c>
      <c r="Q474" t="s">
        <v>1643</v>
      </c>
    </row>
    <row r="475" spans="2:17">
      <c r="B475" t="s">
        <v>1847</v>
      </c>
      <c r="C475" t="s">
        <v>1848</v>
      </c>
      <c r="D475">
        <v>3.6513126068829098E-4</v>
      </c>
      <c r="E475" t="s">
        <v>94</v>
      </c>
      <c r="H475" t="s">
        <v>588</v>
      </c>
      <c r="I475">
        <v>3.6513126068829098E-4</v>
      </c>
      <c r="J475">
        <v>1.0247973619913604</v>
      </c>
      <c r="N475" t="s">
        <v>1849</v>
      </c>
      <c r="O475" t="s">
        <v>1850</v>
      </c>
      <c r="Q475" t="s">
        <v>1851</v>
      </c>
    </row>
    <row r="476" spans="2:17">
      <c r="B476" t="s">
        <v>1847</v>
      </c>
      <c r="C476" t="s">
        <v>1848</v>
      </c>
      <c r="D476">
        <v>5.9274336542838499E-4</v>
      </c>
      <c r="E476" t="s">
        <v>94</v>
      </c>
      <c r="H476" t="s">
        <v>588</v>
      </c>
      <c r="I476">
        <v>5.9274336542838499E-4</v>
      </c>
      <c r="J476">
        <v>1.0247973619913604</v>
      </c>
      <c r="N476" t="s">
        <v>1849</v>
      </c>
      <c r="O476" t="s">
        <v>1852</v>
      </c>
      <c r="Q476" t="s">
        <v>1679</v>
      </c>
    </row>
    <row r="477" spans="2:17">
      <c r="B477" t="s">
        <v>1847</v>
      </c>
      <c r="C477" t="s">
        <v>1848</v>
      </c>
      <c r="D477">
        <v>3.6910823165132902E-4</v>
      </c>
      <c r="E477" t="s">
        <v>94</v>
      </c>
      <c r="H477" t="s">
        <v>588</v>
      </c>
      <c r="I477">
        <v>3.6910823165132902E-4</v>
      </c>
      <c r="J477">
        <v>1.0247973619913604</v>
      </c>
      <c r="N477" t="s">
        <v>1849</v>
      </c>
      <c r="O477" t="s">
        <v>1850</v>
      </c>
      <c r="Q477" t="s">
        <v>1853</v>
      </c>
    </row>
    <row r="478" spans="2:17">
      <c r="B478" t="s">
        <v>1847</v>
      </c>
      <c r="C478" t="s">
        <v>1848</v>
      </c>
      <c r="D478">
        <v>3.9769712345790697E-6</v>
      </c>
      <c r="E478" t="s">
        <v>94</v>
      </c>
      <c r="H478" t="s">
        <v>588</v>
      </c>
      <c r="I478">
        <v>3.9769712345790697E-6</v>
      </c>
      <c r="J478">
        <v>1.0247973619913604</v>
      </c>
      <c r="N478" t="s">
        <v>1849</v>
      </c>
      <c r="O478" t="s">
        <v>1850</v>
      </c>
      <c r="Q478" t="s">
        <v>1851</v>
      </c>
    </row>
    <row r="479" spans="2:17">
      <c r="B479" t="s">
        <v>1854</v>
      </c>
      <c r="C479" t="s">
        <v>676</v>
      </c>
      <c r="D479">
        <v>2.9196336928636901E-3</v>
      </c>
      <c r="E479" t="s">
        <v>94</v>
      </c>
      <c r="H479" t="s">
        <v>588</v>
      </c>
      <c r="I479">
        <v>2.9196336928636901E-3</v>
      </c>
      <c r="J479">
        <v>1</v>
      </c>
      <c r="N479" t="s">
        <v>1855</v>
      </c>
      <c r="O479" t="s">
        <v>921</v>
      </c>
      <c r="Q479" t="s">
        <v>595</v>
      </c>
    </row>
    <row r="480" spans="2:17">
      <c r="B480" t="s">
        <v>1856</v>
      </c>
      <c r="C480" t="s">
        <v>587</v>
      </c>
      <c r="D480">
        <v>4.3437596310905102E-2</v>
      </c>
      <c r="E480" t="s">
        <v>94</v>
      </c>
      <c r="H480" t="s">
        <v>588</v>
      </c>
      <c r="I480">
        <v>4.3437596310905102E-2</v>
      </c>
      <c r="J480">
        <v>1.1051709180756477</v>
      </c>
      <c r="O480" t="s">
        <v>1857</v>
      </c>
    </row>
    <row r="481" spans="2:17">
      <c r="B481" t="s">
        <v>1858</v>
      </c>
      <c r="C481" t="s">
        <v>650</v>
      </c>
      <c r="D481">
        <v>2.4718402422086701E-5</v>
      </c>
      <c r="E481" t="s">
        <v>94</v>
      </c>
      <c r="H481" t="s">
        <v>588</v>
      </c>
      <c r="I481">
        <v>2.4718402422086701E-5</v>
      </c>
      <c r="J481">
        <v>1.0247973619913604</v>
      </c>
      <c r="N481" t="s">
        <v>1859</v>
      </c>
      <c r="O481" t="s">
        <v>1713</v>
      </c>
      <c r="Q481" t="s">
        <v>1860</v>
      </c>
    </row>
    <row r="482" spans="2:17">
      <c r="B482" t="s">
        <v>1861</v>
      </c>
      <c r="C482" t="s">
        <v>1862</v>
      </c>
      <c r="D482">
        <v>2.6967215970020301E-5</v>
      </c>
      <c r="E482" t="s">
        <v>94</v>
      </c>
      <c r="H482" t="s">
        <v>588</v>
      </c>
      <c r="I482">
        <v>2.6967215970020301E-5</v>
      </c>
      <c r="J482">
        <v>1</v>
      </c>
      <c r="N482" t="s">
        <v>1863</v>
      </c>
      <c r="O482" t="s">
        <v>1864</v>
      </c>
      <c r="Q482" t="s">
        <v>1790</v>
      </c>
    </row>
    <row r="483" spans="2:17">
      <c r="B483" t="s">
        <v>1865</v>
      </c>
      <c r="C483" t="s">
        <v>1862</v>
      </c>
      <c r="D483">
        <v>1.3873629758825099E-5</v>
      </c>
      <c r="E483" t="s">
        <v>94</v>
      </c>
      <c r="H483" t="s">
        <v>588</v>
      </c>
      <c r="I483">
        <v>1.3873629758825099E-5</v>
      </c>
      <c r="J483">
        <v>1.1051709180756477</v>
      </c>
      <c r="N483" t="s">
        <v>1866</v>
      </c>
      <c r="O483" t="s">
        <v>1789</v>
      </c>
      <c r="Q483" t="s">
        <v>1790</v>
      </c>
    </row>
    <row r="484" spans="2:17">
      <c r="B484" t="s">
        <v>1867</v>
      </c>
      <c r="C484" t="s">
        <v>1862</v>
      </c>
      <c r="D484">
        <v>3.0583659431257099E-6</v>
      </c>
      <c r="E484" t="s">
        <v>94</v>
      </c>
      <c r="H484" t="s">
        <v>588</v>
      </c>
      <c r="I484">
        <v>3.0583659431257099E-6</v>
      </c>
      <c r="J484">
        <v>1.0805386501323246</v>
      </c>
      <c r="N484" t="s">
        <v>1868</v>
      </c>
      <c r="O484" t="s">
        <v>1665</v>
      </c>
      <c r="Q484" t="s">
        <v>1744</v>
      </c>
    </row>
    <row r="485" spans="2:17">
      <c r="B485" t="s">
        <v>1869</v>
      </c>
      <c r="C485" t="s">
        <v>1862</v>
      </c>
      <c r="D485">
        <v>7.1585828101144501E-5</v>
      </c>
      <c r="E485" t="s">
        <v>94</v>
      </c>
      <c r="H485" t="s">
        <v>588</v>
      </c>
      <c r="I485">
        <v>7.1585828101144501E-5</v>
      </c>
      <c r="J485">
        <v>1.0247973619913604</v>
      </c>
      <c r="N485" t="s">
        <v>1870</v>
      </c>
      <c r="O485" t="s">
        <v>1695</v>
      </c>
      <c r="Q485" t="s">
        <v>1871</v>
      </c>
    </row>
    <row r="486" spans="2:17">
      <c r="B486" t="s">
        <v>646</v>
      </c>
      <c r="C486" t="s">
        <v>569</v>
      </c>
      <c r="D486">
        <v>4.30214028899077E-3</v>
      </c>
      <c r="E486" t="s">
        <v>94</v>
      </c>
      <c r="H486" t="s">
        <v>588</v>
      </c>
      <c r="I486">
        <v>4.30214028899077E-3</v>
      </c>
      <c r="J486">
        <v>2.2394398661220611</v>
      </c>
      <c r="N486" t="s">
        <v>1048</v>
      </c>
      <c r="O486" t="s">
        <v>1082</v>
      </c>
      <c r="Q486" t="s">
        <v>811</v>
      </c>
    </row>
    <row r="487" spans="2:17">
      <c r="B487" t="s">
        <v>1872</v>
      </c>
      <c r="C487" t="s">
        <v>1873</v>
      </c>
      <c r="D487">
        <v>1.03512049492231E-3</v>
      </c>
      <c r="E487" t="s">
        <v>94</v>
      </c>
      <c r="N487" t="s">
        <v>1874</v>
      </c>
    </row>
    <row r="488" spans="2:17">
      <c r="B488" t="s">
        <v>1872</v>
      </c>
      <c r="C488" t="s">
        <v>1873</v>
      </c>
      <c r="D488">
        <v>9.15058267503392E-4</v>
      </c>
      <c r="E488" t="s">
        <v>94</v>
      </c>
      <c r="N488" t="s">
        <v>1875</v>
      </c>
    </row>
    <row r="489" spans="2:17">
      <c r="B489" t="s">
        <v>1872</v>
      </c>
      <c r="C489" t="s">
        <v>1873</v>
      </c>
      <c r="D489">
        <v>2.34421919565328E-4</v>
      </c>
      <c r="E489" t="s">
        <v>94</v>
      </c>
      <c r="H489" t="s">
        <v>588</v>
      </c>
      <c r="I489">
        <v>2.34421919565328E-4</v>
      </c>
      <c r="J489">
        <v>1.0247973619913604</v>
      </c>
      <c r="N489" t="s">
        <v>1876</v>
      </c>
      <c r="O489" t="s">
        <v>1806</v>
      </c>
      <c r="Q489" t="s">
        <v>1728</v>
      </c>
    </row>
    <row r="490" spans="2:17">
      <c r="B490" t="s">
        <v>1872</v>
      </c>
      <c r="C490" t="s">
        <v>1873</v>
      </c>
      <c r="D490">
        <v>2.4571667715494002E-6</v>
      </c>
      <c r="E490" t="s">
        <v>94</v>
      </c>
      <c r="N490" t="s">
        <v>1875</v>
      </c>
    </row>
    <row r="491" spans="2:17">
      <c r="B491" t="s">
        <v>1872</v>
      </c>
      <c r="C491" t="s">
        <v>1873</v>
      </c>
      <c r="D491">
        <v>8.8006718048044895E-7</v>
      </c>
      <c r="E491" t="s">
        <v>94</v>
      </c>
      <c r="N491" t="s">
        <v>1875</v>
      </c>
    </row>
    <row r="492" spans="2:17">
      <c r="B492" t="s">
        <v>1877</v>
      </c>
      <c r="C492" t="s">
        <v>664</v>
      </c>
      <c r="D492">
        <v>6.0256422703501697E-4</v>
      </c>
      <c r="E492" t="s">
        <v>94</v>
      </c>
      <c r="H492" t="s">
        <v>588</v>
      </c>
      <c r="I492">
        <v>6.0256422703501697E-4</v>
      </c>
      <c r="J492">
        <v>1.0247973619913604</v>
      </c>
      <c r="N492" t="s">
        <v>1878</v>
      </c>
      <c r="O492" t="s">
        <v>873</v>
      </c>
      <c r="Q492" t="s">
        <v>907</v>
      </c>
    </row>
    <row r="493" spans="2:17">
      <c r="B493" t="s">
        <v>1879</v>
      </c>
      <c r="C493" t="s">
        <v>1635</v>
      </c>
      <c r="D493">
        <v>4.6818090251743802E-7</v>
      </c>
      <c r="E493" t="s">
        <v>94</v>
      </c>
      <c r="H493" t="s">
        <v>588</v>
      </c>
      <c r="I493">
        <v>4.6818090251743802E-7</v>
      </c>
      <c r="J493">
        <v>1</v>
      </c>
      <c r="N493" t="s">
        <v>1880</v>
      </c>
      <c r="O493" t="s">
        <v>834</v>
      </c>
      <c r="Q493" t="s">
        <v>979</v>
      </c>
    </row>
    <row r="494" spans="2:17">
      <c r="B494" t="s">
        <v>1881</v>
      </c>
      <c r="C494" t="s">
        <v>673</v>
      </c>
      <c r="D494">
        <v>3.0300329133850202E-6</v>
      </c>
      <c r="E494" t="s">
        <v>94</v>
      </c>
      <c r="H494" t="s">
        <v>588</v>
      </c>
      <c r="I494">
        <v>3.0300329133850202E-6</v>
      </c>
      <c r="J494">
        <v>1.0247973619913604</v>
      </c>
      <c r="N494" t="s">
        <v>1882</v>
      </c>
      <c r="O494" t="s">
        <v>1883</v>
      </c>
    </row>
    <row r="495" spans="2:17">
      <c r="B495" t="s">
        <v>1884</v>
      </c>
      <c r="C495" t="s">
        <v>1635</v>
      </c>
      <c r="D495">
        <v>1.60020000561951E-6</v>
      </c>
      <c r="E495" t="s">
        <v>94</v>
      </c>
      <c r="H495" t="s">
        <v>588</v>
      </c>
      <c r="I495">
        <v>1.60020000561951E-6</v>
      </c>
      <c r="J495">
        <v>1.074399999999982</v>
      </c>
      <c r="N495" t="s">
        <v>1885</v>
      </c>
      <c r="O495" t="s">
        <v>1435</v>
      </c>
      <c r="Q495" t="s">
        <v>1886</v>
      </c>
    </row>
    <row r="496" spans="2:17">
      <c r="B496" t="s">
        <v>1887</v>
      </c>
      <c r="C496" t="s">
        <v>673</v>
      </c>
      <c r="D496">
        <v>4.7274915318542499E-5</v>
      </c>
      <c r="E496" t="s">
        <v>94</v>
      </c>
      <c r="H496" t="s">
        <v>588</v>
      </c>
      <c r="I496">
        <v>4.7274915318542499E-5</v>
      </c>
      <c r="J496">
        <v>1.0247973619913604</v>
      </c>
      <c r="N496" t="s">
        <v>1888</v>
      </c>
      <c r="O496" t="s">
        <v>1889</v>
      </c>
      <c r="Q496" t="s">
        <v>1890</v>
      </c>
    </row>
    <row r="497" spans="2:17">
      <c r="B497" t="s">
        <v>1891</v>
      </c>
      <c r="C497" t="s">
        <v>1892</v>
      </c>
      <c r="D497">
        <v>5.2645362592639705E-7</v>
      </c>
      <c r="E497" t="s">
        <v>94</v>
      </c>
      <c r="H497" t="s">
        <v>588</v>
      </c>
      <c r="I497">
        <v>5.2645362592639705E-7</v>
      </c>
      <c r="J497">
        <v>1.499999999999694</v>
      </c>
      <c r="N497" t="s">
        <v>1893</v>
      </c>
      <c r="O497" t="s">
        <v>952</v>
      </c>
      <c r="Q497" t="s">
        <v>1894</v>
      </c>
    </row>
    <row r="498" spans="2:17">
      <c r="B498" t="s">
        <v>591</v>
      </c>
      <c r="C498" t="s">
        <v>592</v>
      </c>
      <c r="D498">
        <v>4.0610964536269701E-5</v>
      </c>
      <c r="E498" t="s">
        <v>94</v>
      </c>
      <c r="H498" t="s">
        <v>588</v>
      </c>
      <c r="I498">
        <v>4.0610964536269701E-5</v>
      </c>
      <c r="J498">
        <v>1.0247973619913604</v>
      </c>
      <c r="N498" t="s">
        <v>1895</v>
      </c>
      <c r="O498" t="s">
        <v>1896</v>
      </c>
      <c r="Q498" t="s">
        <v>1897</v>
      </c>
    </row>
    <row r="499" spans="2:17">
      <c r="B499" t="s">
        <v>591</v>
      </c>
      <c r="C499" t="s">
        <v>592</v>
      </c>
      <c r="D499">
        <v>7.1832115765207903E-6</v>
      </c>
      <c r="E499" t="s">
        <v>94</v>
      </c>
      <c r="H499" t="s">
        <v>588</v>
      </c>
      <c r="I499">
        <v>7.1832115765207903E-6</v>
      </c>
      <c r="J499">
        <v>1.0247973619913604</v>
      </c>
      <c r="N499" t="s">
        <v>593</v>
      </c>
      <c r="O499" t="s">
        <v>641</v>
      </c>
      <c r="Q499" t="s">
        <v>1643</v>
      </c>
    </row>
    <row r="500" spans="2:17">
      <c r="B500" t="s">
        <v>1898</v>
      </c>
      <c r="C500" t="s">
        <v>1249</v>
      </c>
      <c r="D500">
        <v>1.10774478350517E-5</v>
      </c>
      <c r="E500" t="s">
        <v>94</v>
      </c>
      <c r="H500" t="s">
        <v>588</v>
      </c>
      <c r="I500">
        <v>1.10774478350517E-5</v>
      </c>
      <c r="J500">
        <v>1.499999999999694</v>
      </c>
      <c r="N500" t="s">
        <v>1899</v>
      </c>
      <c r="O500" t="s">
        <v>952</v>
      </c>
      <c r="Q500" t="s">
        <v>1900</v>
      </c>
    </row>
    <row r="501" spans="2:17">
      <c r="B501" t="s">
        <v>1898</v>
      </c>
      <c r="C501" t="s">
        <v>1249</v>
      </c>
      <c r="D501">
        <v>1.1251963873136801E-5</v>
      </c>
      <c r="E501" t="s">
        <v>94</v>
      </c>
      <c r="H501" t="s">
        <v>588</v>
      </c>
      <c r="I501">
        <v>1.1251963873136801E-5</v>
      </c>
      <c r="J501">
        <v>1.499999999999694</v>
      </c>
      <c r="N501" t="s">
        <v>1901</v>
      </c>
      <c r="O501" t="s">
        <v>952</v>
      </c>
      <c r="Q501" t="s">
        <v>1900</v>
      </c>
    </row>
    <row r="502" spans="2:17">
      <c r="B502" t="s">
        <v>1902</v>
      </c>
      <c r="C502" t="s">
        <v>1698</v>
      </c>
      <c r="D502">
        <v>1.75679188215591E-6</v>
      </c>
      <c r="E502" t="s">
        <v>616</v>
      </c>
      <c r="H502" t="s">
        <v>588</v>
      </c>
      <c r="I502">
        <v>1.75679188215591E-6</v>
      </c>
      <c r="J502">
        <v>1.7293101253499219</v>
      </c>
      <c r="N502" t="s">
        <v>1903</v>
      </c>
      <c r="O502" t="s">
        <v>1713</v>
      </c>
      <c r="Q502" t="s">
        <v>1904</v>
      </c>
    </row>
    <row r="503" spans="2:17">
      <c r="B503" t="s">
        <v>1905</v>
      </c>
      <c r="C503" t="s">
        <v>1698</v>
      </c>
      <c r="D503">
        <v>2.6567675606642999E-5</v>
      </c>
      <c r="E503" t="s">
        <v>616</v>
      </c>
      <c r="H503" t="s">
        <v>588</v>
      </c>
      <c r="I503">
        <v>2.6567675606642999E-5</v>
      </c>
      <c r="J503">
        <v>1.7293101253499219</v>
      </c>
      <c r="N503" t="s">
        <v>1906</v>
      </c>
      <c r="O503" t="s">
        <v>1713</v>
      </c>
      <c r="Q503" t="s">
        <v>1907</v>
      </c>
    </row>
    <row r="504" spans="2:17">
      <c r="B504" t="s">
        <v>1908</v>
      </c>
      <c r="C504" t="s">
        <v>673</v>
      </c>
      <c r="D504">
        <v>3.61680254197445E-6</v>
      </c>
      <c r="E504" t="s">
        <v>94</v>
      </c>
      <c r="H504" t="s">
        <v>588</v>
      </c>
      <c r="I504">
        <v>3.61680254197445E-6</v>
      </c>
      <c r="J504">
        <v>1</v>
      </c>
      <c r="N504" t="s">
        <v>1909</v>
      </c>
      <c r="O504" t="s">
        <v>956</v>
      </c>
      <c r="Q504" t="s">
        <v>1910</v>
      </c>
    </row>
    <row r="505" spans="2:17">
      <c r="B505" t="s">
        <v>1911</v>
      </c>
      <c r="C505" t="s">
        <v>587</v>
      </c>
      <c r="D505">
        <v>4.30751814803385E-7</v>
      </c>
      <c r="E505" t="s">
        <v>94</v>
      </c>
      <c r="Q505" t="s">
        <v>1776</v>
      </c>
    </row>
    <row r="506" spans="2:17">
      <c r="B506" t="s">
        <v>1912</v>
      </c>
      <c r="C506" t="s">
        <v>853</v>
      </c>
      <c r="D506">
        <v>9.3767042973942003E-5</v>
      </c>
      <c r="E506" t="s">
        <v>94</v>
      </c>
      <c r="H506" t="s">
        <v>588</v>
      </c>
      <c r="I506">
        <v>9.3767042973942003E-5</v>
      </c>
      <c r="J506">
        <v>1.074399999999982</v>
      </c>
      <c r="N506" t="s">
        <v>1913</v>
      </c>
      <c r="O506" t="s">
        <v>1435</v>
      </c>
      <c r="Q506" t="s">
        <v>1886</v>
      </c>
    </row>
    <row r="507" spans="2:17">
      <c r="B507" t="s">
        <v>1167</v>
      </c>
      <c r="C507" t="s">
        <v>667</v>
      </c>
      <c r="D507">
        <v>8.1824987742611801E-6</v>
      </c>
      <c r="E507" t="s">
        <v>94</v>
      </c>
      <c r="H507" t="s">
        <v>588</v>
      </c>
      <c r="I507">
        <v>8.1824987742611801E-6</v>
      </c>
      <c r="J507">
        <v>1.0247973619913604</v>
      </c>
      <c r="N507" t="s">
        <v>1168</v>
      </c>
      <c r="O507" t="s">
        <v>1914</v>
      </c>
      <c r="Q507" t="s">
        <v>1915</v>
      </c>
    </row>
    <row r="508" spans="2:17">
      <c r="B508" t="s">
        <v>1167</v>
      </c>
      <c r="C508" t="s">
        <v>667</v>
      </c>
      <c r="D508">
        <v>2.4896240771619E-6</v>
      </c>
      <c r="E508" t="s">
        <v>94</v>
      </c>
      <c r="H508" t="s">
        <v>588</v>
      </c>
      <c r="I508">
        <v>2.4896240771619E-6</v>
      </c>
      <c r="J508">
        <v>1.0247973619913604</v>
      </c>
      <c r="N508" t="s">
        <v>1168</v>
      </c>
      <c r="O508" t="s">
        <v>1914</v>
      </c>
      <c r="Q508" t="s">
        <v>1915</v>
      </c>
    </row>
    <row r="509" spans="2:17">
      <c r="B509" t="s">
        <v>1916</v>
      </c>
      <c r="C509" t="s">
        <v>1138</v>
      </c>
      <c r="D509">
        <v>1.8997405413212999E-6</v>
      </c>
      <c r="E509" t="s">
        <v>94</v>
      </c>
      <c r="H509" t="s">
        <v>588</v>
      </c>
      <c r="I509">
        <v>1.8997405413212999E-6</v>
      </c>
      <c r="J509">
        <v>1</v>
      </c>
      <c r="N509" t="s">
        <v>1917</v>
      </c>
      <c r="O509" t="s">
        <v>1918</v>
      </c>
      <c r="Q509" t="s">
        <v>595</v>
      </c>
    </row>
    <row r="510" spans="2:17">
      <c r="B510" t="s">
        <v>1919</v>
      </c>
      <c r="C510" t="s">
        <v>1830</v>
      </c>
      <c r="D510">
        <v>1.7159581336501301E-4</v>
      </c>
      <c r="E510" t="s">
        <v>94</v>
      </c>
      <c r="H510" t="s">
        <v>588</v>
      </c>
      <c r="I510">
        <v>1.7159581336501301E-4</v>
      </c>
      <c r="J510">
        <v>1.0247973619913604</v>
      </c>
      <c r="N510" t="s">
        <v>1920</v>
      </c>
      <c r="O510" t="s">
        <v>1806</v>
      </c>
      <c r="Q510" t="s">
        <v>1728</v>
      </c>
    </row>
    <row r="511" spans="2:17">
      <c r="B511" t="s">
        <v>1919</v>
      </c>
      <c r="C511" t="s">
        <v>1830</v>
      </c>
      <c r="D511">
        <v>1.4299651113751099E-3</v>
      </c>
      <c r="E511" t="s">
        <v>94</v>
      </c>
      <c r="N511" t="s">
        <v>1921</v>
      </c>
    </row>
    <row r="512" spans="2:17">
      <c r="B512" t="s">
        <v>1922</v>
      </c>
      <c r="C512" t="s">
        <v>667</v>
      </c>
      <c r="D512">
        <v>6.2669857174039003E-5</v>
      </c>
      <c r="E512" t="s">
        <v>94</v>
      </c>
      <c r="H512" t="s">
        <v>588</v>
      </c>
      <c r="I512">
        <v>6.2669857174039003E-5</v>
      </c>
      <c r="J512">
        <v>1</v>
      </c>
      <c r="N512" t="s">
        <v>1923</v>
      </c>
      <c r="O512" t="s">
        <v>1157</v>
      </c>
      <c r="Q512" t="s">
        <v>1924</v>
      </c>
    </row>
    <row r="513" spans="2:17">
      <c r="B513" t="s">
        <v>1925</v>
      </c>
      <c r="C513" t="s">
        <v>857</v>
      </c>
      <c r="D513">
        <v>1.3160345659570301E-10</v>
      </c>
      <c r="E513" t="s">
        <v>616</v>
      </c>
      <c r="H513" t="s">
        <v>588</v>
      </c>
      <c r="I513">
        <v>1.3160345659570301E-10</v>
      </c>
      <c r="J513">
        <v>1.7293101253499219</v>
      </c>
      <c r="N513" t="s">
        <v>1926</v>
      </c>
      <c r="O513" t="s">
        <v>1927</v>
      </c>
      <c r="Q513" t="s">
        <v>1928</v>
      </c>
    </row>
    <row r="514" spans="2:17">
      <c r="B514" t="s">
        <v>1925</v>
      </c>
      <c r="C514" t="s">
        <v>857</v>
      </c>
      <c r="D514">
        <v>4.8962255910620099E-10</v>
      </c>
      <c r="E514" t="s">
        <v>616</v>
      </c>
      <c r="H514" t="s">
        <v>588</v>
      </c>
      <c r="I514">
        <v>4.8962255910620099E-10</v>
      </c>
      <c r="J514">
        <v>1.7293101253499219</v>
      </c>
      <c r="N514" t="s">
        <v>1926</v>
      </c>
      <c r="O514" t="s">
        <v>1929</v>
      </c>
      <c r="Q514" t="s">
        <v>1930</v>
      </c>
    </row>
    <row r="515" spans="2:17">
      <c r="B515" t="s">
        <v>1931</v>
      </c>
      <c r="C515" t="s">
        <v>857</v>
      </c>
      <c r="D515">
        <v>5.2606919168634004E-6</v>
      </c>
      <c r="E515" t="s">
        <v>626</v>
      </c>
      <c r="H515" t="s">
        <v>588</v>
      </c>
      <c r="I515">
        <v>5.2606919168634004E-6</v>
      </c>
      <c r="J515">
        <v>1.0321280889960358</v>
      </c>
      <c r="N515" t="s">
        <v>1932</v>
      </c>
      <c r="O515" t="s">
        <v>1827</v>
      </c>
      <c r="Q515" t="s">
        <v>1933</v>
      </c>
    </row>
    <row r="516" spans="2:17">
      <c r="B516" t="s">
        <v>1931</v>
      </c>
      <c r="C516" t="s">
        <v>857</v>
      </c>
      <c r="D516">
        <v>1.7000282664056502E-5</v>
      </c>
      <c r="E516" t="s">
        <v>626</v>
      </c>
      <c r="H516" t="s">
        <v>588</v>
      </c>
      <c r="I516">
        <v>1.7000282664056502E-5</v>
      </c>
      <c r="J516">
        <v>1.760654165524179</v>
      </c>
      <c r="N516" t="s">
        <v>1934</v>
      </c>
      <c r="O516" t="s">
        <v>1770</v>
      </c>
      <c r="Q516" t="s">
        <v>979</v>
      </c>
    </row>
    <row r="517" spans="2:17">
      <c r="B517" t="s">
        <v>1935</v>
      </c>
      <c r="C517" t="s">
        <v>857</v>
      </c>
      <c r="D517">
        <v>1.5673582722000099E-6</v>
      </c>
      <c r="E517" t="s">
        <v>626</v>
      </c>
      <c r="H517" t="s">
        <v>588</v>
      </c>
      <c r="I517">
        <v>1.5673582722000099E-6</v>
      </c>
      <c r="J517">
        <v>1.6334817274386593</v>
      </c>
      <c r="N517" t="s">
        <v>1936</v>
      </c>
      <c r="O517" t="s">
        <v>1937</v>
      </c>
      <c r="Q517" t="s">
        <v>1938</v>
      </c>
    </row>
    <row r="518" spans="2:17">
      <c r="B518" t="s">
        <v>1935</v>
      </c>
      <c r="C518" t="s">
        <v>857</v>
      </c>
      <c r="D518">
        <v>1.0296966265776601E-6</v>
      </c>
      <c r="E518" t="s">
        <v>626</v>
      </c>
      <c r="H518" t="s">
        <v>588</v>
      </c>
      <c r="I518">
        <v>1.0296966265776601E-6</v>
      </c>
      <c r="J518">
        <v>1.760654165524179</v>
      </c>
      <c r="N518" t="s">
        <v>1939</v>
      </c>
      <c r="O518" t="s">
        <v>1940</v>
      </c>
      <c r="Q518" t="s">
        <v>1941</v>
      </c>
    </row>
    <row r="519" spans="2:17">
      <c r="B519" t="s">
        <v>1942</v>
      </c>
      <c r="C519" t="s">
        <v>857</v>
      </c>
      <c r="D519">
        <v>1.31887767699564E-9</v>
      </c>
      <c r="E519" t="s">
        <v>616</v>
      </c>
      <c r="H519" t="s">
        <v>588</v>
      </c>
      <c r="I519">
        <v>1.31887767699564E-9</v>
      </c>
      <c r="J519">
        <v>1.7293101253499219</v>
      </c>
      <c r="N519" t="s">
        <v>1943</v>
      </c>
      <c r="O519" t="s">
        <v>1927</v>
      </c>
      <c r="Q519" t="s">
        <v>1928</v>
      </c>
    </row>
    <row r="520" spans="2:17">
      <c r="B520" t="s">
        <v>1942</v>
      </c>
      <c r="C520" t="s">
        <v>857</v>
      </c>
      <c r="D520">
        <v>7.5254269704652102E-10</v>
      </c>
      <c r="E520" t="s">
        <v>616</v>
      </c>
      <c r="H520" t="s">
        <v>588</v>
      </c>
      <c r="I520">
        <v>7.5254269704652102E-10</v>
      </c>
      <c r="J520">
        <v>1.7293101253499219</v>
      </c>
      <c r="N520" t="s">
        <v>1943</v>
      </c>
      <c r="O520" t="s">
        <v>1927</v>
      </c>
      <c r="Q520" t="s">
        <v>1944</v>
      </c>
    </row>
    <row r="521" spans="2:17">
      <c r="B521" t="s">
        <v>1945</v>
      </c>
      <c r="C521" t="s">
        <v>857</v>
      </c>
      <c r="D521">
        <v>3.10992816437331E-12</v>
      </c>
      <c r="E521" t="s">
        <v>616</v>
      </c>
      <c r="H521" t="s">
        <v>588</v>
      </c>
      <c r="I521">
        <v>3.10992816437331E-12</v>
      </c>
      <c r="J521">
        <v>1.7293101253499219</v>
      </c>
      <c r="N521" t="s">
        <v>1946</v>
      </c>
      <c r="O521" t="s">
        <v>1927</v>
      </c>
      <c r="Q521" t="s">
        <v>1928</v>
      </c>
    </row>
    <row r="522" spans="2:17">
      <c r="B522" t="s">
        <v>1945</v>
      </c>
      <c r="C522" t="s">
        <v>857</v>
      </c>
      <c r="D522">
        <v>6.0918823615945901E-12</v>
      </c>
      <c r="E522" t="s">
        <v>616</v>
      </c>
      <c r="H522" t="s">
        <v>588</v>
      </c>
      <c r="I522">
        <v>6.0918823615945901E-12</v>
      </c>
      <c r="J522">
        <v>1.0247973619913604</v>
      </c>
      <c r="N522" t="s">
        <v>1946</v>
      </c>
      <c r="O522" t="s">
        <v>1927</v>
      </c>
      <c r="Q522" t="s">
        <v>1928</v>
      </c>
    </row>
    <row r="523" spans="2:17">
      <c r="B523" t="s">
        <v>1947</v>
      </c>
      <c r="C523" t="s">
        <v>857</v>
      </c>
      <c r="D523">
        <v>1.9814808334845301E-5</v>
      </c>
      <c r="E523" t="s">
        <v>640</v>
      </c>
      <c r="H523" t="s">
        <v>588</v>
      </c>
      <c r="I523">
        <v>1.9814808334845301E-5</v>
      </c>
      <c r="J523">
        <v>1.760654165524179</v>
      </c>
      <c r="N523" t="s">
        <v>1948</v>
      </c>
      <c r="O523" t="s">
        <v>1770</v>
      </c>
      <c r="Q523" t="s">
        <v>1949</v>
      </c>
    </row>
    <row r="524" spans="2:17">
      <c r="B524" t="s">
        <v>1947</v>
      </c>
      <c r="C524" t="s">
        <v>857</v>
      </c>
      <c r="D524">
        <v>1.86139484960701E-6</v>
      </c>
      <c r="E524" t="s">
        <v>640</v>
      </c>
      <c r="H524" t="s">
        <v>588</v>
      </c>
      <c r="I524">
        <v>1.86139484960701E-6</v>
      </c>
      <c r="J524">
        <v>2.0993333641911049</v>
      </c>
      <c r="N524" t="s">
        <v>1950</v>
      </c>
      <c r="O524" t="s">
        <v>1951</v>
      </c>
      <c r="Q524" t="s">
        <v>1952</v>
      </c>
    </row>
    <row r="525" spans="2:17">
      <c r="B525" t="s">
        <v>1953</v>
      </c>
      <c r="C525" t="s">
        <v>857</v>
      </c>
      <c r="D525">
        <v>1.05670233966896E-10</v>
      </c>
      <c r="E525" t="s">
        <v>616</v>
      </c>
      <c r="H525" t="s">
        <v>588</v>
      </c>
      <c r="I525">
        <v>1.05670233966896E-10</v>
      </c>
      <c r="J525">
        <v>1.7293101253499219</v>
      </c>
      <c r="N525" t="s">
        <v>1954</v>
      </c>
      <c r="O525" t="s">
        <v>1927</v>
      </c>
      <c r="Q525" t="s">
        <v>1928</v>
      </c>
    </row>
    <row r="526" spans="2:17">
      <c r="B526" t="s">
        <v>1955</v>
      </c>
      <c r="C526" t="s">
        <v>701</v>
      </c>
      <c r="D526">
        <v>3.3499729455772198E-4</v>
      </c>
      <c r="E526" t="s">
        <v>94</v>
      </c>
      <c r="H526" t="s">
        <v>588</v>
      </c>
      <c r="I526">
        <v>3.3499729455772198E-4</v>
      </c>
      <c r="J526">
        <v>1.0247973619913604</v>
      </c>
      <c r="N526" t="s">
        <v>1956</v>
      </c>
      <c r="O526" t="s">
        <v>1957</v>
      </c>
      <c r="Q526" t="s">
        <v>1958</v>
      </c>
    </row>
    <row r="527" spans="2:17">
      <c r="B527" t="s">
        <v>1959</v>
      </c>
      <c r="C527" t="s">
        <v>673</v>
      </c>
      <c r="D527">
        <v>2.8693508525673498E-8</v>
      </c>
      <c r="E527" t="s">
        <v>94</v>
      </c>
      <c r="H527" t="s">
        <v>588</v>
      </c>
      <c r="I527">
        <v>2.8693508525673498E-8</v>
      </c>
      <c r="J527">
        <v>1.0247973619913604</v>
      </c>
      <c r="N527" t="s">
        <v>1960</v>
      </c>
      <c r="O527" t="s">
        <v>641</v>
      </c>
      <c r="Q527" t="s">
        <v>1672</v>
      </c>
    </row>
    <row r="528" spans="2:17">
      <c r="B528" t="s">
        <v>1961</v>
      </c>
      <c r="C528" t="s">
        <v>1830</v>
      </c>
      <c r="D528">
        <v>1.8684647246653501E-3</v>
      </c>
      <c r="E528" t="s">
        <v>94</v>
      </c>
      <c r="N528" t="s">
        <v>1962</v>
      </c>
    </row>
    <row r="529" spans="2:17">
      <c r="B529" t="s">
        <v>1961</v>
      </c>
      <c r="C529" t="s">
        <v>1830</v>
      </c>
      <c r="D529">
        <v>2.2421576695984299E-4</v>
      </c>
      <c r="E529" t="s">
        <v>94</v>
      </c>
      <c r="H529" t="s">
        <v>588</v>
      </c>
      <c r="I529">
        <v>2.2421576695984299E-4</v>
      </c>
      <c r="J529">
        <v>1.0247973619913604</v>
      </c>
      <c r="N529" t="s">
        <v>1963</v>
      </c>
      <c r="O529" t="s">
        <v>1806</v>
      </c>
      <c r="Q529" t="s">
        <v>1728</v>
      </c>
    </row>
    <row r="530" spans="2:17">
      <c r="B530" t="s">
        <v>1964</v>
      </c>
      <c r="C530" t="s">
        <v>1830</v>
      </c>
      <c r="D530">
        <v>1.15530437724424E-5</v>
      </c>
      <c r="E530" t="s">
        <v>94</v>
      </c>
      <c r="N530" t="s">
        <v>1965</v>
      </c>
    </row>
    <row r="531" spans="2:17">
      <c r="B531" t="s">
        <v>1964</v>
      </c>
      <c r="C531" t="s">
        <v>1830</v>
      </c>
      <c r="D531">
        <v>2.2421576695984299E-4</v>
      </c>
      <c r="E531" t="s">
        <v>94</v>
      </c>
      <c r="H531" t="s">
        <v>588</v>
      </c>
      <c r="I531">
        <v>2.2421576695984299E-4</v>
      </c>
      <c r="J531">
        <v>1.0247973619913604</v>
      </c>
      <c r="N531" t="s">
        <v>1966</v>
      </c>
      <c r="O531" t="s">
        <v>1806</v>
      </c>
      <c r="Q531" t="s">
        <v>1728</v>
      </c>
    </row>
    <row r="532" spans="2:17">
      <c r="B532" t="s">
        <v>1964</v>
      </c>
      <c r="C532" t="s">
        <v>1830</v>
      </c>
      <c r="D532">
        <v>1.88255110899427E-5</v>
      </c>
      <c r="E532" t="s">
        <v>94</v>
      </c>
      <c r="N532" t="s">
        <v>1965</v>
      </c>
    </row>
    <row r="533" spans="2:17">
      <c r="B533" t="s">
        <v>1964</v>
      </c>
      <c r="C533" t="s">
        <v>1830</v>
      </c>
      <c r="D533">
        <v>1.8380861698029699E-3</v>
      </c>
      <c r="E533" t="s">
        <v>94</v>
      </c>
      <c r="N533" t="s">
        <v>1965</v>
      </c>
    </row>
    <row r="534" spans="2:17">
      <c r="B534" t="s">
        <v>1169</v>
      </c>
      <c r="C534" t="s">
        <v>1170</v>
      </c>
      <c r="D534">
        <v>3.4028711252613098E-4</v>
      </c>
      <c r="E534" t="s">
        <v>1171</v>
      </c>
      <c r="H534" t="s">
        <v>588</v>
      </c>
      <c r="I534">
        <v>3.4028711252613098E-4</v>
      </c>
      <c r="J534">
        <v>1.1051709180756477</v>
      </c>
      <c r="N534" t="s">
        <v>1172</v>
      </c>
      <c r="O534" t="s">
        <v>1967</v>
      </c>
      <c r="Q534" t="s">
        <v>1968</v>
      </c>
    </row>
    <row r="535" spans="2:17">
      <c r="B535" t="s">
        <v>1969</v>
      </c>
      <c r="C535" t="s">
        <v>1170</v>
      </c>
      <c r="D535">
        <v>5.8133084209317498E-5</v>
      </c>
      <c r="E535" t="s">
        <v>1171</v>
      </c>
      <c r="H535" t="s">
        <v>588</v>
      </c>
      <c r="I535">
        <v>5.8133084209317498E-5</v>
      </c>
      <c r="J535">
        <v>2.4732634510355935</v>
      </c>
      <c r="N535" t="s">
        <v>1970</v>
      </c>
      <c r="O535" t="s">
        <v>1054</v>
      </c>
      <c r="Q535" t="s">
        <v>1971</v>
      </c>
    </row>
    <row r="536" spans="2:17">
      <c r="B536" t="s">
        <v>1972</v>
      </c>
      <c r="C536" t="s">
        <v>1170</v>
      </c>
      <c r="D536">
        <v>1.7359692800280501E-4</v>
      </c>
      <c r="E536" t="s">
        <v>1171</v>
      </c>
      <c r="H536" t="s">
        <v>588</v>
      </c>
      <c r="I536">
        <v>1.7359692800280501E-4</v>
      </c>
      <c r="J536">
        <v>1.151909910168909</v>
      </c>
      <c r="N536" t="s">
        <v>1973</v>
      </c>
      <c r="O536" t="s">
        <v>1967</v>
      </c>
      <c r="Q536" t="s">
        <v>811</v>
      </c>
    </row>
    <row r="537" spans="2:17">
      <c r="B537" t="s">
        <v>1174</v>
      </c>
      <c r="C537" t="s">
        <v>1170</v>
      </c>
      <c r="D537">
        <v>9.5310587584759407E-5</v>
      </c>
      <c r="E537" t="s">
        <v>1171</v>
      </c>
      <c r="H537" t="s">
        <v>588</v>
      </c>
      <c r="I537">
        <v>9.5310587584759407E-5</v>
      </c>
      <c r="J537">
        <v>1.1051709180756477</v>
      </c>
      <c r="N537" t="s">
        <v>1175</v>
      </c>
      <c r="O537" t="s">
        <v>1675</v>
      </c>
      <c r="Q537" t="s">
        <v>1974</v>
      </c>
    </row>
    <row r="538" spans="2:17">
      <c r="B538" t="s">
        <v>1176</v>
      </c>
      <c r="C538" t="s">
        <v>1170</v>
      </c>
      <c r="D538">
        <v>1.39052326266721E-7</v>
      </c>
      <c r="E538" t="s">
        <v>94</v>
      </c>
      <c r="H538" t="s">
        <v>588</v>
      </c>
      <c r="I538">
        <v>1.39052326266721E-7</v>
      </c>
      <c r="J538">
        <v>1.0247973619913604</v>
      </c>
      <c r="N538" t="s">
        <v>1177</v>
      </c>
      <c r="O538" t="s">
        <v>1914</v>
      </c>
      <c r="Q538" t="s">
        <v>1975</v>
      </c>
    </row>
    <row r="539" spans="2:17">
      <c r="B539" t="s">
        <v>1976</v>
      </c>
      <c r="C539" t="s">
        <v>1977</v>
      </c>
      <c r="D539">
        <v>1.2098194992743699E-5</v>
      </c>
      <c r="E539" t="s">
        <v>1171</v>
      </c>
      <c r="H539" t="s">
        <v>588</v>
      </c>
      <c r="I539">
        <v>1.2098194992743699E-5</v>
      </c>
      <c r="J539">
        <v>1.7450381821146503</v>
      </c>
      <c r="N539" t="s">
        <v>1978</v>
      </c>
      <c r="O539" t="s">
        <v>1054</v>
      </c>
      <c r="Q539" t="s">
        <v>1971</v>
      </c>
    </row>
    <row r="540" spans="2:17">
      <c r="B540" t="s">
        <v>1979</v>
      </c>
      <c r="C540" t="s">
        <v>1977</v>
      </c>
      <c r="D540">
        <v>1.7477583116255401E-5</v>
      </c>
      <c r="E540" t="s">
        <v>94</v>
      </c>
      <c r="H540" t="s">
        <v>588</v>
      </c>
      <c r="I540">
        <v>1.7477583116255401E-5</v>
      </c>
      <c r="J540">
        <v>1.0247973619913604</v>
      </c>
      <c r="N540" t="s">
        <v>1980</v>
      </c>
      <c r="O540" t="s">
        <v>952</v>
      </c>
      <c r="Q540" t="s">
        <v>1981</v>
      </c>
    </row>
    <row r="541" spans="2:17">
      <c r="B541" t="s">
        <v>1982</v>
      </c>
      <c r="C541" t="s">
        <v>667</v>
      </c>
      <c r="D541">
        <v>3.0254893940904599E-9</v>
      </c>
      <c r="E541" t="s">
        <v>94</v>
      </c>
      <c r="H541" t="s">
        <v>588</v>
      </c>
      <c r="I541">
        <v>3.0254893940904599E-9</v>
      </c>
      <c r="J541">
        <v>1.0247973619913604</v>
      </c>
      <c r="N541" t="s">
        <v>1983</v>
      </c>
      <c r="O541" t="s">
        <v>1984</v>
      </c>
      <c r="Q541" t="s">
        <v>1985</v>
      </c>
    </row>
    <row r="542" spans="2:17">
      <c r="B542" t="s">
        <v>1986</v>
      </c>
      <c r="C542" t="s">
        <v>673</v>
      </c>
      <c r="D542">
        <v>1.9553408715972801E-8</v>
      </c>
      <c r="E542" t="s">
        <v>94</v>
      </c>
      <c r="H542" t="s">
        <v>588</v>
      </c>
      <c r="I542">
        <v>1.9553408715972801E-8</v>
      </c>
      <c r="J542">
        <v>1</v>
      </c>
      <c r="N542" t="s">
        <v>1987</v>
      </c>
      <c r="O542" t="s">
        <v>594</v>
      </c>
      <c r="Q542" t="s">
        <v>1988</v>
      </c>
    </row>
    <row r="543" spans="2:17">
      <c r="B543" t="s">
        <v>1986</v>
      </c>
      <c r="C543" t="s">
        <v>673</v>
      </c>
      <c r="D543">
        <v>1.9563204497778701E-8</v>
      </c>
      <c r="E543" t="s">
        <v>94</v>
      </c>
      <c r="H543" t="s">
        <v>588</v>
      </c>
      <c r="I543">
        <v>1.9563204497778701E-8</v>
      </c>
      <c r="J543">
        <v>1</v>
      </c>
      <c r="N543" t="s">
        <v>1989</v>
      </c>
      <c r="O543" t="s">
        <v>594</v>
      </c>
      <c r="Q543" t="s">
        <v>1990</v>
      </c>
    </row>
    <row r="544" spans="2:17">
      <c r="B544" t="s">
        <v>1991</v>
      </c>
      <c r="C544" t="s">
        <v>673</v>
      </c>
      <c r="D544">
        <v>2.4133666798588001E-7</v>
      </c>
      <c r="E544" t="s">
        <v>94</v>
      </c>
      <c r="H544" t="s">
        <v>588</v>
      </c>
      <c r="I544">
        <v>2.4133666798588001E-7</v>
      </c>
      <c r="J544">
        <v>1</v>
      </c>
      <c r="N544" t="s">
        <v>1992</v>
      </c>
      <c r="O544" t="s">
        <v>594</v>
      </c>
      <c r="Q544" t="s">
        <v>1988</v>
      </c>
    </row>
    <row r="545" spans="2:17">
      <c r="B545" t="s">
        <v>1991</v>
      </c>
      <c r="C545" t="s">
        <v>673</v>
      </c>
      <c r="D545">
        <v>2.45770285093884E-7</v>
      </c>
      <c r="E545" t="s">
        <v>94</v>
      </c>
      <c r="H545" t="s">
        <v>588</v>
      </c>
      <c r="I545">
        <v>2.45770285093884E-7</v>
      </c>
      <c r="J545">
        <v>1.1051709180756477</v>
      </c>
      <c r="N545" t="s">
        <v>1993</v>
      </c>
      <c r="O545" t="s">
        <v>1994</v>
      </c>
      <c r="Q545" t="s">
        <v>1995</v>
      </c>
    </row>
    <row r="546" spans="2:17">
      <c r="B546" t="s">
        <v>1996</v>
      </c>
      <c r="C546" t="s">
        <v>587</v>
      </c>
      <c r="D546">
        <v>1.70900904213491E-7</v>
      </c>
      <c r="E546" t="s">
        <v>94</v>
      </c>
      <c r="H546" t="s">
        <v>588</v>
      </c>
      <c r="I546">
        <v>1.70900904213491E-7</v>
      </c>
      <c r="J546">
        <v>1.0247973619913604</v>
      </c>
      <c r="O546" t="s">
        <v>641</v>
      </c>
      <c r="Q546" t="s">
        <v>1643</v>
      </c>
    </row>
    <row r="547" spans="2:17">
      <c r="B547" t="s">
        <v>1997</v>
      </c>
      <c r="C547" t="s">
        <v>676</v>
      </c>
      <c r="D547">
        <v>2.4295687057843501E-2</v>
      </c>
      <c r="E547" t="s">
        <v>94</v>
      </c>
      <c r="H547" t="s">
        <v>588</v>
      </c>
      <c r="I547">
        <v>2.4295687057843501E-2</v>
      </c>
      <c r="J547">
        <v>1.0247973619913604</v>
      </c>
      <c r="N547" t="s">
        <v>1998</v>
      </c>
      <c r="O547" t="s">
        <v>1999</v>
      </c>
      <c r="Q547" t="s">
        <v>2000</v>
      </c>
    </row>
    <row r="548" spans="2:17">
      <c r="B548" t="s">
        <v>2001</v>
      </c>
      <c r="C548" t="s">
        <v>587</v>
      </c>
      <c r="D548">
        <v>2.3648453321849601E-3</v>
      </c>
      <c r="E548" t="s">
        <v>94</v>
      </c>
      <c r="Q548" t="s">
        <v>1776</v>
      </c>
    </row>
    <row r="549" spans="2:17">
      <c r="B549" t="s">
        <v>2002</v>
      </c>
      <c r="C549" t="s">
        <v>569</v>
      </c>
      <c r="D549">
        <v>1.2953571584603201E-4</v>
      </c>
      <c r="E549" t="s">
        <v>94</v>
      </c>
      <c r="H549" t="s">
        <v>588</v>
      </c>
      <c r="I549">
        <v>1.2953571584603201E-4</v>
      </c>
      <c r="J549">
        <v>1.0247973619913604</v>
      </c>
      <c r="N549" t="s">
        <v>2003</v>
      </c>
      <c r="O549" t="s">
        <v>2004</v>
      </c>
      <c r="Q549" t="s">
        <v>2005</v>
      </c>
    </row>
    <row r="550" spans="2:17">
      <c r="B550" t="s">
        <v>2002</v>
      </c>
      <c r="C550" t="s">
        <v>569</v>
      </c>
      <c r="D550">
        <v>2.4568268449662599E-4</v>
      </c>
      <c r="E550" t="s">
        <v>94</v>
      </c>
      <c r="H550" t="s">
        <v>588</v>
      </c>
      <c r="I550">
        <v>2.4568268449662599E-4</v>
      </c>
      <c r="J550">
        <v>1.0247973619913604</v>
      </c>
      <c r="N550" t="s">
        <v>2003</v>
      </c>
      <c r="O550" t="s">
        <v>2006</v>
      </c>
      <c r="Q550" t="s">
        <v>1679</v>
      </c>
    </row>
    <row r="551" spans="2:17">
      <c r="B551" t="s">
        <v>923</v>
      </c>
      <c r="C551" t="s">
        <v>673</v>
      </c>
      <c r="D551">
        <v>5.8062103514789001E-6</v>
      </c>
      <c r="E551" t="s">
        <v>94</v>
      </c>
      <c r="H551" t="s">
        <v>588</v>
      </c>
      <c r="I551">
        <v>5.8062103514789001E-6</v>
      </c>
      <c r="J551">
        <v>1.0247973619913604</v>
      </c>
      <c r="N551" t="s">
        <v>924</v>
      </c>
      <c r="O551" t="s">
        <v>641</v>
      </c>
      <c r="Q551" t="s">
        <v>1643</v>
      </c>
    </row>
    <row r="552" spans="2:17">
      <c r="B552" t="s">
        <v>923</v>
      </c>
      <c r="C552" t="s">
        <v>673</v>
      </c>
      <c r="D552">
        <v>9.9673155358195302E-6</v>
      </c>
      <c r="E552" t="s">
        <v>94</v>
      </c>
      <c r="H552" t="s">
        <v>588</v>
      </c>
      <c r="I552">
        <v>9.9673155358195302E-6</v>
      </c>
      <c r="J552">
        <v>1.0247973619913604</v>
      </c>
      <c r="N552" t="s">
        <v>924</v>
      </c>
      <c r="O552" t="s">
        <v>641</v>
      </c>
      <c r="Q552" t="s">
        <v>1643</v>
      </c>
    </row>
    <row r="553" spans="2:17">
      <c r="B553" t="s">
        <v>2007</v>
      </c>
      <c r="C553" t="s">
        <v>809</v>
      </c>
      <c r="D553">
        <v>1.2294392572628699E-6</v>
      </c>
      <c r="E553" t="s">
        <v>94</v>
      </c>
      <c r="H553" t="s">
        <v>588</v>
      </c>
      <c r="I553">
        <v>1.2294392572628699E-6</v>
      </c>
      <c r="J553">
        <v>1.0247973619913604</v>
      </c>
      <c r="N553" t="s">
        <v>2008</v>
      </c>
      <c r="O553" t="s">
        <v>1765</v>
      </c>
      <c r="Q553" t="s">
        <v>2009</v>
      </c>
    </row>
    <row r="554" spans="2:17">
      <c r="B554" t="s">
        <v>2007</v>
      </c>
      <c r="C554" t="s">
        <v>809</v>
      </c>
      <c r="D554">
        <v>7.2332591889282102E-4</v>
      </c>
      <c r="E554" t="s">
        <v>94</v>
      </c>
      <c r="H554" t="s">
        <v>588</v>
      </c>
      <c r="I554">
        <v>7.2332591889282102E-4</v>
      </c>
      <c r="J554">
        <v>1.1051709180756477</v>
      </c>
      <c r="N554" t="s">
        <v>2010</v>
      </c>
      <c r="O554" t="s">
        <v>1054</v>
      </c>
      <c r="Q554" t="s">
        <v>2011</v>
      </c>
    </row>
    <row r="555" spans="2:17">
      <c r="B555" t="s">
        <v>2007</v>
      </c>
      <c r="C555" t="s">
        <v>809</v>
      </c>
      <c r="D555">
        <v>7.3209926566796099E-4</v>
      </c>
      <c r="E555" t="s">
        <v>94</v>
      </c>
      <c r="H555" t="s">
        <v>588</v>
      </c>
      <c r="I555">
        <v>7.3209926566796099E-4</v>
      </c>
      <c r="J555">
        <v>1.1051709180756477</v>
      </c>
      <c r="N555" t="s">
        <v>2010</v>
      </c>
      <c r="O555" t="s">
        <v>1054</v>
      </c>
      <c r="Q555" t="s">
        <v>2011</v>
      </c>
    </row>
    <row r="556" spans="2:17">
      <c r="B556" t="s">
        <v>2012</v>
      </c>
      <c r="C556" t="s">
        <v>587</v>
      </c>
      <c r="D556">
        <v>1.8059852405092E-4</v>
      </c>
      <c r="E556" t="s">
        <v>94</v>
      </c>
      <c r="H556" t="s">
        <v>588</v>
      </c>
      <c r="I556">
        <v>1.8059852405092E-4</v>
      </c>
      <c r="J556">
        <v>1.0247973619913604</v>
      </c>
      <c r="O556" t="s">
        <v>641</v>
      </c>
      <c r="Q556" t="s">
        <v>1643</v>
      </c>
    </row>
    <row r="557" spans="2:17">
      <c r="B557" t="s">
        <v>2013</v>
      </c>
      <c r="C557" t="s">
        <v>1249</v>
      </c>
      <c r="D557">
        <v>1.4075125892023301E-5</v>
      </c>
      <c r="E557" t="s">
        <v>94</v>
      </c>
      <c r="H557" t="s">
        <v>588</v>
      </c>
      <c r="I557">
        <v>1.4075125892023301E-5</v>
      </c>
      <c r="J557">
        <v>1.499999999999694</v>
      </c>
      <c r="N557" t="s">
        <v>2014</v>
      </c>
      <c r="O557" t="s">
        <v>952</v>
      </c>
      <c r="Q557" t="s">
        <v>2015</v>
      </c>
    </row>
    <row r="558" spans="2:17">
      <c r="B558" t="s">
        <v>2013</v>
      </c>
      <c r="C558" t="s">
        <v>1249</v>
      </c>
      <c r="D558">
        <v>1.4339362701108999E-5</v>
      </c>
      <c r="E558" t="s">
        <v>94</v>
      </c>
      <c r="H558" t="s">
        <v>588</v>
      </c>
      <c r="I558">
        <v>1.4339362701108999E-5</v>
      </c>
      <c r="J558">
        <v>1.499999999999694</v>
      </c>
      <c r="N558" t="s">
        <v>2016</v>
      </c>
      <c r="O558" t="s">
        <v>952</v>
      </c>
      <c r="Q558" t="s">
        <v>2015</v>
      </c>
    </row>
    <row r="559" spans="2:17">
      <c r="B559" t="s">
        <v>1180</v>
      </c>
      <c r="C559" t="s">
        <v>1170</v>
      </c>
      <c r="D559">
        <v>1.6524346639568401E-6</v>
      </c>
      <c r="E559" t="s">
        <v>94</v>
      </c>
      <c r="H559" t="s">
        <v>588</v>
      </c>
      <c r="I559">
        <v>1.6524346639568401E-6</v>
      </c>
      <c r="J559">
        <v>1.0247973619913604</v>
      </c>
      <c r="N559" t="s">
        <v>1181</v>
      </c>
      <c r="O559" t="s">
        <v>2017</v>
      </c>
      <c r="Q559" t="s">
        <v>2018</v>
      </c>
    </row>
    <row r="560" spans="2:17">
      <c r="B560" t="s">
        <v>1186</v>
      </c>
      <c r="C560" t="s">
        <v>1170</v>
      </c>
      <c r="D560">
        <v>7.5110666543492599E-8</v>
      </c>
      <c r="E560" t="s">
        <v>94</v>
      </c>
      <c r="H560" t="s">
        <v>588</v>
      </c>
      <c r="I560">
        <v>7.5110666543492599E-8</v>
      </c>
      <c r="J560">
        <v>1.0247973619913604</v>
      </c>
      <c r="N560" t="s">
        <v>1187</v>
      </c>
      <c r="O560" t="s">
        <v>2017</v>
      </c>
      <c r="Q560" t="s">
        <v>2018</v>
      </c>
    </row>
    <row r="561" spans="2:17">
      <c r="B561" t="s">
        <v>2019</v>
      </c>
      <c r="C561" t="s">
        <v>673</v>
      </c>
      <c r="D561">
        <v>9.2131016582340392E-6</v>
      </c>
      <c r="E561" t="s">
        <v>94</v>
      </c>
      <c r="H561" t="s">
        <v>588</v>
      </c>
      <c r="I561">
        <v>9.2131016582340392E-6</v>
      </c>
      <c r="J561">
        <v>1.151909910168909</v>
      </c>
      <c r="N561" t="s">
        <v>2020</v>
      </c>
      <c r="O561" t="s">
        <v>2021</v>
      </c>
      <c r="Q561" t="s">
        <v>811</v>
      </c>
    </row>
    <row r="562" spans="2:17">
      <c r="B562" t="s">
        <v>2022</v>
      </c>
      <c r="C562" t="s">
        <v>2023</v>
      </c>
      <c r="D562">
        <v>4.3452203009319998E-2</v>
      </c>
      <c r="E562" t="s">
        <v>94</v>
      </c>
      <c r="H562" t="s">
        <v>588</v>
      </c>
      <c r="I562">
        <v>4.3452203009319998E-2</v>
      </c>
      <c r="J562">
        <v>1.074399999999982</v>
      </c>
      <c r="O562" t="s">
        <v>2024</v>
      </c>
      <c r="Q562" t="s">
        <v>2025</v>
      </c>
    </row>
    <row r="563" spans="2:17">
      <c r="B563" t="s">
        <v>2026</v>
      </c>
      <c r="C563" t="s">
        <v>673</v>
      </c>
      <c r="D563">
        <v>6.8173945718274403E-5</v>
      </c>
      <c r="E563" t="s">
        <v>94</v>
      </c>
      <c r="H563" t="s">
        <v>588</v>
      </c>
      <c r="I563">
        <v>6.8173945718274403E-5</v>
      </c>
      <c r="J563">
        <v>1.0247973619913604</v>
      </c>
      <c r="N563" t="s">
        <v>2027</v>
      </c>
      <c r="O563" t="s">
        <v>2028</v>
      </c>
      <c r="Q563" t="s">
        <v>1780</v>
      </c>
    </row>
    <row r="564" spans="2:17">
      <c r="B564" t="s">
        <v>2026</v>
      </c>
      <c r="C564" t="s">
        <v>673</v>
      </c>
      <c r="D564">
        <v>3.0363803852954903E-4</v>
      </c>
      <c r="E564" t="s">
        <v>94</v>
      </c>
      <c r="H564" t="s">
        <v>588</v>
      </c>
      <c r="I564">
        <v>3.0363803852954903E-4</v>
      </c>
      <c r="J564">
        <v>1.0247973619913604</v>
      </c>
      <c r="N564" t="s">
        <v>2027</v>
      </c>
      <c r="O564" t="s">
        <v>2028</v>
      </c>
      <c r="Q564" t="s">
        <v>1780</v>
      </c>
    </row>
    <row r="565" spans="2:17">
      <c r="B565" t="s">
        <v>2029</v>
      </c>
      <c r="C565" t="s">
        <v>673</v>
      </c>
      <c r="D565">
        <v>3.0776137920539298E-4</v>
      </c>
      <c r="E565" t="s">
        <v>94</v>
      </c>
      <c r="H565" t="s">
        <v>588</v>
      </c>
      <c r="I565">
        <v>3.0776137920539298E-4</v>
      </c>
      <c r="J565">
        <v>1.1051709180756477</v>
      </c>
      <c r="N565" t="s">
        <v>2030</v>
      </c>
      <c r="O565" t="s">
        <v>2031</v>
      </c>
      <c r="Q565" t="s">
        <v>2032</v>
      </c>
    </row>
    <row r="566" spans="2:17">
      <c r="B566" t="s">
        <v>2033</v>
      </c>
      <c r="C566" t="s">
        <v>1249</v>
      </c>
      <c r="D566">
        <v>2.0409194762740701E-4</v>
      </c>
      <c r="E566" t="s">
        <v>94</v>
      </c>
      <c r="H566" t="s">
        <v>588</v>
      </c>
      <c r="I566">
        <v>2.0409194762740701E-4</v>
      </c>
      <c r="J566">
        <v>1.0247973619913604</v>
      </c>
      <c r="N566" t="s">
        <v>2034</v>
      </c>
      <c r="O566" t="s">
        <v>1758</v>
      </c>
      <c r="Q566" t="s">
        <v>2035</v>
      </c>
    </row>
    <row r="567" spans="2:17">
      <c r="B567" t="s">
        <v>2036</v>
      </c>
      <c r="C567" t="s">
        <v>673</v>
      </c>
      <c r="D567">
        <v>1.6674295501463298E-5</v>
      </c>
      <c r="E567" t="s">
        <v>94</v>
      </c>
      <c r="H567" t="s">
        <v>588</v>
      </c>
      <c r="I567">
        <v>1.6674295501463298E-5</v>
      </c>
      <c r="J567">
        <v>1</v>
      </c>
      <c r="N567" t="s">
        <v>2037</v>
      </c>
      <c r="O567" t="s">
        <v>921</v>
      </c>
      <c r="Q567" t="s">
        <v>2038</v>
      </c>
    </row>
    <row r="568" spans="2:17">
      <c r="B568" t="s">
        <v>2039</v>
      </c>
      <c r="C568" t="s">
        <v>1830</v>
      </c>
      <c r="D568">
        <v>3.2885955017893002E-5</v>
      </c>
      <c r="E568" t="s">
        <v>94</v>
      </c>
      <c r="N568" t="s">
        <v>2040</v>
      </c>
    </row>
    <row r="569" spans="2:17">
      <c r="B569" t="s">
        <v>2039</v>
      </c>
      <c r="C569" t="s">
        <v>1830</v>
      </c>
      <c r="D569">
        <v>2.32459958978845E-3</v>
      </c>
      <c r="E569" t="s">
        <v>94</v>
      </c>
      <c r="N569" t="s">
        <v>2040</v>
      </c>
    </row>
    <row r="570" spans="2:17">
      <c r="B570" t="s">
        <v>2039</v>
      </c>
      <c r="C570" t="s">
        <v>1830</v>
      </c>
      <c r="D570">
        <v>2.0122117729292101E-3</v>
      </c>
      <c r="E570" t="s">
        <v>94</v>
      </c>
      <c r="N570" t="s">
        <v>2040</v>
      </c>
    </row>
    <row r="571" spans="2:17">
      <c r="B571" t="s">
        <v>2039</v>
      </c>
      <c r="C571" t="s">
        <v>1830</v>
      </c>
      <c r="D571">
        <v>6.4376319995048195E-5</v>
      </c>
      <c r="E571" t="s">
        <v>94</v>
      </c>
      <c r="N571" t="s">
        <v>2040</v>
      </c>
    </row>
    <row r="572" spans="2:17">
      <c r="B572" t="s">
        <v>2039</v>
      </c>
      <c r="C572" t="s">
        <v>1830</v>
      </c>
      <c r="D572">
        <v>5.3208883652767201E-4</v>
      </c>
      <c r="E572" t="s">
        <v>94</v>
      </c>
      <c r="H572" t="s">
        <v>588</v>
      </c>
      <c r="I572">
        <v>5.3208883652767201E-4</v>
      </c>
      <c r="J572">
        <v>1.0247973619913604</v>
      </c>
      <c r="N572" t="s">
        <v>2041</v>
      </c>
      <c r="O572" t="s">
        <v>1806</v>
      </c>
      <c r="Q572" t="s">
        <v>1728</v>
      </c>
    </row>
    <row r="573" spans="2:17">
      <c r="B573" t="s">
        <v>2042</v>
      </c>
      <c r="C573" t="s">
        <v>2043</v>
      </c>
      <c r="D573">
        <v>1.2304220914357401E-4</v>
      </c>
      <c r="E573" t="s">
        <v>94</v>
      </c>
      <c r="H573" t="s">
        <v>1733</v>
      </c>
      <c r="I573">
        <v>1.2304220914357401E-4</v>
      </c>
      <c r="K573">
        <v>1.2304220914357401E-4</v>
      </c>
      <c r="L573">
        <v>1.2304220914357401E-4</v>
      </c>
      <c r="N573" t="s">
        <v>2044</v>
      </c>
      <c r="O573" t="s">
        <v>2045</v>
      </c>
      <c r="Q573" t="s">
        <v>2046</v>
      </c>
    </row>
    <row r="574" spans="2:17">
      <c r="B574" t="s">
        <v>954</v>
      </c>
      <c r="C574" t="s">
        <v>821</v>
      </c>
      <c r="D574">
        <v>2.9365635793343501E-3</v>
      </c>
      <c r="E574" t="s">
        <v>94</v>
      </c>
      <c r="H574" t="s">
        <v>588</v>
      </c>
      <c r="I574">
        <v>2.9365635793343501E-3</v>
      </c>
      <c r="J574">
        <v>1.1051709180756477</v>
      </c>
      <c r="N574" t="s">
        <v>955</v>
      </c>
      <c r="O574" t="s">
        <v>1675</v>
      </c>
      <c r="Q574" t="s">
        <v>2047</v>
      </c>
    </row>
    <row r="575" spans="2:17">
      <c r="B575" t="s">
        <v>2048</v>
      </c>
      <c r="C575" t="s">
        <v>1417</v>
      </c>
      <c r="D575">
        <v>1.3385550520535401E-6</v>
      </c>
      <c r="E575" t="s">
        <v>94</v>
      </c>
      <c r="H575" t="s">
        <v>588</v>
      </c>
      <c r="I575">
        <v>1.3385550520535401E-6</v>
      </c>
      <c r="J575">
        <v>1.0321280889960358</v>
      </c>
      <c r="N575" t="s">
        <v>2049</v>
      </c>
      <c r="O575" t="s">
        <v>2050</v>
      </c>
      <c r="Q575" t="s">
        <v>2051</v>
      </c>
    </row>
    <row r="576" spans="2:17">
      <c r="B576" t="s">
        <v>2052</v>
      </c>
      <c r="C576" t="s">
        <v>1482</v>
      </c>
      <c r="D576">
        <v>6.6358095730541502E-9</v>
      </c>
      <c r="E576" t="s">
        <v>94</v>
      </c>
      <c r="H576" t="s">
        <v>588</v>
      </c>
      <c r="I576">
        <v>6.6358095730541502E-9</v>
      </c>
      <c r="J576">
        <v>1.0247973619913604</v>
      </c>
      <c r="N576" t="s">
        <v>2053</v>
      </c>
      <c r="O576" t="s">
        <v>1914</v>
      </c>
      <c r="Q576" t="s">
        <v>2054</v>
      </c>
    </row>
    <row r="577" spans="2:17">
      <c r="B577" t="s">
        <v>2055</v>
      </c>
      <c r="C577" t="s">
        <v>1862</v>
      </c>
      <c r="D577">
        <v>8.4516533835981105E-5</v>
      </c>
      <c r="E577" t="s">
        <v>94</v>
      </c>
      <c r="H577" t="s">
        <v>588</v>
      </c>
      <c r="I577">
        <v>8.4516533835981105E-5</v>
      </c>
      <c r="J577">
        <v>1.1051709180756477</v>
      </c>
      <c r="N577" t="s">
        <v>2056</v>
      </c>
      <c r="O577" t="s">
        <v>1789</v>
      </c>
      <c r="Q577" t="s">
        <v>1790</v>
      </c>
    </row>
    <row r="578" spans="2:17">
      <c r="B578" t="s">
        <v>2057</v>
      </c>
      <c r="C578" t="s">
        <v>701</v>
      </c>
      <c r="D578">
        <v>1.9119514659997399E-7</v>
      </c>
      <c r="E578" t="s">
        <v>94</v>
      </c>
      <c r="H578" t="s">
        <v>588</v>
      </c>
      <c r="I578">
        <v>1.9119514659997399E-7</v>
      </c>
      <c r="J578">
        <v>1.0247973619913604</v>
      </c>
      <c r="N578" t="s">
        <v>2058</v>
      </c>
      <c r="O578" t="s">
        <v>1779</v>
      </c>
      <c r="Q578" t="s">
        <v>1780</v>
      </c>
    </row>
    <row r="579" spans="2:17">
      <c r="B579" t="s">
        <v>2057</v>
      </c>
      <c r="C579" t="s">
        <v>701</v>
      </c>
      <c r="D579">
        <v>1.04600386473405E-7</v>
      </c>
      <c r="E579" t="s">
        <v>94</v>
      </c>
      <c r="H579" t="s">
        <v>588</v>
      </c>
      <c r="I579">
        <v>1.04600386473405E-7</v>
      </c>
      <c r="J579">
        <v>1.0247973619913604</v>
      </c>
      <c r="N579" t="s">
        <v>2058</v>
      </c>
      <c r="O579" t="s">
        <v>1779</v>
      </c>
      <c r="Q579" t="s">
        <v>1780</v>
      </c>
    </row>
    <row r="580" spans="2:17">
      <c r="B580" t="s">
        <v>2059</v>
      </c>
      <c r="C580" t="s">
        <v>1830</v>
      </c>
      <c r="D580">
        <v>1.7159581336501301E-4</v>
      </c>
      <c r="E580" t="s">
        <v>94</v>
      </c>
      <c r="H580" t="s">
        <v>588</v>
      </c>
      <c r="I580">
        <v>1.7159581336501301E-4</v>
      </c>
      <c r="J580">
        <v>1.0247973619913604</v>
      </c>
      <c r="N580" t="s">
        <v>2060</v>
      </c>
      <c r="O580" t="s">
        <v>1806</v>
      </c>
      <c r="Q580" t="s">
        <v>1728</v>
      </c>
    </row>
    <row r="581" spans="2:17">
      <c r="B581" t="s">
        <v>2059</v>
      </c>
      <c r="C581" t="s">
        <v>1830</v>
      </c>
      <c r="D581">
        <v>1.4299651113751099E-3</v>
      </c>
      <c r="E581" t="s">
        <v>94</v>
      </c>
      <c r="N581" t="s">
        <v>2061</v>
      </c>
    </row>
    <row r="582" spans="2:17">
      <c r="B582" t="s">
        <v>2062</v>
      </c>
      <c r="C582" t="s">
        <v>1830</v>
      </c>
      <c r="D582">
        <v>2.7589690911569102E-4</v>
      </c>
      <c r="E582" t="s">
        <v>94</v>
      </c>
      <c r="H582" t="s">
        <v>588</v>
      </c>
      <c r="I582">
        <v>2.7589690911569102E-4</v>
      </c>
      <c r="J582">
        <v>1.0247973619913604</v>
      </c>
      <c r="N582" t="s">
        <v>2063</v>
      </c>
      <c r="O582" t="s">
        <v>1806</v>
      </c>
      <c r="Q582" t="s">
        <v>1728</v>
      </c>
    </row>
    <row r="583" spans="2:17">
      <c r="B583" t="s">
        <v>2062</v>
      </c>
      <c r="C583" t="s">
        <v>1830</v>
      </c>
      <c r="D583">
        <v>2.2991409092974202E-3</v>
      </c>
      <c r="E583" t="s">
        <v>94</v>
      </c>
      <c r="N583" t="s">
        <v>2064</v>
      </c>
    </row>
    <row r="584" spans="2:17">
      <c r="B584" t="s">
        <v>2065</v>
      </c>
      <c r="C584" t="s">
        <v>615</v>
      </c>
      <c r="D584">
        <v>4.7700934111882E-15</v>
      </c>
      <c r="E584" t="s">
        <v>616</v>
      </c>
      <c r="H584" t="s">
        <v>588</v>
      </c>
      <c r="I584">
        <v>4.7700934111882E-15</v>
      </c>
      <c r="J584">
        <v>2.2394398661220611</v>
      </c>
      <c r="N584" t="s">
        <v>2066</v>
      </c>
      <c r="O584" t="s">
        <v>798</v>
      </c>
      <c r="Q584" t="s">
        <v>2067</v>
      </c>
    </row>
    <row r="585" spans="2:17">
      <c r="B585" t="s">
        <v>2065</v>
      </c>
      <c r="C585" t="s">
        <v>615</v>
      </c>
      <c r="D585">
        <v>5.3967633135521499E-13</v>
      </c>
      <c r="E585" t="s">
        <v>616</v>
      </c>
      <c r="H585" t="s">
        <v>588</v>
      </c>
      <c r="I585">
        <v>5.3967633135521499E-13</v>
      </c>
      <c r="J585">
        <v>1.7450381821146503</v>
      </c>
      <c r="N585" t="s">
        <v>2068</v>
      </c>
      <c r="O585" t="s">
        <v>2069</v>
      </c>
      <c r="Q585" t="s">
        <v>2070</v>
      </c>
    </row>
    <row r="586" spans="2:17">
      <c r="B586" t="s">
        <v>2071</v>
      </c>
      <c r="C586" t="s">
        <v>650</v>
      </c>
      <c r="D586">
        <v>7.8755146535345395E-6</v>
      </c>
      <c r="E586" t="s">
        <v>94</v>
      </c>
      <c r="H586" t="s">
        <v>588</v>
      </c>
      <c r="I586">
        <v>7.8755146535345395E-6</v>
      </c>
      <c r="J586">
        <v>1.1051709180756477</v>
      </c>
      <c r="N586" t="s">
        <v>2072</v>
      </c>
      <c r="O586" t="s">
        <v>921</v>
      </c>
      <c r="Q586" t="s">
        <v>979</v>
      </c>
    </row>
    <row r="587" spans="2:17">
      <c r="B587" t="s">
        <v>2071</v>
      </c>
      <c r="C587" t="s">
        <v>650</v>
      </c>
      <c r="D587">
        <v>1.5652621664271401E-3</v>
      </c>
      <c r="E587" t="s">
        <v>94</v>
      </c>
      <c r="H587" t="s">
        <v>588</v>
      </c>
      <c r="I587">
        <v>1.5652621664271401E-3</v>
      </c>
      <c r="J587">
        <v>1.1051709180756477</v>
      </c>
      <c r="N587" t="s">
        <v>2072</v>
      </c>
      <c r="O587" t="s">
        <v>921</v>
      </c>
      <c r="Q587" t="s">
        <v>979</v>
      </c>
    </row>
    <row r="588" spans="2:17">
      <c r="B588" t="s">
        <v>2073</v>
      </c>
      <c r="C588" t="s">
        <v>650</v>
      </c>
      <c r="D588">
        <v>9.3722636249807794E-3</v>
      </c>
      <c r="E588" t="s">
        <v>94</v>
      </c>
      <c r="H588" t="s">
        <v>588</v>
      </c>
      <c r="I588">
        <v>9.3722636249807794E-3</v>
      </c>
      <c r="J588">
        <v>1.0805386501323246</v>
      </c>
      <c r="N588" t="s">
        <v>2074</v>
      </c>
      <c r="O588" t="s">
        <v>2075</v>
      </c>
    </row>
    <row r="589" spans="2:17">
      <c r="B589" t="s">
        <v>2073</v>
      </c>
      <c r="C589" t="s">
        <v>650</v>
      </c>
      <c r="D589">
        <v>7.5097888335466797E-4</v>
      </c>
      <c r="E589" t="s">
        <v>94</v>
      </c>
      <c r="H589" t="s">
        <v>588</v>
      </c>
      <c r="I589">
        <v>7.5097888335466797E-4</v>
      </c>
      <c r="J589">
        <v>1.0805386501323246</v>
      </c>
      <c r="N589" t="s">
        <v>2074</v>
      </c>
      <c r="O589" t="s">
        <v>2076</v>
      </c>
    </row>
    <row r="590" spans="2:17">
      <c r="B590" t="s">
        <v>2073</v>
      </c>
      <c r="C590" t="s">
        <v>650</v>
      </c>
      <c r="D590">
        <v>5.2972835991457599E-5</v>
      </c>
      <c r="E590" t="s">
        <v>94</v>
      </c>
      <c r="H590" t="s">
        <v>588</v>
      </c>
      <c r="I590">
        <v>5.2972835991457599E-5</v>
      </c>
      <c r="J590">
        <v>1.0805386501323246</v>
      </c>
      <c r="N590" t="s">
        <v>2074</v>
      </c>
      <c r="O590" t="s">
        <v>2076</v>
      </c>
    </row>
    <row r="591" spans="2:17">
      <c r="B591" t="s">
        <v>2073</v>
      </c>
      <c r="C591" t="s">
        <v>650</v>
      </c>
      <c r="D591">
        <v>2.8787157282227403E-4</v>
      </c>
      <c r="E591" t="s">
        <v>94</v>
      </c>
      <c r="H591" t="s">
        <v>588</v>
      </c>
      <c r="I591">
        <v>2.8787157282227403E-4</v>
      </c>
      <c r="J591">
        <v>1.0805386501323246</v>
      </c>
      <c r="N591" t="s">
        <v>2074</v>
      </c>
      <c r="O591" t="s">
        <v>2076</v>
      </c>
    </row>
    <row r="592" spans="2:17">
      <c r="B592" t="s">
        <v>2077</v>
      </c>
      <c r="C592" t="s">
        <v>650</v>
      </c>
      <c r="D592">
        <v>3.17820218559296E-4</v>
      </c>
      <c r="E592" t="s">
        <v>94</v>
      </c>
      <c r="H592" t="s">
        <v>588</v>
      </c>
      <c r="I592">
        <v>3.17820218559296E-4</v>
      </c>
      <c r="J592">
        <v>1.0805386501323246</v>
      </c>
      <c r="N592" t="s">
        <v>2078</v>
      </c>
      <c r="O592" t="s">
        <v>2076</v>
      </c>
    </row>
    <row r="593" spans="2:17">
      <c r="B593" t="s">
        <v>2077</v>
      </c>
      <c r="C593" t="s">
        <v>650</v>
      </c>
      <c r="D593">
        <v>9.3722636249807794E-3</v>
      </c>
      <c r="E593" t="s">
        <v>94</v>
      </c>
      <c r="H593" t="s">
        <v>588</v>
      </c>
      <c r="I593">
        <v>9.3722636249807794E-3</v>
      </c>
      <c r="J593">
        <v>1.0805386501323246</v>
      </c>
      <c r="N593" t="s">
        <v>2078</v>
      </c>
      <c r="O593" t="s">
        <v>2075</v>
      </c>
    </row>
    <row r="594" spans="2:17">
      <c r="B594" t="s">
        <v>2077</v>
      </c>
      <c r="C594" t="s">
        <v>650</v>
      </c>
      <c r="D594">
        <v>7.7265828757718501E-4</v>
      </c>
      <c r="E594" t="s">
        <v>94</v>
      </c>
      <c r="H594" t="s">
        <v>588</v>
      </c>
      <c r="I594">
        <v>7.7265828757718501E-4</v>
      </c>
      <c r="J594">
        <v>1.0805386501323246</v>
      </c>
      <c r="N594" t="s">
        <v>2078</v>
      </c>
      <c r="O594" t="s">
        <v>2076</v>
      </c>
    </row>
    <row r="595" spans="2:17">
      <c r="B595" t="s">
        <v>2077</v>
      </c>
      <c r="C595" t="s">
        <v>650</v>
      </c>
      <c r="D595">
        <v>1.34478603191804E-6</v>
      </c>
      <c r="E595" t="s">
        <v>94</v>
      </c>
      <c r="H595" t="s">
        <v>588</v>
      </c>
      <c r="I595">
        <v>1.34478603191804E-6</v>
      </c>
      <c r="J595">
        <v>1.0805386501323246</v>
      </c>
      <c r="N595" t="s">
        <v>2078</v>
      </c>
      <c r="O595" t="s">
        <v>2076</v>
      </c>
    </row>
    <row r="596" spans="2:17">
      <c r="B596" t="s">
        <v>1189</v>
      </c>
      <c r="C596" t="s">
        <v>650</v>
      </c>
      <c r="D596">
        <v>5.8327428079663101E-4</v>
      </c>
      <c r="E596" t="s">
        <v>94</v>
      </c>
      <c r="H596" t="s">
        <v>588</v>
      </c>
      <c r="I596">
        <v>5.8327428079663101E-4</v>
      </c>
      <c r="J596">
        <v>1.0247973619913604</v>
      </c>
      <c r="N596" t="s">
        <v>1190</v>
      </c>
      <c r="O596" t="s">
        <v>1157</v>
      </c>
      <c r="Q596" t="s">
        <v>1191</v>
      </c>
    </row>
    <row r="597" spans="2:17">
      <c r="B597" t="s">
        <v>1189</v>
      </c>
      <c r="C597" t="s">
        <v>650</v>
      </c>
      <c r="D597">
        <v>3.5724354748725702E-3</v>
      </c>
      <c r="E597" t="s">
        <v>94</v>
      </c>
      <c r="H597" t="s">
        <v>588</v>
      </c>
      <c r="I597">
        <v>3.5724354748725702E-3</v>
      </c>
      <c r="J597">
        <v>1.0247973619913604</v>
      </c>
      <c r="N597" t="s">
        <v>1190</v>
      </c>
      <c r="O597" t="s">
        <v>1649</v>
      </c>
      <c r="Q597" t="s">
        <v>2079</v>
      </c>
    </row>
    <row r="598" spans="2:17">
      <c r="B598" t="s">
        <v>1189</v>
      </c>
      <c r="C598" t="s">
        <v>650</v>
      </c>
      <c r="D598">
        <v>6.5227777985342097E-3</v>
      </c>
      <c r="E598" t="s">
        <v>94</v>
      </c>
      <c r="H598" t="s">
        <v>588</v>
      </c>
      <c r="I598">
        <v>6.5227777985342097E-3</v>
      </c>
      <c r="J598">
        <v>1.0247973619913604</v>
      </c>
      <c r="N598" t="s">
        <v>1190</v>
      </c>
      <c r="O598" t="s">
        <v>1649</v>
      </c>
      <c r="Q598" t="s">
        <v>2079</v>
      </c>
    </row>
    <row r="599" spans="2:17">
      <c r="B599" t="s">
        <v>1189</v>
      </c>
      <c r="C599" t="s">
        <v>650</v>
      </c>
      <c r="D599">
        <v>1.0297159464051801E-4</v>
      </c>
      <c r="E599" t="s">
        <v>94</v>
      </c>
      <c r="H599" t="s">
        <v>588</v>
      </c>
      <c r="I599">
        <v>1.0297159464051801E-4</v>
      </c>
      <c r="J599">
        <v>1.0247973619913604</v>
      </c>
      <c r="N599" t="s">
        <v>1190</v>
      </c>
      <c r="O599" t="s">
        <v>1649</v>
      </c>
      <c r="Q599" t="s">
        <v>2080</v>
      </c>
    </row>
    <row r="600" spans="2:17">
      <c r="B600" t="s">
        <v>1189</v>
      </c>
      <c r="C600" t="s">
        <v>650</v>
      </c>
      <c r="D600">
        <v>1.78446075528826E-4</v>
      </c>
      <c r="E600" t="s">
        <v>94</v>
      </c>
      <c r="H600" t="s">
        <v>588</v>
      </c>
      <c r="I600">
        <v>1.78446075528826E-4</v>
      </c>
      <c r="J600">
        <v>1.0247973619913604</v>
      </c>
      <c r="N600" t="s">
        <v>1190</v>
      </c>
      <c r="O600" t="s">
        <v>1649</v>
      </c>
      <c r="Q600" t="s">
        <v>2079</v>
      </c>
    </row>
    <row r="601" spans="2:17">
      <c r="B601" t="s">
        <v>1189</v>
      </c>
      <c r="C601" t="s">
        <v>650</v>
      </c>
      <c r="D601">
        <v>2.6785001412900399E-3</v>
      </c>
      <c r="E601" t="s">
        <v>94</v>
      </c>
      <c r="H601" t="s">
        <v>588</v>
      </c>
      <c r="I601">
        <v>2.6785001412900399E-3</v>
      </c>
      <c r="J601">
        <v>1.0247973619913604</v>
      </c>
      <c r="N601" t="s">
        <v>1190</v>
      </c>
      <c r="O601" t="s">
        <v>1649</v>
      </c>
      <c r="Q601" t="s">
        <v>2079</v>
      </c>
    </row>
    <row r="602" spans="2:17">
      <c r="B602" t="s">
        <v>1189</v>
      </c>
      <c r="C602" t="s">
        <v>650</v>
      </c>
      <c r="D602">
        <v>2.1006883922838601E-2</v>
      </c>
      <c r="E602" t="s">
        <v>94</v>
      </c>
      <c r="H602" t="s">
        <v>588</v>
      </c>
      <c r="I602">
        <v>2.1006883922838601E-2</v>
      </c>
      <c r="J602">
        <v>1.0247973619913604</v>
      </c>
      <c r="N602" t="s">
        <v>1190</v>
      </c>
      <c r="O602" t="s">
        <v>1649</v>
      </c>
      <c r="Q602" t="s">
        <v>2079</v>
      </c>
    </row>
    <row r="603" spans="2:17">
      <c r="B603" t="s">
        <v>1189</v>
      </c>
      <c r="C603" t="s">
        <v>650</v>
      </c>
      <c r="D603">
        <v>3.14130198007165E-2</v>
      </c>
      <c r="E603" t="s">
        <v>94</v>
      </c>
      <c r="H603" t="s">
        <v>588</v>
      </c>
      <c r="I603">
        <v>3.14130198007165E-2</v>
      </c>
      <c r="J603">
        <v>1.151909910168909</v>
      </c>
      <c r="N603" t="s">
        <v>1190</v>
      </c>
      <c r="O603" t="s">
        <v>956</v>
      </c>
      <c r="Q603" t="s">
        <v>2079</v>
      </c>
    </row>
    <row r="604" spans="2:17">
      <c r="B604" t="s">
        <v>1189</v>
      </c>
      <c r="C604" t="s">
        <v>650</v>
      </c>
      <c r="D604">
        <v>1.4638502223672401E-4</v>
      </c>
      <c r="E604" t="s">
        <v>94</v>
      </c>
      <c r="H604" t="s">
        <v>588</v>
      </c>
      <c r="I604">
        <v>1.4638502223672401E-4</v>
      </c>
      <c r="J604">
        <v>1.0247973619913604</v>
      </c>
      <c r="N604" t="s">
        <v>1190</v>
      </c>
      <c r="O604" t="s">
        <v>1649</v>
      </c>
      <c r="Q604" t="s">
        <v>2080</v>
      </c>
    </row>
    <row r="605" spans="2:17">
      <c r="B605" t="s">
        <v>2081</v>
      </c>
      <c r="C605" t="s">
        <v>650</v>
      </c>
      <c r="D605">
        <v>2.4293474639594102E-6</v>
      </c>
      <c r="E605" t="s">
        <v>94</v>
      </c>
      <c r="H605" t="s">
        <v>588</v>
      </c>
      <c r="I605">
        <v>2.4293474639594102E-6</v>
      </c>
      <c r="J605">
        <v>1.0247973619913604</v>
      </c>
      <c r="N605" t="s">
        <v>2082</v>
      </c>
      <c r="O605" t="s">
        <v>641</v>
      </c>
      <c r="Q605" t="s">
        <v>1672</v>
      </c>
    </row>
    <row r="606" spans="2:17">
      <c r="B606" t="s">
        <v>2081</v>
      </c>
      <c r="C606" t="s">
        <v>650</v>
      </c>
      <c r="D606">
        <v>5.1262070116221898E-7</v>
      </c>
      <c r="E606" t="s">
        <v>94</v>
      </c>
      <c r="H606" t="s">
        <v>588</v>
      </c>
      <c r="I606">
        <v>5.1262070116221898E-7</v>
      </c>
      <c r="J606">
        <v>1.0247973619913604</v>
      </c>
      <c r="N606" t="s">
        <v>2083</v>
      </c>
      <c r="O606" t="s">
        <v>641</v>
      </c>
      <c r="Q606" t="s">
        <v>1643</v>
      </c>
    </row>
    <row r="607" spans="2:17">
      <c r="B607" t="s">
        <v>2081</v>
      </c>
      <c r="C607" t="s">
        <v>650</v>
      </c>
      <c r="D607">
        <v>1.3515990858526199E-3</v>
      </c>
      <c r="E607" t="s">
        <v>94</v>
      </c>
      <c r="H607" t="s">
        <v>588</v>
      </c>
      <c r="I607">
        <v>1.3515990858526199E-3</v>
      </c>
      <c r="J607">
        <v>1.0247973619913604</v>
      </c>
      <c r="N607" t="s">
        <v>2082</v>
      </c>
      <c r="O607" t="s">
        <v>641</v>
      </c>
      <c r="Q607" t="s">
        <v>1672</v>
      </c>
    </row>
    <row r="608" spans="2:17">
      <c r="B608" t="s">
        <v>2081</v>
      </c>
      <c r="C608" t="s">
        <v>650</v>
      </c>
      <c r="D608">
        <v>2.2099793077170399E-8</v>
      </c>
      <c r="E608" t="s">
        <v>94</v>
      </c>
      <c r="H608" t="s">
        <v>588</v>
      </c>
      <c r="I608">
        <v>2.2099793077170399E-8</v>
      </c>
      <c r="J608">
        <v>1.0247973619913604</v>
      </c>
      <c r="N608" t="s">
        <v>2082</v>
      </c>
      <c r="O608" t="s">
        <v>641</v>
      </c>
      <c r="Q608" t="s">
        <v>1672</v>
      </c>
    </row>
    <row r="609" spans="2:17">
      <c r="B609" t="s">
        <v>2081</v>
      </c>
      <c r="C609" t="s">
        <v>650</v>
      </c>
      <c r="D609">
        <v>1.2123198115023301E-7</v>
      </c>
      <c r="E609" t="s">
        <v>94</v>
      </c>
      <c r="H609" t="s">
        <v>588</v>
      </c>
      <c r="I609">
        <v>1.2123198115023301E-7</v>
      </c>
      <c r="J609">
        <v>1.0247973619913604</v>
      </c>
      <c r="N609" t="s">
        <v>2082</v>
      </c>
      <c r="O609" t="s">
        <v>641</v>
      </c>
      <c r="Q609" t="s">
        <v>1672</v>
      </c>
    </row>
    <row r="610" spans="2:17">
      <c r="B610" t="s">
        <v>2081</v>
      </c>
      <c r="C610" t="s">
        <v>650</v>
      </c>
      <c r="D610">
        <v>1.78505741798254E-7</v>
      </c>
      <c r="E610" t="s">
        <v>94</v>
      </c>
      <c r="H610" t="s">
        <v>588</v>
      </c>
      <c r="I610">
        <v>1.78505741798254E-7</v>
      </c>
      <c r="J610">
        <v>1.0247973619913604</v>
      </c>
      <c r="N610" t="s">
        <v>2082</v>
      </c>
      <c r="O610" t="s">
        <v>641</v>
      </c>
      <c r="Q610" t="s">
        <v>1672</v>
      </c>
    </row>
    <row r="611" spans="2:17">
      <c r="B611" t="s">
        <v>2081</v>
      </c>
      <c r="C611" t="s">
        <v>650</v>
      </c>
      <c r="D611">
        <v>7.1413825865861602E-7</v>
      </c>
      <c r="E611" t="s">
        <v>94</v>
      </c>
      <c r="H611" t="s">
        <v>588</v>
      </c>
      <c r="I611">
        <v>7.1413825865861602E-7</v>
      </c>
      <c r="J611">
        <v>1.0247973619913604</v>
      </c>
      <c r="N611" t="s">
        <v>2082</v>
      </c>
      <c r="O611" t="s">
        <v>641</v>
      </c>
      <c r="Q611" t="s">
        <v>1672</v>
      </c>
    </row>
    <row r="612" spans="2:17">
      <c r="B612" t="s">
        <v>2081</v>
      </c>
      <c r="C612" t="s">
        <v>650</v>
      </c>
      <c r="D612">
        <v>2.5869851455127301E-8</v>
      </c>
      <c r="E612" t="s">
        <v>94</v>
      </c>
      <c r="H612" t="s">
        <v>588</v>
      </c>
      <c r="I612">
        <v>2.5869851455127301E-8</v>
      </c>
      <c r="J612">
        <v>1.0247973619913604</v>
      </c>
      <c r="N612" t="s">
        <v>2082</v>
      </c>
      <c r="O612" t="s">
        <v>641</v>
      </c>
      <c r="Q612" t="s">
        <v>1672</v>
      </c>
    </row>
    <row r="613" spans="2:17">
      <c r="B613" t="s">
        <v>2081</v>
      </c>
      <c r="C613" t="s">
        <v>650</v>
      </c>
      <c r="D613">
        <v>2.6536112464183501E-8</v>
      </c>
      <c r="E613" t="s">
        <v>94</v>
      </c>
      <c r="H613" t="s">
        <v>588</v>
      </c>
      <c r="I613">
        <v>2.6536112464183501E-8</v>
      </c>
      <c r="J613">
        <v>1.0247973619913604</v>
      </c>
      <c r="N613" t="s">
        <v>2082</v>
      </c>
      <c r="O613" t="s">
        <v>641</v>
      </c>
      <c r="Q613" t="s">
        <v>1672</v>
      </c>
    </row>
    <row r="614" spans="2:17">
      <c r="B614" t="s">
        <v>2081</v>
      </c>
      <c r="C614" t="s">
        <v>650</v>
      </c>
      <c r="D614">
        <v>7.4338024312251903E-10</v>
      </c>
      <c r="E614" t="s">
        <v>94</v>
      </c>
      <c r="H614" t="s">
        <v>588</v>
      </c>
      <c r="I614">
        <v>7.4338024312251903E-10</v>
      </c>
      <c r="J614">
        <v>1.4139824580805163</v>
      </c>
      <c r="N614" t="s">
        <v>2082</v>
      </c>
      <c r="O614" t="s">
        <v>1082</v>
      </c>
      <c r="Q614" t="s">
        <v>979</v>
      </c>
    </row>
    <row r="615" spans="2:17">
      <c r="B615" t="s">
        <v>2081</v>
      </c>
      <c r="C615" t="s">
        <v>650</v>
      </c>
      <c r="D615">
        <v>5.5647645231079503E-7</v>
      </c>
      <c r="E615" t="s">
        <v>94</v>
      </c>
      <c r="H615" t="s">
        <v>588</v>
      </c>
      <c r="I615">
        <v>5.5647645231079503E-7</v>
      </c>
      <c r="J615">
        <v>1.0247973619913604</v>
      </c>
      <c r="N615" t="s">
        <v>2082</v>
      </c>
      <c r="O615" t="s">
        <v>641</v>
      </c>
      <c r="Q615" t="s">
        <v>1672</v>
      </c>
    </row>
    <row r="616" spans="2:17">
      <c r="B616" t="s">
        <v>2084</v>
      </c>
      <c r="C616" t="s">
        <v>615</v>
      </c>
      <c r="D616">
        <v>1.6161315300954899E-12</v>
      </c>
      <c r="E616" t="s">
        <v>616</v>
      </c>
      <c r="H616" t="s">
        <v>588</v>
      </c>
      <c r="I616">
        <v>1.6161315300954899E-12</v>
      </c>
      <c r="J616">
        <v>1.7450381821146503</v>
      </c>
      <c r="N616" t="s">
        <v>2085</v>
      </c>
      <c r="O616" t="s">
        <v>1054</v>
      </c>
      <c r="Q616" t="s">
        <v>979</v>
      </c>
    </row>
    <row r="617" spans="2:17">
      <c r="B617" t="s">
        <v>2084</v>
      </c>
      <c r="C617" t="s">
        <v>615</v>
      </c>
      <c r="D617">
        <v>1.6173969575609199E-12</v>
      </c>
      <c r="E617" t="s">
        <v>616</v>
      </c>
      <c r="H617" t="s">
        <v>588</v>
      </c>
      <c r="I617">
        <v>1.6173969575609199E-12</v>
      </c>
      <c r="J617">
        <v>1.7450381821146503</v>
      </c>
      <c r="N617" t="s">
        <v>2086</v>
      </c>
      <c r="O617" t="s">
        <v>921</v>
      </c>
      <c r="Q617" t="s">
        <v>979</v>
      </c>
    </row>
    <row r="618" spans="2:17">
      <c r="B618" t="s">
        <v>2087</v>
      </c>
      <c r="C618" t="s">
        <v>2088</v>
      </c>
      <c r="D618">
        <v>6.2702755945524304E-4</v>
      </c>
      <c r="E618" t="s">
        <v>94</v>
      </c>
      <c r="H618" t="s">
        <v>588</v>
      </c>
      <c r="I618">
        <v>6.2702755945524304E-4</v>
      </c>
      <c r="J618">
        <v>1.0247973619913604</v>
      </c>
      <c r="N618" t="s">
        <v>2089</v>
      </c>
      <c r="O618" t="s">
        <v>1713</v>
      </c>
      <c r="Q618" t="s">
        <v>2090</v>
      </c>
    </row>
    <row r="619" spans="2:17">
      <c r="B619" t="s">
        <v>2091</v>
      </c>
      <c r="C619" t="s">
        <v>2092</v>
      </c>
      <c r="D619">
        <v>1.2660919185275999E-3</v>
      </c>
      <c r="E619" t="s">
        <v>94</v>
      </c>
      <c r="H619" t="s">
        <v>588</v>
      </c>
      <c r="I619">
        <v>1.2660919185275999E-3</v>
      </c>
      <c r="J619">
        <v>1</v>
      </c>
      <c r="N619" t="s">
        <v>2093</v>
      </c>
      <c r="O619" t="s">
        <v>1157</v>
      </c>
      <c r="Q619" t="s">
        <v>1924</v>
      </c>
    </row>
    <row r="620" spans="2:17">
      <c r="B620" t="s">
        <v>2094</v>
      </c>
      <c r="C620" t="s">
        <v>948</v>
      </c>
      <c r="D620">
        <v>5.4927844461993296E-7</v>
      </c>
      <c r="E620" t="s">
        <v>94</v>
      </c>
      <c r="H620" t="s">
        <v>588</v>
      </c>
      <c r="I620">
        <v>5.4927844461993296E-7</v>
      </c>
      <c r="J620">
        <v>1.0247973619913604</v>
      </c>
      <c r="N620" t="s">
        <v>2095</v>
      </c>
      <c r="O620" t="s">
        <v>1150</v>
      </c>
      <c r="Q620" t="s">
        <v>2096</v>
      </c>
    </row>
    <row r="621" spans="2:17">
      <c r="B621" t="s">
        <v>2097</v>
      </c>
      <c r="C621" t="s">
        <v>948</v>
      </c>
      <c r="D621">
        <v>2.74180610045229E-6</v>
      </c>
      <c r="E621" t="s">
        <v>94</v>
      </c>
      <c r="H621" t="s">
        <v>588</v>
      </c>
      <c r="I621">
        <v>2.74180610045229E-6</v>
      </c>
      <c r="J621">
        <v>1.0247973619913604</v>
      </c>
      <c r="N621" t="s">
        <v>2098</v>
      </c>
      <c r="O621" t="s">
        <v>1153</v>
      </c>
      <c r="Q621" t="s">
        <v>2099</v>
      </c>
    </row>
    <row r="622" spans="2:17">
      <c r="B622" t="s">
        <v>903</v>
      </c>
      <c r="C622" t="s">
        <v>615</v>
      </c>
      <c r="D622">
        <v>4.8049854404745598E-11</v>
      </c>
      <c r="E622" t="s">
        <v>616</v>
      </c>
      <c r="H622" t="s">
        <v>588</v>
      </c>
      <c r="I622">
        <v>4.8049854404745598E-11</v>
      </c>
      <c r="J622">
        <v>1.7450381821146503</v>
      </c>
      <c r="N622" t="s">
        <v>904</v>
      </c>
      <c r="O622" t="s">
        <v>859</v>
      </c>
      <c r="Q622" t="s">
        <v>2100</v>
      </c>
    </row>
    <row r="623" spans="2:17">
      <c r="B623" t="s">
        <v>903</v>
      </c>
      <c r="C623" t="s">
        <v>615</v>
      </c>
      <c r="D623">
        <v>1.76074607528942E-12</v>
      </c>
      <c r="E623" t="s">
        <v>616</v>
      </c>
      <c r="H623" t="s">
        <v>588</v>
      </c>
      <c r="I623">
        <v>1.76074607528942E-12</v>
      </c>
      <c r="J623">
        <v>1.9848938964492473</v>
      </c>
      <c r="N623" t="s">
        <v>2101</v>
      </c>
      <c r="O623" t="s">
        <v>952</v>
      </c>
      <c r="Q623" t="s">
        <v>595</v>
      </c>
    </row>
    <row r="624" spans="2:17">
      <c r="B624" t="s">
        <v>1192</v>
      </c>
      <c r="C624" t="s">
        <v>673</v>
      </c>
      <c r="D624">
        <v>1.32370373074138E-3</v>
      </c>
      <c r="E624" t="s">
        <v>94</v>
      </c>
      <c r="H624" t="s">
        <v>588</v>
      </c>
      <c r="I624">
        <v>1.32370373074138E-3</v>
      </c>
      <c r="J624">
        <v>1.1051709180756477</v>
      </c>
      <c r="N624" t="s">
        <v>1193</v>
      </c>
      <c r="O624" t="s">
        <v>1675</v>
      </c>
      <c r="Q624" t="s">
        <v>811</v>
      </c>
    </row>
    <row r="625" spans="2:17">
      <c r="B625" t="s">
        <v>2102</v>
      </c>
      <c r="C625" t="s">
        <v>2103</v>
      </c>
      <c r="D625">
        <v>1.75611309520699E-3</v>
      </c>
      <c r="E625" t="s">
        <v>94</v>
      </c>
      <c r="H625" t="s">
        <v>588</v>
      </c>
      <c r="I625">
        <v>1.75611309520699E-3</v>
      </c>
      <c r="J625">
        <v>1.0247973619913604</v>
      </c>
      <c r="N625" t="s">
        <v>2104</v>
      </c>
      <c r="O625" t="s">
        <v>641</v>
      </c>
      <c r="Q625" t="s">
        <v>1643</v>
      </c>
    </row>
    <row r="626" spans="2:17">
      <c r="B626" t="s">
        <v>2102</v>
      </c>
      <c r="C626" t="s">
        <v>2103</v>
      </c>
      <c r="D626">
        <v>4.2067074216115397E-9</v>
      </c>
      <c r="E626" t="s">
        <v>94</v>
      </c>
      <c r="H626" t="s">
        <v>588</v>
      </c>
      <c r="I626">
        <v>4.2067074216115397E-9</v>
      </c>
      <c r="J626">
        <v>1.0247973619913604</v>
      </c>
      <c r="N626" t="s">
        <v>2105</v>
      </c>
      <c r="O626" t="s">
        <v>1765</v>
      </c>
      <c r="Q626" t="s">
        <v>1766</v>
      </c>
    </row>
    <row r="627" spans="2:17">
      <c r="B627" t="s">
        <v>2106</v>
      </c>
      <c r="C627" t="s">
        <v>2107</v>
      </c>
      <c r="D627">
        <v>4.8324897399782896E-9</v>
      </c>
      <c r="E627" t="s">
        <v>1171</v>
      </c>
      <c r="H627" t="s">
        <v>588</v>
      </c>
      <c r="I627">
        <v>4.8324897399782896E-9</v>
      </c>
      <c r="J627">
        <v>1.7293101253499219</v>
      </c>
      <c r="N627" t="s">
        <v>2108</v>
      </c>
      <c r="O627" t="s">
        <v>2109</v>
      </c>
      <c r="Q627" t="s">
        <v>2110</v>
      </c>
    </row>
    <row r="628" spans="2:17">
      <c r="B628" t="s">
        <v>2111</v>
      </c>
      <c r="C628" t="s">
        <v>673</v>
      </c>
      <c r="D628">
        <v>5.1129323486404301E-5</v>
      </c>
      <c r="E628" t="s">
        <v>94</v>
      </c>
      <c r="H628" t="s">
        <v>588</v>
      </c>
      <c r="I628">
        <v>5.1129323486404301E-5</v>
      </c>
      <c r="J628">
        <v>1.0247973619913604</v>
      </c>
      <c r="N628" t="s">
        <v>2112</v>
      </c>
      <c r="O628" t="s">
        <v>609</v>
      </c>
      <c r="Q628" t="s">
        <v>2113</v>
      </c>
    </row>
    <row r="629" spans="2:17">
      <c r="B629" t="s">
        <v>2111</v>
      </c>
      <c r="C629" t="s">
        <v>673</v>
      </c>
      <c r="D629">
        <v>1.07521488038689E-5</v>
      </c>
      <c r="E629" t="s">
        <v>94</v>
      </c>
      <c r="H629" t="s">
        <v>588</v>
      </c>
      <c r="I629">
        <v>1.07521488038689E-5</v>
      </c>
      <c r="J629">
        <v>1.0247973619913604</v>
      </c>
      <c r="N629" t="s">
        <v>2112</v>
      </c>
      <c r="O629" t="s">
        <v>2114</v>
      </c>
      <c r="Q629" t="s">
        <v>2113</v>
      </c>
    </row>
    <row r="630" spans="2:17">
      <c r="B630" t="s">
        <v>2115</v>
      </c>
      <c r="C630" t="s">
        <v>667</v>
      </c>
      <c r="D630">
        <v>1.38248711348376E-4</v>
      </c>
      <c r="E630" t="s">
        <v>94</v>
      </c>
      <c r="H630" t="s">
        <v>588</v>
      </c>
      <c r="I630">
        <v>1.38248711348376E-4</v>
      </c>
      <c r="J630">
        <v>1.0247973619913604</v>
      </c>
      <c r="N630" t="s">
        <v>2116</v>
      </c>
      <c r="O630" t="s">
        <v>641</v>
      </c>
      <c r="Q630" t="s">
        <v>1672</v>
      </c>
    </row>
    <row r="631" spans="2:17">
      <c r="B631" t="s">
        <v>2115</v>
      </c>
      <c r="C631" t="s">
        <v>667</v>
      </c>
      <c r="D631">
        <v>3.91060183414252E-6</v>
      </c>
      <c r="E631" t="s">
        <v>94</v>
      </c>
      <c r="H631" t="s">
        <v>588</v>
      </c>
      <c r="I631">
        <v>3.91060183414252E-6</v>
      </c>
      <c r="J631">
        <v>1</v>
      </c>
      <c r="N631" t="s">
        <v>2116</v>
      </c>
      <c r="O631" t="s">
        <v>1002</v>
      </c>
    </row>
    <row r="632" spans="2:17">
      <c r="B632" t="s">
        <v>2117</v>
      </c>
      <c r="C632" t="s">
        <v>673</v>
      </c>
      <c r="D632">
        <v>3.9846524613701299E-10</v>
      </c>
      <c r="E632" t="s">
        <v>94</v>
      </c>
      <c r="H632" t="s">
        <v>588</v>
      </c>
      <c r="I632">
        <v>3.9846524613701299E-10</v>
      </c>
      <c r="J632">
        <v>1.0247973619913604</v>
      </c>
      <c r="N632" t="s">
        <v>2118</v>
      </c>
      <c r="O632" t="s">
        <v>1779</v>
      </c>
      <c r="Q632" t="s">
        <v>1780</v>
      </c>
    </row>
    <row r="633" spans="2:17">
      <c r="B633" t="s">
        <v>2117</v>
      </c>
      <c r="C633" t="s">
        <v>673</v>
      </c>
      <c r="D633">
        <v>2.0796706270093099E-4</v>
      </c>
      <c r="E633" t="s">
        <v>94</v>
      </c>
      <c r="H633" t="s">
        <v>588</v>
      </c>
      <c r="I633">
        <v>2.0796706270093099E-4</v>
      </c>
      <c r="J633">
        <v>1.0247973619913604</v>
      </c>
      <c r="N633" t="s">
        <v>2118</v>
      </c>
      <c r="O633" t="s">
        <v>1779</v>
      </c>
      <c r="Q633" t="s">
        <v>1780</v>
      </c>
    </row>
    <row r="634" spans="2:17">
      <c r="B634" t="s">
        <v>2119</v>
      </c>
      <c r="C634" t="s">
        <v>1810</v>
      </c>
      <c r="D634">
        <v>5.3089086526849502E-7</v>
      </c>
      <c r="E634" t="s">
        <v>1811</v>
      </c>
      <c r="H634" t="s">
        <v>588</v>
      </c>
      <c r="I634">
        <v>5.3089086526849502E-7</v>
      </c>
      <c r="J634">
        <v>1.0247973619913604</v>
      </c>
      <c r="N634" t="s">
        <v>2120</v>
      </c>
      <c r="O634" t="s">
        <v>1756</v>
      </c>
      <c r="Q634" t="s">
        <v>2121</v>
      </c>
    </row>
    <row r="635" spans="2:17">
      <c r="B635" t="s">
        <v>2122</v>
      </c>
      <c r="C635" t="s">
        <v>569</v>
      </c>
      <c r="D635">
        <v>4.2735261035839602E-4</v>
      </c>
      <c r="E635" t="s">
        <v>94</v>
      </c>
      <c r="H635" t="s">
        <v>588</v>
      </c>
      <c r="I635">
        <v>4.2735261035839602E-4</v>
      </c>
      <c r="J635">
        <v>1.1051709180756477</v>
      </c>
      <c r="N635" t="s">
        <v>2123</v>
      </c>
      <c r="O635" t="s">
        <v>1700</v>
      </c>
      <c r="Q635" t="s">
        <v>811</v>
      </c>
    </row>
    <row r="636" spans="2:17">
      <c r="B636" t="s">
        <v>1195</v>
      </c>
      <c r="C636" t="s">
        <v>667</v>
      </c>
      <c r="D636">
        <v>3.3837974993238599E-5</v>
      </c>
      <c r="E636" t="s">
        <v>94</v>
      </c>
      <c r="H636" t="s">
        <v>588</v>
      </c>
      <c r="I636">
        <v>3.3837974993238599E-5</v>
      </c>
      <c r="J636">
        <v>1.2214027581601699</v>
      </c>
      <c r="N636" t="s">
        <v>1196</v>
      </c>
      <c r="O636" t="s">
        <v>1708</v>
      </c>
      <c r="Q636" t="s">
        <v>595</v>
      </c>
    </row>
    <row r="637" spans="2:17">
      <c r="B637" t="s">
        <v>2124</v>
      </c>
      <c r="C637" t="s">
        <v>821</v>
      </c>
      <c r="D637">
        <v>4.05496573118922E-6</v>
      </c>
      <c r="E637" t="s">
        <v>94</v>
      </c>
      <c r="H637" t="s">
        <v>588</v>
      </c>
      <c r="I637">
        <v>4.05496573118922E-6</v>
      </c>
      <c r="J637">
        <v>1.0247973619913604</v>
      </c>
      <c r="N637" t="s">
        <v>2125</v>
      </c>
      <c r="O637" t="s">
        <v>612</v>
      </c>
      <c r="Q637" t="s">
        <v>2126</v>
      </c>
    </row>
    <row r="638" spans="2:17">
      <c r="B638" t="s">
        <v>2127</v>
      </c>
      <c r="C638" t="s">
        <v>1417</v>
      </c>
      <c r="D638">
        <v>1.42370705783895E-6</v>
      </c>
      <c r="E638" t="s">
        <v>94</v>
      </c>
      <c r="H638" t="s">
        <v>588</v>
      </c>
      <c r="I638">
        <v>1.42370705783895E-6</v>
      </c>
      <c r="J638">
        <v>1.0321280889960358</v>
      </c>
      <c r="N638" t="s">
        <v>2128</v>
      </c>
      <c r="O638" t="s">
        <v>2050</v>
      </c>
      <c r="Q638" t="s">
        <v>2129</v>
      </c>
    </row>
    <row r="639" spans="2:17">
      <c r="B639" t="s">
        <v>2130</v>
      </c>
      <c r="C639" t="s">
        <v>1417</v>
      </c>
      <c r="D639">
        <v>1.70774111588885E-5</v>
      </c>
      <c r="E639" t="s">
        <v>94</v>
      </c>
      <c r="H639" t="s">
        <v>588</v>
      </c>
      <c r="I639">
        <v>1.70774111588885E-5</v>
      </c>
      <c r="J639">
        <v>1.2214027581601699</v>
      </c>
      <c r="N639" t="s">
        <v>2131</v>
      </c>
      <c r="O639" t="s">
        <v>2132</v>
      </c>
      <c r="Q639" t="s">
        <v>2133</v>
      </c>
    </row>
    <row r="640" spans="2:17">
      <c r="B640" t="s">
        <v>2130</v>
      </c>
      <c r="C640" t="s">
        <v>1417</v>
      </c>
      <c r="D640">
        <v>3.5866326070952301E-5</v>
      </c>
      <c r="E640" t="s">
        <v>94</v>
      </c>
      <c r="H640" t="s">
        <v>588</v>
      </c>
      <c r="I640">
        <v>3.5866326070952301E-5</v>
      </c>
      <c r="J640">
        <v>1.2214027581601699</v>
      </c>
      <c r="N640" t="s">
        <v>2134</v>
      </c>
      <c r="O640" t="s">
        <v>2135</v>
      </c>
      <c r="Q640" t="s">
        <v>2133</v>
      </c>
    </row>
    <row r="641" spans="2:17">
      <c r="B641" t="s">
        <v>2136</v>
      </c>
      <c r="C641" t="s">
        <v>587</v>
      </c>
      <c r="D641">
        <v>1.7527588854357401E-8</v>
      </c>
      <c r="E641" t="s">
        <v>94</v>
      </c>
      <c r="H641" t="s">
        <v>588</v>
      </c>
      <c r="I641">
        <v>1.7527588854357401E-8</v>
      </c>
      <c r="J641">
        <v>1.0247973619913604</v>
      </c>
      <c r="O641" t="s">
        <v>641</v>
      </c>
      <c r="Q641" t="s">
        <v>1643</v>
      </c>
    </row>
    <row r="642" spans="2:17">
      <c r="B642" t="s">
        <v>2137</v>
      </c>
      <c r="C642" t="s">
        <v>673</v>
      </c>
      <c r="D642">
        <v>1.6827396429723999E-4</v>
      </c>
      <c r="E642" t="s">
        <v>94</v>
      </c>
      <c r="H642" t="s">
        <v>588</v>
      </c>
      <c r="I642">
        <v>1.6827396429723999E-4</v>
      </c>
      <c r="J642">
        <v>1.0247973619913604</v>
      </c>
      <c r="N642" t="s">
        <v>2138</v>
      </c>
      <c r="O642" t="s">
        <v>2139</v>
      </c>
      <c r="Q642" t="s">
        <v>2140</v>
      </c>
    </row>
    <row r="643" spans="2:17">
      <c r="B643" t="s">
        <v>1197</v>
      </c>
      <c r="C643" t="s">
        <v>676</v>
      </c>
      <c r="D643">
        <v>3.1231843178456298E-3</v>
      </c>
      <c r="E643" t="s">
        <v>94</v>
      </c>
      <c r="H643" t="s">
        <v>588</v>
      </c>
      <c r="I643">
        <v>3.1231843178456298E-3</v>
      </c>
      <c r="J643">
        <v>1.1051709180756477</v>
      </c>
      <c r="N643" t="s">
        <v>1198</v>
      </c>
      <c r="O643" t="s">
        <v>1700</v>
      </c>
      <c r="Q643" t="s">
        <v>979</v>
      </c>
    </row>
    <row r="644" spans="2:17">
      <c r="B644" t="s">
        <v>1197</v>
      </c>
      <c r="C644" t="s">
        <v>676</v>
      </c>
      <c r="D644">
        <v>2.75316019689489E-2</v>
      </c>
      <c r="E644" t="s">
        <v>94</v>
      </c>
      <c r="H644" t="s">
        <v>588</v>
      </c>
      <c r="I644">
        <v>2.75316019689489E-2</v>
      </c>
      <c r="J644">
        <v>1.0247973619913604</v>
      </c>
      <c r="N644" t="s">
        <v>1198</v>
      </c>
      <c r="O644" t="s">
        <v>1999</v>
      </c>
      <c r="Q644" t="s">
        <v>2000</v>
      </c>
    </row>
    <row r="645" spans="2:17">
      <c r="B645" t="s">
        <v>2141</v>
      </c>
      <c r="C645" t="s">
        <v>2088</v>
      </c>
      <c r="D645">
        <v>4.1347471250650801E-3</v>
      </c>
      <c r="E645" t="s">
        <v>94</v>
      </c>
      <c r="H645" t="s">
        <v>588</v>
      </c>
      <c r="I645">
        <v>4.1347471250650801E-3</v>
      </c>
      <c r="J645">
        <v>1.7450381821146503</v>
      </c>
      <c r="N645" t="s">
        <v>2142</v>
      </c>
      <c r="O645" t="s">
        <v>1054</v>
      </c>
      <c r="Q645" t="s">
        <v>2143</v>
      </c>
    </row>
    <row r="646" spans="2:17">
      <c r="B646" t="s">
        <v>2144</v>
      </c>
      <c r="C646" t="s">
        <v>615</v>
      </c>
      <c r="D646">
        <v>9.5139666161682E-12</v>
      </c>
      <c r="E646" t="s">
        <v>616</v>
      </c>
      <c r="H646" t="s">
        <v>588</v>
      </c>
      <c r="I646">
        <v>9.5139666161682E-12</v>
      </c>
      <c r="J646">
        <v>2.2394398661220611</v>
      </c>
      <c r="N646" t="s">
        <v>2145</v>
      </c>
      <c r="O646" t="s">
        <v>798</v>
      </c>
      <c r="Q646" t="s">
        <v>2146</v>
      </c>
    </row>
    <row r="647" spans="2:17">
      <c r="B647" t="s">
        <v>2144</v>
      </c>
      <c r="C647" t="s">
        <v>615</v>
      </c>
      <c r="D647">
        <v>1.5820645504292099E-11</v>
      </c>
      <c r="E647" t="s">
        <v>616</v>
      </c>
      <c r="H647" t="s">
        <v>588</v>
      </c>
      <c r="I647">
        <v>1.5820645504292099E-11</v>
      </c>
      <c r="J647">
        <v>2.2394398661220611</v>
      </c>
      <c r="N647" t="s">
        <v>2147</v>
      </c>
      <c r="O647" t="s">
        <v>1082</v>
      </c>
      <c r="Q647" t="s">
        <v>979</v>
      </c>
    </row>
    <row r="648" spans="2:17">
      <c r="B648" t="s">
        <v>2148</v>
      </c>
      <c r="C648" t="s">
        <v>587</v>
      </c>
      <c r="D648">
        <v>2.8052753537798999E-2</v>
      </c>
      <c r="E648" t="s">
        <v>94</v>
      </c>
      <c r="Q648" t="s">
        <v>1776</v>
      </c>
    </row>
    <row r="649" spans="2:17">
      <c r="B649" t="s">
        <v>2149</v>
      </c>
      <c r="C649" t="s">
        <v>587</v>
      </c>
      <c r="D649">
        <v>1.95744813802612E-6</v>
      </c>
      <c r="E649" t="s">
        <v>94</v>
      </c>
      <c r="Q649" t="s">
        <v>1776</v>
      </c>
    </row>
    <row r="650" spans="2:17">
      <c r="B650" t="s">
        <v>2150</v>
      </c>
      <c r="C650" t="s">
        <v>708</v>
      </c>
      <c r="D650">
        <v>1.2763706320742199E-5</v>
      </c>
      <c r="E650" t="s">
        <v>94</v>
      </c>
      <c r="H650" t="s">
        <v>588</v>
      </c>
      <c r="I650">
        <v>1.2763706320742199E-5</v>
      </c>
      <c r="J650">
        <v>1.7293101253499219</v>
      </c>
      <c r="N650" t="s">
        <v>2151</v>
      </c>
      <c r="O650" t="s">
        <v>1927</v>
      </c>
      <c r="Q650" t="s">
        <v>2152</v>
      </c>
    </row>
    <row r="651" spans="2:17">
      <c r="B651" t="s">
        <v>2153</v>
      </c>
      <c r="C651" t="s">
        <v>650</v>
      </c>
      <c r="D651">
        <v>1.1211791326687999E-6</v>
      </c>
      <c r="E651" t="s">
        <v>94</v>
      </c>
      <c r="H651" t="s">
        <v>588</v>
      </c>
      <c r="I651">
        <v>1.1211791326687999E-6</v>
      </c>
      <c r="J651">
        <v>1.0247973619913604</v>
      </c>
      <c r="N651" t="s">
        <v>2154</v>
      </c>
      <c r="O651" t="s">
        <v>641</v>
      </c>
      <c r="Q651" t="s">
        <v>1672</v>
      </c>
    </row>
    <row r="652" spans="2:17">
      <c r="B652" t="s">
        <v>2153</v>
      </c>
      <c r="C652" t="s">
        <v>650</v>
      </c>
      <c r="D652">
        <v>7.5139566674480104E-8</v>
      </c>
      <c r="E652" t="s">
        <v>94</v>
      </c>
      <c r="H652" t="s">
        <v>588</v>
      </c>
      <c r="I652">
        <v>7.5139566674480104E-8</v>
      </c>
      <c r="J652">
        <v>1.0247973619913604</v>
      </c>
      <c r="N652" t="s">
        <v>2154</v>
      </c>
      <c r="O652" t="s">
        <v>641</v>
      </c>
      <c r="Q652" t="s">
        <v>1672</v>
      </c>
    </row>
    <row r="653" spans="2:17">
      <c r="B653" t="s">
        <v>2153</v>
      </c>
      <c r="C653" t="s">
        <v>650</v>
      </c>
      <c r="D653">
        <v>5.8612984994831301E-8</v>
      </c>
      <c r="E653" t="s">
        <v>94</v>
      </c>
      <c r="H653" t="s">
        <v>588</v>
      </c>
      <c r="I653">
        <v>5.8612984994831301E-8</v>
      </c>
      <c r="J653">
        <v>1.0247973619913604</v>
      </c>
      <c r="N653" t="s">
        <v>2154</v>
      </c>
      <c r="O653" t="s">
        <v>641</v>
      </c>
      <c r="Q653" t="s">
        <v>1672</v>
      </c>
    </row>
    <row r="654" spans="2:17">
      <c r="B654" t="s">
        <v>2153</v>
      </c>
      <c r="C654" t="s">
        <v>650</v>
      </c>
      <c r="D654">
        <v>1.8292922690912101E-8</v>
      </c>
      <c r="E654" t="s">
        <v>94</v>
      </c>
      <c r="H654" t="s">
        <v>588</v>
      </c>
      <c r="I654">
        <v>1.8292922690912101E-8</v>
      </c>
      <c r="J654">
        <v>1.0247973619913604</v>
      </c>
      <c r="N654" t="s">
        <v>2154</v>
      </c>
      <c r="O654" t="s">
        <v>641</v>
      </c>
      <c r="Q654" t="s">
        <v>1672</v>
      </c>
    </row>
    <row r="655" spans="2:17">
      <c r="B655" t="s">
        <v>2153</v>
      </c>
      <c r="C655" t="s">
        <v>650</v>
      </c>
      <c r="D655">
        <v>3.5972099281885602E-6</v>
      </c>
      <c r="E655" t="s">
        <v>94</v>
      </c>
      <c r="H655" t="s">
        <v>588</v>
      </c>
      <c r="I655">
        <v>3.5972099281885602E-6</v>
      </c>
      <c r="J655">
        <v>1.0247973619913604</v>
      </c>
      <c r="N655" t="s">
        <v>2154</v>
      </c>
      <c r="O655" t="s">
        <v>641</v>
      </c>
      <c r="Q655" t="s">
        <v>1672</v>
      </c>
    </row>
    <row r="656" spans="2:17">
      <c r="B656" t="s">
        <v>2153</v>
      </c>
      <c r="C656" t="s">
        <v>650</v>
      </c>
      <c r="D656">
        <v>4.4970908077341999E-8</v>
      </c>
      <c r="E656" t="s">
        <v>94</v>
      </c>
      <c r="H656" t="s">
        <v>588</v>
      </c>
      <c r="I656">
        <v>4.4970908077341999E-8</v>
      </c>
      <c r="J656">
        <v>1.0247973619913604</v>
      </c>
      <c r="N656" t="s">
        <v>2154</v>
      </c>
      <c r="O656" t="s">
        <v>641</v>
      </c>
      <c r="Q656" t="s">
        <v>1672</v>
      </c>
    </row>
    <row r="657" spans="2:17">
      <c r="B657" t="s">
        <v>2153</v>
      </c>
      <c r="C657" t="s">
        <v>650</v>
      </c>
      <c r="D657">
        <v>2.52692145677155E-7</v>
      </c>
      <c r="E657" t="s">
        <v>94</v>
      </c>
      <c r="H657" t="s">
        <v>588</v>
      </c>
      <c r="I657">
        <v>2.52692145677155E-7</v>
      </c>
      <c r="J657">
        <v>1.0247973619913604</v>
      </c>
      <c r="N657" t="s">
        <v>2154</v>
      </c>
      <c r="O657" t="s">
        <v>641</v>
      </c>
      <c r="Q657" t="s">
        <v>1672</v>
      </c>
    </row>
    <row r="658" spans="2:17">
      <c r="B658" t="s">
        <v>2153</v>
      </c>
      <c r="C658" t="s">
        <v>650</v>
      </c>
      <c r="D658">
        <v>1.1996616719556199E-6</v>
      </c>
      <c r="E658" t="s">
        <v>94</v>
      </c>
      <c r="H658" t="s">
        <v>588</v>
      </c>
      <c r="I658">
        <v>1.1996616719556199E-6</v>
      </c>
      <c r="J658">
        <v>1.0247973619913604</v>
      </c>
      <c r="N658" t="s">
        <v>2154</v>
      </c>
      <c r="O658" t="s">
        <v>641</v>
      </c>
      <c r="Q658" t="s">
        <v>1672</v>
      </c>
    </row>
    <row r="659" spans="2:17">
      <c r="B659" t="s">
        <v>2155</v>
      </c>
      <c r="C659" t="s">
        <v>587</v>
      </c>
      <c r="D659">
        <v>3.14212010859456E-3</v>
      </c>
      <c r="E659" t="s">
        <v>94</v>
      </c>
      <c r="Q659" t="s">
        <v>1776</v>
      </c>
    </row>
    <row r="660" spans="2:17">
      <c r="B660" t="s">
        <v>2156</v>
      </c>
      <c r="C660" t="s">
        <v>587</v>
      </c>
      <c r="D660">
        <v>1.38384781704078E-2</v>
      </c>
      <c r="E660" t="s">
        <v>94</v>
      </c>
      <c r="Q660" t="s">
        <v>1776</v>
      </c>
    </row>
    <row r="661" spans="2:17">
      <c r="B661" t="s">
        <v>1200</v>
      </c>
      <c r="C661" t="s">
        <v>1143</v>
      </c>
      <c r="D661">
        <v>1.0402082984165101E-6</v>
      </c>
      <c r="E661" t="s">
        <v>94</v>
      </c>
      <c r="H661" t="s">
        <v>588</v>
      </c>
      <c r="I661">
        <v>1.0402082984165101E-6</v>
      </c>
      <c r="J661">
        <v>1.0247973619913604</v>
      </c>
      <c r="N661" t="s">
        <v>1201</v>
      </c>
      <c r="O661" t="s">
        <v>1135</v>
      </c>
      <c r="Q661" t="s">
        <v>1136</v>
      </c>
    </row>
    <row r="662" spans="2:17">
      <c r="B662" t="s">
        <v>1200</v>
      </c>
      <c r="C662" t="s">
        <v>1143</v>
      </c>
      <c r="D662">
        <v>5.1371523526862204E-7</v>
      </c>
      <c r="E662" t="s">
        <v>94</v>
      </c>
      <c r="H662" t="s">
        <v>588</v>
      </c>
      <c r="I662">
        <v>5.1371523526862204E-7</v>
      </c>
      <c r="J662">
        <v>1.0247973619913604</v>
      </c>
      <c r="N662" t="s">
        <v>1201</v>
      </c>
      <c r="O662" t="s">
        <v>1135</v>
      </c>
      <c r="Q662" t="s">
        <v>1136</v>
      </c>
    </row>
    <row r="663" spans="2:17">
      <c r="B663" t="s">
        <v>669</v>
      </c>
      <c r="C663" t="s">
        <v>670</v>
      </c>
      <c r="D663">
        <v>1.4426901593138901E-5</v>
      </c>
      <c r="E663" t="s">
        <v>94</v>
      </c>
      <c r="H663" t="s">
        <v>588</v>
      </c>
      <c r="I663">
        <v>1.4426901593138901E-5</v>
      </c>
      <c r="J663">
        <v>1.1051709180756477</v>
      </c>
      <c r="N663" t="s">
        <v>671</v>
      </c>
      <c r="O663" t="s">
        <v>1054</v>
      </c>
      <c r="Q663" t="s">
        <v>2157</v>
      </c>
    </row>
    <row r="664" spans="2:17">
      <c r="B664" t="s">
        <v>2158</v>
      </c>
      <c r="C664" t="s">
        <v>2159</v>
      </c>
      <c r="D664">
        <v>1.6743560767276301E-4</v>
      </c>
      <c r="E664" t="s">
        <v>94</v>
      </c>
      <c r="N664" t="s">
        <v>2160</v>
      </c>
    </row>
    <row r="665" spans="2:17">
      <c r="B665" t="s">
        <v>2158</v>
      </c>
      <c r="C665" t="s">
        <v>2159</v>
      </c>
      <c r="D665">
        <v>3.3820876228326402E-4</v>
      </c>
      <c r="E665" t="s">
        <v>94</v>
      </c>
      <c r="N665" t="s">
        <v>2160</v>
      </c>
    </row>
    <row r="666" spans="2:17">
      <c r="B666" t="s">
        <v>2158</v>
      </c>
      <c r="C666" t="s">
        <v>2159</v>
      </c>
      <c r="D666">
        <v>2.97568627353878E-4</v>
      </c>
      <c r="E666" t="s">
        <v>94</v>
      </c>
      <c r="N666" t="s">
        <v>2160</v>
      </c>
    </row>
    <row r="667" spans="2:17">
      <c r="B667" t="s">
        <v>2158</v>
      </c>
      <c r="C667" t="s">
        <v>2159</v>
      </c>
      <c r="D667">
        <v>1.15282310577235E-4</v>
      </c>
      <c r="E667" t="s">
        <v>94</v>
      </c>
      <c r="N667" t="s">
        <v>2161</v>
      </c>
      <c r="Q667" t="s">
        <v>1807</v>
      </c>
    </row>
    <row r="668" spans="2:17">
      <c r="B668" t="s">
        <v>2158</v>
      </c>
      <c r="C668" t="s">
        <v>2159</v>
      </c>
      <c r="D668">
        <v>1.5747292416705601E-4</v>
      </c>
      <c r="E668" t="s">
        <v>94</v>
      </c>
      <c r="N668" t="s">
        <v>2160</v>
      </c>
    </row>
    <row r="669" spans="2:17">
      <c r="B669" t="s">
        <v>2162</v>
      </c>
      <c r="C669" t="s">
        <v>2163</v>
      </c>
      <c r="D669">
        <v>6.4122493265574996E-4</v>
      </c>
      <c r="E669" t="s">
        <v>94</v>
      </c>
      <c r="H669" t="s">
        <v>588</v>
      </c>
      <c r="I669">
        <v>6.4122493265574996E-4</v>
      </c>
      <c r="J669">
        <v>1.1051709180756477</v>
      </c>
      <c r="N669" t="s">
        <v>2164</v>
      </c>
      <c r="O669" t="s">
        <v>1798</v>
      </c>
      <c r="Q669" t="s">
        <v>2165</v>
      </c>
    </row>
    <row r="670" spans="2:17">
      <c r="B670" t="s">
        <v>2166</v>
      </c>
      <c r="C670" t="s">
        <v>2167</v>
      </c>
      <c r="D670">
        <v>1.9860120512203301E-4</v>
      </c>
      <c r="E670" t="s">
        <v>94</v>
      </c>
      <c r="H670" t="s">
        <v>588</v>
      </c>
      <c r="I670">
        <v>1.9860120512203301E-4</v>
      </c>
      <c r="J670">
        <v>1.0247973619913604</v>
      </c>
      <c r="N670" t="s">
        <v>2168</v>
      </c>
      <c r="O670" t="s">
        <v>2169</v>
      </c>
    </row>
    <row r="671" spans="2:17">
      <c r="B671" t="s">
        <v>2166</v>
      </c>
      <c r="C671" t="s">
        <v>2167</v>
      </c>
      <c r="D671">
        <v>1.9866877770744899E-4</v>
      </c>
      <c r="E671" t="s">
        <v>94</v>
      </c>
      <c r="H671" t="s">
        <v>588</v>
      </c>
      <c r="I671">
        <v>1.9866877770744899E-4</v>
      </c>
      <c r="J671">
        <v>1.0247973619913604</v>
      </c>
      <c r="N671" t="s">
        <v>2168</v>
      </c>
      <c r="O671" t="s">
        <v>2170</v>
      </c>
      <c r="Q671" t="s">
        <v>2171</v>
      </c>
    </row>
    <row r="672" spans="2:17">
      <c r="B672" t="s">
        <v>2172</v>
      </c>
      <c r="C672" t="s">
        <v>2173</v>
      </c>
      <c r="D672">
        <v>4.4113831106233201E-8</v>
      </c>
      <c r="E672" t="s">
        <v>616</v>
      </c>
      <c r="H672" t="s">
        <v>588</v>
      </c>
      <c r="I672">
        <v>4.4113831106233201E-8</v>
      </c>
      <c r="J672">
        <v>1.7293101253499219</v>
      </c>
      <c r="N672" t="s">
        <v>2174</v>
      </c>
      <c r="O672" t="s">
        <v>1927</v>
      </c>
      <c r="Q672" t="s">
        <v>2175</v>
      </c>
    </row>
    <row r="673" spans="2:17">
      <c r="B673" t="s">
        <v>2176</v>
      </c>
      <c r="C673" t="s">
        <v>2159</v>
      </c>
      <c r="D673">
        <v>9.13424384511308E-6</v>
      </c>
      <c r="E673" t="s">
        <v>94</v>
      </c>
      <c r="N673" t="s">
        <v>2177</v>
      </c>
    </row>
    <row r="674" spans="2:17">
      <c r="B674" t="s">
        <v>2176</v>
      </c>
      <c r="C674" t="s">
        <v>2159</v>
      </c>
      <c r="D674">
        <v>1.2427195752080401E-4</v>
      </c>
      <c r="E674" t="s">
        <v>94</v>
      </c>
      <c r="N674" t="s">
        <v>2178</v>
      </c>
    </row>
    <row r="675" spans="2:17">
      <c r="B675" t="s">
        <v>2176</v>
      </c>
      <c r="C675" t="s">
        <v>2159</v>
      </c>
      <c r="D675">
        <v>1.98633556631824E-5</v>
      </c>
      <c r="E675" t="s">
        <v>94</v>
      </c>
      <c r="N675" t="s">
        <v>2178</v>
      </c>
    </row>
    <row r="676" spans="2:17">
      <c r="B676" t="s">
        <v>2176</v>
      </c>
      <c r="C676" t="s">
        <v>2159</v>
      </c>
      <c r="D676">
        <v>4.9349076550504398E-5</v>
      </c>
      <c r="E676" t="s">
        <v>94</v>
      </c>
      <c r="N676" t="s">
        <v>2177</v>
      </c>
    </row>
    <row r="677" spans="2:17">
      <c r="B677" t="s">
        <v>2176</v>
      </c>
      <c r="C677" t="s">
        <v>2159</v>
      </c>
      <c r="D677">
        <v>6.9497461907542206E-5</v>
      </c>
      <c r="E677" t="s">
        <v>94</v>
      </c>
      <c r="N677" t="s">
        <v>2178</v>
      </c>
    </row>
    <row r="678" spans="2:17">
      <c r="B678" t="s">
        <v>2176</v>
      </c>
      <c r="C678" t="s">
        <v>2159</v>
      </c>
      <c r="D678">
        <v>2.2049122776284899E-4</v>
      </c>
      <c r="E678" t="s">
        <v>94</v>
      </c>
      <c r="N678" t="s">
        <v>2178</v>
      </c>
    </row>
    <row r="679" spans="2:17">
      <c r="B679" t="s">
        <v>2176</v>
      </c>
      <c r="C679" t="s">
        <v>2159</v>
      </c>
      <c r="D679">
        <v>6.69492227435168E-5</v>
      </c>
      <c r="E679" t="s">
        <v>94</v>
      </c>
      <c r="N679" t="s">
        <v>2178</v>
      </c>
    </row>
    <row r="680" spans="2:17">
      <c r="B680" t="s">
        <v>2176</v>
      </c>
      <c r="C680" t="s">
        <v>2159</v>
      </c>
      <c r="D680">
        <v>2.73954691003224E-5</v>
      </c>
      <c r="E680" t="s">
        <v>94</v>
      </c>
      <c r="N680" t="s">
        <v>2177</v>
      </c>
    </row>
    <row r="681" spans="2:17">
      <c r="B681" t="s">
        <v>2176</v>
      </c>
      <c r="C681" t="s">
        <v>2159</v>
      </c>
      <c r="D681">
        <v>4.8034862499125602E-5</v>
      </c>
      <c r="E681" t="s">
        <v>94</v>
      </c>
      <c r="N681" t="s">
        <v>2177</v>
      </c>
    </row>
    <row r="682" spans="2:17">
      <c r="B682" t="s">
        <v>2176</v>
      </c>
      <c r="C682" t="s">
        <v>2159</v>
      </c>
      <c r="D682">
        <v>1.00887226630449E-4</v>
      </c>
      <c r="E682" t="s">
        <v>94</v>
      </c>
      <c r="N682" t="s">
        <v>2179</v>
      </c>
      <c r="Q682" t="s">
        <v>1807</v>
      </c>
    </row>
    <row r="683" spans="2:17">
      <c r="B683" t="s">
        <v>2176</v>
      </c>
      <c r="C683" t="s">
        <v>2159</v>
      </c>
      <c r="D683">
        <v>2.05740010994112E-4</v>
      </c>
      <c r="E683" t="s">
        <v>94</v>
      </c>
      <c r="N683" t="s">
        <v>2177</v>
      </c>
    </row>
    <row r="684" spans="2:17">
      <c r="B684" t="s">
        <v>823</v>
      </c>
      <c r="C684" t="s">
        <v>795</v>
      </c>
      <c r="D684">
        <v>5.3427904432672699E-4</v>
      </c>
      <c r="E684" t="s">
        <v>607</v>
      </c>
      <c r="H684" t="s">
        <v>588</v>
      </c>
      <c r="I684">
        <v>5.3427904432672699E-4</v>
      </c>
      <c r="J684">
        <v>1.0247973619913604</v>
      </c>
      <c r="N684" t="s">
        <v>794</v>
      </c>
      <c r="O684" t="s">
        <v>641</v>
      </c>
      <c r="Q684" t="s">
        <v>1643</v>
      </c>
    </row>
    <row r="685" spans="2:17">
      <c r="B685" t="s">
        <v>823</v>
      </c>
      <c r="C685" t="s">
        <v>795</v>
      </c>
      <c r="D685">
        <v>2.1730502893518099E-2</v>
      </c>
      <c r="E685" t="s">
        <v>607</v>
      </c>
      <c r="H685" t="s">
        <v>588</v>
      </c>
      <c r="I685">
        <v>2.1730502893518099E-2</v>
      </c>
      <c r="J685">
        <v>1</v>
      </c>
      <c r="N685" t="s">
        <v>1072</v>
      </c>
      <c r="O685" t="s">
        <v>921</v>
      </c>
      <c r="Q685" t="s">
        <v>595</v>
      </c>
    </row>
    <row r="686" spans="2:17">
      <c r="B686" t="s">
        <v>2180</v>
      </c>
      <c r="C686" t="s">
        <v>2181</v>
      </c>
      <c r="D686">
        <v>1.79128524250384E-5</v>
      </c>
      <c r="E686" t="s">
        <v>616</v>
      </c>
      <c r="H686" t="s">
        <v>588</v>
      </c>
      <c r="I686">
        <v>1.79128524250384E-5</v>
      </c>
      <c r="J686">
        <v>1.7293101253499219</v>
      </c>
      <c r="N686" t="s">
        <v>2182</v>
      </c>
      <c r="O686" t="s">
        <v>1927</v>
      </c>
      <c r="Q686" t="s">
        <v>2183</v>
      </c>
    </row>
    <row r="687" spans="2:17">
      <c r="B687" t="s">
        <v>2184</v>
      </c>
      <c r="C687" t="s">
        <v>787</v>
      </c>
      <c r="D687">
        <v>3.7081397962819402E-3</v>
      </c>
      <c r="E687" t="s">
        <v>94</v>
      </c>
      <c r="H687" t="s">
        <v>588</v>
      </c>
      <c r="I687">
        <v>3.7081397962819402E-3</v>
      </c>
      <c r="J687">
        <v>1.4049000000004648</v>
      </c>
      <c r="N687" t="s">
        <v>2185</v>
      </c>
      <c r="O687" t="s">
        <v>1758</v>
      </c>
      <c r="Q687" t="s">
        <v>2186</v>
      </c>
    </row>
    <row r="688" spans="2:17">
      <c r="B688" t="s">
        <v>2187</v>
      </c>
      <c r="C688" t="s">
        <v>673</v>
      </c>
      <c r="D688">
        <v>2.7394706265060601E-5</v>
      </c>
      <c r="E688" t="s">
        <v>640</v>
      </c>
      <c r="H688" t="s">
        <v>588</v>
      </c>
      <c r="I688">
        <v>2.7394706265060601E-5</v>
      </c>
      <c r="J688">
        <v>1.0247973619913604</v>
      </c>
      <c r="N688" t="s">
        <v>2188</v>
      </c>
      <c r="O688" t="s">
        <v>1883</v>
      </c>
    </row>
    <row r="689" spans="2:17">
      <c r="B689" t="s">
        <v>2187</v>
      </c>
      <c r="C689" t="s">
        <v>673</v>
      </c>
      <c r="D689">
        <v>3.2627610227767898E-5</v>
      </c>
      <c r="E689" t="s">
        <v>640</v>
      </c>
      <c r="H689" t="s">
        <v>588</v>
      </c>
      <c r="I689">
        <v>3.2627610227767898E-5</v>
      </c>
      <c r="J689">
        <v>1.0247973619913604</v>
      </c>
      <c r="N689" t="s">
        <v>2188</v>
      </c>
      <c r="O689" t="s">
        <v>2189</v>
      </c>
    </row>
    <row r="690" spans="2:17">
      <c r="B690" t="s">
        <v>2190</v>
      </c>
      <c r="C690" t="s">
        <v>673</v>
      </c>
      <c r="D690">
        <v>1.6606821528372801E-3</v>
      </c>
      <c r="E690" t="s">
        <v>640</v>
      </c>
      <c r="H690" t="s">
        <v>588</v>
      </c>
      <c r="I690">
        <v>1.6606821528372801E-3</v>
      </c>
      <c r="J690">
        <v>1.0247973619913604</v>
      </c>
      <c r="N690" t="s">
        <v>2191</v>
      </c>
      <c r="O690" t="s">
        <v>2192</v>
      </c>
      <c r="Q690" t="s">
        <v>2193</v>
      </c>
    </row>
    <row r="691" spans="2:17">
      <c r="B691" t="s">
        <v>2194</v>
      </c>
      <c r="C691" t="s">
        <v>673</v>
      </c>
      <c r="D691">
        <v>1.0547975049783101E-5</v>
      </c>
      <c r="E691" t="s">
        <v>640</v>
      </c>
      <c r="H691" t="s">
        <v>588</v>
      </c>
      <c r="I691">
        <v>1.0547975049783101E-5</v>
      </c>
      <c r="J691">
        <v>1.0247973619913604</v>
      </c>
      <c r="N691" t="s">
        <v>2195</v>
      </c>
      <c r="O691" t="s">
        <v>1624</v>
      </c>
      <c r="Q691" t="s">
        <v>2196</v>
      </c>
    </row>
    <row r="692" spans="2:17">
      <c r="B692" t="s">
        <v>2194</v>
      </c>
      <c r="C692" t="s">
        <v>673</v>
      </c>
      <c r="D692">
        <v>2.59214861044849E-5</v>
      </c>
      <c r="E692" t="s">
        <v>640</v>
      </c>
      <c r="H692" t="s">
        <v>588</v>
      </c>
      <c r="I692">
        <v>2.59214861044849E-5</v>
      </c>
      <c r="J692">
        <v>1.0247973619913604</v>
      </c>
      <c r="N692" t="s">
        <v>2195</v>
      </c>
      <c r="O692" t="s">
        <v>1624</v>
      </c>
      <c r="Q692" t="s">
        <v>2196</v>
      </c>
    </row>
    <row r="693" spans="2:17">
      <c r="B693" t="s">
        <v>2197</v>
      </c>
      <c r="C693" t="s">
        <v>2198</v>
      </c>
      <c r="D693">
        <v>1.93061601902478E-7</v>
      </c>
      <c r="E693" t="s">
        <v>616</v>
      </c>
      <c r="H693" t="s">
        <v>588</v>
      </c>
      <c r="I693">
        <v>1.93061601902478E-7</v>
      </c>
      <c r="J693">
        <v>1.7293101253499219</v>
      </c>
      <c r="N693" t="s">
        <v>2199</v>
      </c>
      <c r="O693" t="s">
        <v>1927</v>
      </c>
      <c r="Q693" t="s">
        <v>2200</v>
      </c>
    </row>
    <row r="694" spans="2:17">
      <c r="B694" t="s">
        <v>2201</v>
      </c>
      <c r="C694" t="s">
        <v>2202</v>
      </c>
      <c r="D694">
        <v>1.18517259693468E-4</v>
      </c>
      <c r="E694" t="s">
        <v>94</v>
      </c>
      <c r="H694" t="s">
        <v>588</v>
      </c>
      <c r="I694">
        <v>1.18517259693468E-4</v>
      </c>
      <c r="J694">
        <v>1.499999999999694</v>
      </c>
      <c r="N694" t="s">
        <v>2203</v>
      </c>
      <c r="O694" t="s">
        <v>952</v>
      </c>
      <c r="Q694" t="s">
        <v>2204</v>
      </c>
    </row>
    <row r="695" spans="2:17">
      <c r="B695" t="s">
        <v>2201</v>
      </c>
      <c r="C695" t="s">
        <v>2202</v>
      </c>
      <c r="D695">
        <v>2.6166148244012301E-4</v>
      </c>
      <c r="E695" t="s">
        <v>94</v>
      </c>
      <c r="H695" t="s">
        <v>588</v>
      </c>
      <c r="I695">
        <v>2.6166148244012301E-4</v>
      </c>
      <c r="J695">
        <v>1.499999999999694</v>
      </c>
      <c r="N695" t="s">
        <v>2203</v>
      </c>
      <c r="O695" t="s">
        <v>952</v>
      </c>
      <c r="Q695" t="s">
        <v>2204</v>
      </c>
    </row>
    <row r="696" spans="2:17">
      <c r="B696" t="s">
        <v>2201</v>
      </c>
      <c r="C696" t="s">
        <v>2202</v>
      </c>
      <c r="D696">
        <v>3.7491278973526902E-4</v>
      </c>
      <c r="E696" t="s">
        <v>94</v>
      </c>
      <c r="H696" t="s">
        <v>588</v>
      </c>
      <c r="I696">
        <v>3.7491278973526902E-4</v>
      </c>
      <c r="J696">
        <v>1.499999999999694</v>
      </c>
      <c r="N696" t="s">
        <v>2203</v>
      </c>
      <c r="O696" t="s">
        <v>952</v>
      </c>
      <c r="Q696" t="s">
        <v>2204</v>
      </c>
    </row>
    <row r="697" spans="2:17">
      <c r="B697" t="s">
        <v>2205</v>
      </c>
      <c r="C697" t="s">
        <v>615</v>
      </c>
      <c r="D697">
        <v>3.6120433260593602E-11</v>
      </c>
      <c r="E697" t="s">
        <v>616</v>
      </c>
      <c r="H697" t="s">
        <v>588</v>
      </c>
      <c r="I697">
        <v>3.6120433260593602E-11</v>
      </c>
      <c r="J697">
        <v>1.760654165524179</v>
      </c>
      <c r="N697" t="s">
        <v>2206</v>
      </c>
      <c r="O697" t="s">
        <v>2207</v>
      </c>
      <c r="Q697" t="s">
        <v>2208</v>
      </c>
    </row>
    <row r="698" spans="2:17">
      <c r="B698" t="s">
        <v>2205</v>
      </c>
      <c r="C698" t="s">
        <v>615</v>
      </c>
      <c r="D698">
        <v>6.21418633325466E-12</v>
      </c>
      <c r="E698" t="s">
        <v>616</v>
      </c>
      <c r="H698" t="s">
        <v>588</v>
      </c>
      <c r="I698">
        <v>6.21418633325466E-12</v>
      </c>
      <c r="J698">
        <v>1.760654165524179</v>
      </c>
      <c r="N698" t="s">
        <v>2209</v>
      </c>
      <c r="O698" t="s">
        <v>2207</v>
      </c>
      <c r="Q698" t="s">
        <v>2210</v>
      </c>
    </row>
    <row r="699" spans="2:17">
      <c r="B699" t="s">
        <v>2211</v>
      </c>
      <c r="C699" t="s">
        <v>2202</v>
      </c>
      <c r="D699">
        <v>1.58605427143893E-9</v>
      </c>
      <c r="E699" t="s">
        <v>640</v>
      </c>
      <c r="H699" t="s">
        <v>588</v>
      </c>
      <c r="I699">
        <v>1.58605427143893E-9</v>
      </c>
      <c r="J699">
        <v>1.0247973619913604</v>
      </c>
      <c r="N699" t="s">
        <v>2212</v>
      </c>
      <c r="O699" t="s">
        <v>641</v>
      </c>
      <c r="Q699" t="s">
        <v>1643</v>
      </c>
    </row>
    <row r="700" spans="2:17">
      <c r="B700" t="s">
        <v>2211</v>
      </c>
      <c r="C700" t="s">
        <v>2202</v>
      </c>
      <c r="D700">
        <v>1.92206702187198E-10</v>
      </c>
      <c r="E700" t="s">
        <v>640</v>
      </c>
      <c r="H700" t="s">
        <v>588</v>
      </c>
      <c r="I700">
        <v>1.92206702187198E-10</v>
      </c>
      <c r="J700">
        <v>1.0247973619913604</v>
      </c>
      <c r="N700" t="s">
        <v>2212</v>
      </c>
      <c r="O700" t="s">
        <v>641</v>
      </c>
      <c r="Q700" t="s">
        <v>1643</v>
      </c>
    </row>
    <row r="701" spans="2:17">
      <c r="B701" t="s">
        <v>2211</v>
      </c>
      <c r="C701" t="s">
        <v>2202</v>
      </c>
      <c r="D701">
        <v>7.6822909336378898E-12</v>
      </c>
      <c r="E701" t="s">
        <v>640</v>
      </c>
      <c r="H701" t="s">
        <v>588</v>
      </c>
      <c r="I701">
        <v>7.6822909336378898E-12</v>
      </c>
      <c r="J701">
        <v>1.0247973619913604</v>
      </c>
      <c r="N701" t="s">
        <v>2212</v>
      </c>
      <c r="O701" t="s">
        <v>641</v>
      </c>
      <c r="Q701" t="s">
        <v>1643</v>
      </c>
    </row>
    <row r="702" spans="2:17">
      <c r="B702" t="s">
        <v>2211</v>
      </c>
      <c r="C702" t="s">
        <v>2202</v>
      </c>
      <c r="D702">
        <v>1.20190746837993E-12</v>
      </c>
      <c r="E702" t="s">
        <v>640</v>
      </c>
      <c r="H702" t="s">
        <v>588</v>
      </c>
      <c r="I702">
        <v>1.20190746837993E-12</v>
      </c>
      <c r="J702">
        <v>1.0247973619913604</v>
      </c>
      <c r="N702" t="s">
        <v>2212</v>
      </c>
      <c r="O702" t="s">
        <v>641</v>
      </c>
      <c r="Q702" t="s">
        <v>1643</v>
      </c>
    </row>
    <row r="703" spans="2:17">
      <c r="B703" t="s">
        <v>2213</v>
      </c>
      <c r="C703" t="s">
        <v>2202</v>
      </c>
      <c r="D703">
        <v>1.05579033348276E-6</v>
      </c>
      <c r="E703" t="s">
        <v>640</v>
      </c>
      <c r="H703" t="s">
        <v>588</v>
      </c>
      <c r="I703">
        <v>1.05579033348276E-6</v>
      </c>
      <c r="J703">
        <v>2.4732634510355935</v>
      </c>
      <c r="N703" t="s">
        <v>2214</v>
      </c>
      <c r="O703" t="s">
        <v>1054</v>
      </c>
      <c r="Q703" t="s">
        <v>2143</v>
      </c>
    </row>
    <row r="704" spans="2:17">
      <c r="B704" t="s">
        <v>2215</v>
      </c>
      <c r="C704" t="s">
        <v>2202</v>
      </c>
      <c r="D704">
        <v>1.31560941770749E-5</v>
      </c>
      <c r="E704" t="s">
        <v>640</v>
      </c>
      <c r="H704" t="s">
        <v>588</v>
      </c>
      <c r="I704">
        <v>1.31560941770749E-5</v>
      </c>
      <c r="J704">
        <v>1.0247973619913604</v>
      </c>
      <c r="N704" t="s">
        <v>2216</v>
      </c>
      <c r="O704" t="s">
        <v>2217</v>
      </c>
      <c r="Q704" t="s">
        <v>2218</v>
      </c>
    </row>
    <row r="705" spans="2:17">
      <c r="B705" t="s">
        <v>2215</v>
      </c>
      <c r="C705" t="s">
        <v>2202</v>
      </c>
      <c r="D705">
        <v>1.2741532539152699E-5</v>
      </c>
      <c r="E705" t="s">
        <v>640</v>
      </c>
      <c r="H705" t="s">
        <v>588</v>
      </c>
      <c r="I705">
        <v>1.2741532539152699E-5</v>
      </c>
      <c r="J705">
        <v>1.0247973619913604</v>
      </c>
      <c r="N705" t="s">
        <v>2216</v>
      </c>
      <c r="O705" t="s">
        <v>1713</v>
      </c>
      <c r="Q705" t="s">
        <v>2219</v>
      </c>
    </row>
    <row r="706" spans="2:17">
      <c r="B706" t="s">
        <v>2215</v>
      </c>
      <c r="C706" t="s">
        <v>2202</v>
      </c>
      <c r="D706">
        <v>1.19438911760165E-5</v>
      </c>
      <c r="E706" t="s">
        <v>640</v>
      </c>
      <c r="H706" t="s">
        <v>588</v>
      </c>
      <c r="I706">
        <v>1.19438911760165E-5</v>
      </c>
      <c r="J706">
        <v>1.0247973619913604</v>
      </c>
      <c r="N706" t="s">
        <v>2216</v>
      </c>
      <c r="O706" t="s">
        <v>2220</v>
      </c>
      <c r="Q706" t="s">
        <v>2221</v>
      </c>
    </row>
    <row r="707" spans="2:17">
      <c r="B707" t="s">
        <v>2215</v>
      </c>
      <c r="C707" t="s">
        <v>2202</v>
      </c>
      <c r="D707">
        <v>3.9912358059282899E-6</v>
      </c>
      <c r="E707" t="s">
        <v>640</v>
      </c>
      <c r="H707" t="s">
        <v>588</v>
      </c>
      <c r="I707">
        <v>3.9912358059282899E-6</v>
      </c>
      <c r="J707">
        <v>1.0247973619913604</v>
      </c>
      <c r="N707" t="s">
        <v>2216</v>
      </c>
      <c r="O707" t="s">
        <v>2222</v>
      </c>
      <c r="Q707" t="s">
        <v>2218</v>
      </c>
    </row>
    <row r="708" spans="2:17">
      <c r="B708" t="s">
        <v>2215</v>
      </c>
      <c r="C708" t="s">
        <v>2202</v>
      </c>
      <c r="D708">
        <v>1.9885057729775299E-5</v>
      </c>
      <c r="E708" t="s">
        <v>640</v>
      </c>
      <c r="H708" t="s">
        <v>588</v>
      </c>
      <c r="I708">
        <v>1.9885057729775299E-5</v>
      </c>
      <c r="J708">
        <v>1.499999999999694</v>
      </c>
      <c r="N708" t="s">
        <v>2216</v>
      </c>
      <c r="O708" t="s">
        <v>952</v>
      </c>
      <c r="Q708" t="s">
        <v>2223</v>
      </c>
    </row>
    <row r="709" spans="2:17">
      <c r="B709" t="s">
        <v>2215</v>
      </c>
      <c r="C709" t="s">
        <v>2202</v>
      </c>
      <c r="D709">
        <v>9.1044958770317392E-6</v>
      </c>
      <c r="E709" t="s">
        <v>640</v>
      </c>
      <c r="H709" t="s">
        <v>588</v>
      </c>
      <c r="I709">
        <v>9.1044958770317392E-6</v>
      </c>
      <c r="J709">
        <v>1.7450381821146503</v>
      </c>
      <c r="N709" t="s">
        <v>2224</v>
      </c>
      <c r="O709" t="s">
        <v>1054</v>
      </c>
      <c r="Q709" t="s">
        <v>2143</v>
      </c>
    </row>
    <row r="710" spans="2:17">
      <c r="B710" t="s">
        <v>2215</v>
      </c>
      <c r="C710" t="s">
        <v>2202</v>
      </c>
      <c r="D710">
        <v>1.22333512257737E-6</v>
      </c>
      <c r="E710" t="s">
        <v>640</v>
      </c>
      <c r="H710" t="s">
        <v>588</v>
      </c>
      <c r="I710">
        <v>1.22333512257737E-6</v>
      </c>
      <c r="J710">
        <v>1.0247973619913604</v>
      </c>
      <c r="N710" t="s">
        <v>2216</v>
      </c>
      <c r="O710" t="s">
        <v>2222</v>
      </c>
      <c r="Q710" t="s">
        <v>2218</v>
      </c>
    </row>
    <row r="711" spans="2:17">
      <c r="B711" t="s">
        <v>2215</v>
      </c>
      <c r="C711" t="s">
        <v>2202</v>
      </c>
      <c r="D711">
        <v>1.43746344539315E-5</v>
      </c>
      <c r="E711" t="s">
        <v>640</v>
      </c>
      <c r="H711" t="s">
        <v>588</v>
      </c>
      <c r="I711">
        <v>1.43746344539315E-5</v>
      </c>
      <c r="J711">
        <v>1</v>
      </c>
      <c r="N711" t="s">
        <v>2216</v>
      </c>
      <c r="O711" t="s">
        <v>1157</v>
      </c>
      <c r="Q711" t="s">
        <v>1924</v>
      </c>
    </row>
    <row r="712" spans="2:17">
      <c r="B712" t="s">
        <v>2215</v>
      </c>
      <c r="C712" t="s">
        <v>2202</v>
      </c>
      <c r="D712">
        <v>4.3596829599994898E-7</v>
      </c>
      <c r="E712" t="s">
        <v>640</v>
      </c>
      <c r="H712" t="s">
        <v>588</v>
      </c>
      <c r="I712">
        <v>4.3596829599994898E-7</v>
      </c>
      <c r="J712">
        <v>1.0247973619913604</v>
      </c>
      <c r="N712" t="s">
        <v>2216</v>
      </c>
      <c r="O712" t="s">
        <v>2222</v>
      </c>
      <c r="Q712" t="s">
        <v>2218</v>
      </c>
    </row>
    <row r="713" spans="2:17">
      <c r="B713" t="s">
        <v>2225</v>
      </c>
      <c r="C713" t="s">
        <v>2202</v>
      </c>
      <c r="D713">
        <v>2.9459874734435099E-7</v>
      </c>
      <c r="E713" t="s">
        <v>640</v>
      </c>
      <c r="H713" t="s">
        <v>588</v>
      </c>
      <c r="I713">
        <v>2.9459874734435099E-7</v>
      </c>
      <c r="J713">
        <v>1.0321280889960358</v>
      </c>
      <c r="N713" t="s">
        <v>2226</v>
      </c>
      <c r="O713" t="s">
        <v>1827</v>
      </c>
      <c r="Q713" t="s">
        <v>2227</v>
      </c>
    </row>
    <row r="714" spans="2:17">
      <c r="B714" t="s">
        <v>2228</v>
      </c>
      <c r="C714" t="s">
        <v>2043</v>
      </c>
      <c r="D714">
        <v>7.3783270482026596E-4</v>
      </c>
      <c r="E714" t="s">
        <v>94</v>
      </c>
      <c r="H714" t="s">
        <v>588</v>
      </c>
      <c r="I714">
        <v>7.3783270482026596E-4</v>
      </c>
      <c r="J714">
        <v>1.0247973619913604</v>
      </c>
      <c r="N714" t="s">
        <v>2229</v>
      </c>
      <c r="O714" t="s">
        <v>2230</v>
      </c>
      <c r="Q714" t="s">
        <v>1958</v>
      </c>
    </row>
    <row r="715" spans="2:17">
      <c r="B715" t="s">
        <v>2231</v>
      </c>
      <c r="C715" t="s">
        <v>2043</v>
      </c>
      <c r="D715">
        <v>9.902408898927659E-4</v>
      </c>
      <c r="E715" t="s">
        <v>94</v>
      </c>
      <c r="H715" t="s">
        <v>588</v>
      </c>
      <c r="I715">
        <v>9.902408898927659E-4</v>
      </c>
      <c r="J715">
        <v>1.0247973619913604</v>
      </c>
      <c r="N715" t="s">
        <v>2232</v>
      </c>
      <c r="O715" t="s">
        <v>1957</v>
      </c>
      <c r="Q715" t="s">
        <v>1958</v>
      </c>
    </row>
    <row r="716" spans="2:17">
      <c r="B716" t="s">
        <v>2233</v>
      </c>
      <c r="C716" t="s">
        <v>2234</v>
      </c>
      <c r="D716">
        <v>4.37684668527008E-10</v>
      </c>
      <c r="E716" t="s">
        <v>616</v>
      </c>
      <c r="H716" t="s">
        <v>588</v>
      </c>
      <c r="I716">
        <v>4.37684668527008E-10</v>
      </c>
      <c r="J716">
        <v>1.0321280889960358</v>
      </c>
      <c r="N716" t="s">
        <v>2235</v>
      </c>
      <c r="O716" t="s">
        <v>2050</v>
      </c>
      <c r="Q716" t="s">
        <v>2236</v>
      </c>
    </row>
    <row r="717" spans="2:17">
      <c r="B717" t="s">
        <v>2237</v>
      </c>
      <c r="C717" t="s">
        <v>1489</v>
      </c>
      <c r="D717">
        <v>1.15110537109898E-6</v>
      </c>
      <c r="E717" t="s">
        <v>94</v>
      </c>
      <c r="H717" t="s">
        <v>588</v>
      </c>
      <c r="I717">
        <v>1.15110537109898E-6</v>
      </c>
      <c r="J717">
        <v>1.0247973619913604</v>
      </c>
      <c r="N717" t="s">
        <v>2238</v>
      </c>
      <c r="O717" t="s">
        <v>1153</v>
      </c>
      <c r="Q717" t="s">
        <v>2099</v>
      </c>
    </row>
    <row r="718" spans="2:17">
      <c r="B718" t="s">
        <v>2239</v>
      </c>
      <c r="C718" t="s">
        <v>2240</v>
      </c>
      <c r="D718">
        <v>3.9866983883704802E-7</v>
      </c>
      <c r="E718" t="s">
        <v>94</v>
      </c>
      <c r="H718" t="s">
        <v>588</v>
      </c>
      <c r="I718">
        <v>3.9866983883704802E-7</v>
      </c>
      <c r="J718">
        <v>1.0247973619913604</v>
      </c>
      <c r="N718" t="s">
        <v>2241</v>
      </c>
      <c r="O718" t="s">
        <v>1150</v>
      </c>
      <c r="Q718" t="s">
        <v>2096</v>
      </c>
    </row>
    <row r="719" spans="2:17">
      <c r="B719" t="s">
        <v>2242</v>
      </c>
      <c r="C719" t="s">
        <v>2243</v>
      </c>
      <c r="D719">
        <v>1.2756072927917201E-7</v>
      </c>
      <c r="E719" t="s">
        <v>1171</v>
      </c>
      <c r="H719" t="s">
        <v>588</v>
      </c>
      <c r="I719">
        <v>1.2756072927917201E-7</v>
      </c>
      <c r="J719">
        <v>1.0247973619913604</v>
      </c>
      <c r="N719" t="s">
        <v>2244</v>
      </c>
      <c r="O719" t="s">
        <v>2245</v>
      </c>
      <c r="Q719" t="s">
        <v>2246</v>
      </c>
    </row>
    <row r="720" spans="2:17">
      <c r="B720" t="s">
        <v>2247</v>
      </c>
      <c r="C720" t="s">
        <v>2173</v>
      </c>
      <c r="D720">
        <v>2.75649037516578E-8</v>
      </c>
      <c r="E720" t="s">
        <v>616</v>
      </c>
      <c r="H720" t="s">
        <v>588</v>
      </c>
      <c r="I720">
        <v>2.75649037516578E-8</v>
      </c>
      <c r="J720">
        <v>1.7293101253499219</v>
      </c>
      <c r="N720" t="s">
        <v>2248</v>
      </c>
      <c r="O720" t="s">
        <v>1927</v>
      </c>
      <c r="Q720" t="s">
        <v>2249</v>
      </c>
    </row>
    <row r="721" spans="2:17">
      <c r="B721" t="s">
        <v>2250</v>
      </c>
      <c r="C721" t="s">
        <v>673</v>
      </c>
      <c r="D721">
        <v>1.09131797809715E-4</v>
      </c>
      <c r="E721" t="s">
        <v>94</v>
      </c>
      <c r="H721" t="s">
        <v>588</v>
      </c>
      <c r="I721">
        <v>1.09131797809715E-4</v>
      </c>
      <c r="J721">
        <v>1.1051709180756477</v>
      </c>
      <c r="N721" t="s">
        <v>2251</v>
      </c>
      <c r="O721" t="s">
        <v>1054</v>
      </c>
      <c r="Q721" t="s">
        <v>595</v>
      </c>
    </row>
    <row r="722" spans="2:17">
      <c r="B722" t="s">
        <v>2252</v>
      </c>
      <c r="C722" t="s">
        <v>673</v>
      </c>
      <c r="D722">
        <v>5.5440020871890301E-6</v>
      </c>
      <c r="E722" t="s">
        <v>94</v>
      </c>
      <c r="H722" t="s">
        <v>588</v>
      </c>
      <c r="I722">
        <v>5.5440020871890301E-6</v>
      </c>
      <c r="J722">
        <v>1.074399999999982</v>
      </c>
      <c r="N722" t="s">
        <v>2253</v>
      </c>
      <c r="O722" t="s">
        <v>2024</v>
      </c>
      <c r="Q722" t="s">
        <v>2254</v>
      </c>
    </row>
    <row r="723" spans="2:17">
      <c r="B723" t="s">
        <v>1202</v>
      </c>
      <c r="C723" t="s">
        <v>673</v>
      </c>
      <c r="D723">
        <v>3.1262364900109003E-5</v>
      </c>
      <c r="E723" t="s">
        <v>94</v>
      </c>
      <c r="H723" t="s">
        <v>588</v>
      </c>
      <c r="I723">
        <v>3.1262364900109003E-5</v>
      </c>
      <c r="J723">
        <v>1.0247973619913604</v>
      </c>
      <c r="N723" t="s">
        <v>1203</v>
      </c>
      <c r="O723" t="s">
        <v>641</v>
      </c>
      <c r="Q723" t="s">
        <v>1643</v>
      </c>
    </row>
    <row r="724" spans="2:17">
      <c r="B724" t="s">
        <v>1204</v>
      </c>
      <c r="C724" t="s">
        <v>667</v>
      </c>
      <c r="D724">
        <v>1.87532257793833E-3</v>
      </c>
      <c r="E724" t="s">
        <v>94</v>
      </c>
      <c r="H724" t="s">
        <v>588</v>
      </c>
      <c r="I724">
        <v>1.87532257793833E-3</v>
      </c>
      <c r="J724">
        <v>1.0247973619913604</v>
      </c>
      <c r="N724" t="s">
        <v>1205</v>
      </c>
      <c r="O724" t="s">
        <v>2255</v>
      </c>
      <c r="Q724" t="s">
        <v>1206</v>
      </c>
    </row>
    <row r="725" spans="2:17">
      <c r="B725" t="s">
        <v>2256</v>
      </c>
      <c r="C725" t="s">
        <v>587</v>
      </c>
      <c r="D725">
        <v>4.1810755410339601E-4</v>
      </c>
      <c r="E725" t="s">
        <v>94</v>
      </c>
      <c r="H725" t="s">
        <v>588</v>
      </c>
      <c r="I725">
        <v>4.1810755410339601E-4</v>
      </c>
      <c r="J725">
        <v>1.0247973619913604</v>
      </c>
      <c r="O725" t="s">
        <v>641</v>
      </c>
      <c r="Q725" t="s">
        <v>1643</v>
      </c>
    </row>
    <row r="726" spans="2:17">
      <c r="B726" t="s">
        <v>2257</v>
      </c>
      <c r="C726" t="s">
        <v>1848</v>
      </c>
      <c r="D726">
        <v>2.0697311296505499E-5</v>
      </c>
      <c r="E726" t="s">
        <v>94</v>
      </c>
      <c r="H726" t="s">
        <v>588</v>
      </c>
      <c r="I726">
        <v>2.0697311296505499E-5</v>
      </c>
      <c r="J726">
        <v>1.0247973619913604</v>
      </c>
      <c r="N726" t="s">
        <v>2258</v>
      </c>
      <c r="O726" t="s">
        <v>2259</v>
      </c>
      <c r="Q726" t="s">
        <v>2260</v>
      </c>
    </row>
    <row r="727" spans="2:17">
      <c r="B727" t="s">
        <v>2261</v>
      </c>
      <c r="C727" t="s">
        <v>2043</v>
      </c>
      <c r="D727">
        <v>3.3031340922731099E-6</v>
      </c>
      <c r="E727" t="s">
        <v>94</v>
      </c>
      <c r="H727" t="s">
        <v>588</v>
      </c>
      <c r="I727">
        <v>3.3031340922731099E-6</v>
      </c>
      <c r="J727">
        <v>1.0247973619913604</v>
      </c>
      <c r="N727" t="s">
        <v>2262</v>
      </c>
      <c r="O727" t="s">
        <v>1659</v>
      </c>
      <c r="Q727" t="s">
        <v>2263</v>
      </c>
    </row>
    <row r="728" spans="2:17">
      <c r="B728" t="s">
        <v>2261</v>
      </c>
      <c r="C728" t="s">
        <v>2043</v>
      </c>
      <c r="D728">
        <v>1.5492258791574901E-4</v>
      </c>
      <c r="E728" t="s">
        <v>94</v>
      </c>
      <c r="H728" t="s">
        <v>588</v>
      </c>
      <c r="I728">
        <v>1.5492258791574901E-4</v>
      </c>
      <c r="J728">
        <v>1.0247973619913604</v>
      </c>
      <c r="N728" t="s">
        <v>2262</v>
      </c>
      <c r="O728" t="s">
        <v>1657</v>
      </c>
      <c r="Q728" t="s">
        <v>2263</v>
      </c>
    </row>
    <row r="729" spans="2:17">
      <c r="B729" t="s">
        <v>2261</v>
      </c>
      <c r="C729" t="s">
        <v>2043</v>
      </c>
      <c r="D729">
        <v>3.2755961774855299E-4</v>
      </c>
      <c r="E729" t="s">
        <v>94</v>
      </c>
      <c r="H729" t="s">
        <v>588</v>
      </c>
      <c r="I729">
        <v>3.2755961774855299E-4</v>
      </c>
      <c r="J729">
        <v>1.0247973619913604</v>
      </c>
      <c r="N729" t="s">
        <v>2262</v>
      </c>
      <c r="O729" t="s">
        <v>1659</v>
      </c>
      <c r="Q729" t="s">
        <v>2263</v>
      </c>
    </row>
    <row r="730" spans="2:17">
      <c r="B730" t="s">
        <v>2264</v>
      </c>
      <c r="C730" t="s">
        <v>2265</v>
      </c>
      <c r="D730">
        <v>6.91929253990573E-3</v>
      </c>
      <c r="E730" t="s">
        <v>94</v>
      </c>
      <c r="H730" t="s">
        <v>588</v>
      </c>
      <c r="I730">
        <v>6.91929253990573E-3</v>
      </c>
      <c r="J730">
        <v>1.0247973619913604</v>
      </c>
      <c r="N730" t="s">
        <v>2266</v>
      </c>
      <c r="O730" t="s">
        <v>2267</v>
      </c>
      <c r="Q730" t="s">
        <v>2268</v>
      </c>
    </row>
    <row r="731" spans="2:17">
      <c r="B731" t="s">
        <v>2264</v>
      </c>
      <c r="C731" t="s">
        <v>2265</v>
      </c>
      <c r="D731">
        <v>6.85979699085776E-3</v>
      </c>
      <c r="E731" t="s">
        <v>94</v>
      </c>
      <c r="H731" t="s">
        <v>588</v>
      </c>
      <c r="I731">
        <v>6.85979699085776E-3</v>
      </c>
      <c r="J731">
        <v>1.0247973619913604</v>
      </c>
      <c r="N731" t="s">
        <v>2266</v>
      </c>
      <c r="O731" t="s">
        <v>2267</v>
      </c>
      <c r="Q731" t="s">
        <v>2268</v>
      </c>
    </row>
    <row r="732" spans="2:17">
      <c r="B732" t="s">
        <v>2264</v>
      </c>
      <c r="C732" t="s">
        <v>2265</v>
      </c>
      <c r="D732">
        <v>1.06464062814771E-5</v>
      </c>
      <c r="E732" t="s">
        <v>94</v>
      </c>
      <c r="H732" t="s">
        <v>588</v>
      </c>
      <c r="I732">
        <v>1.06464062814771E-5</v>
      </c>
      <c r="J732">
        <v>1.0247973619913604</v>
      </c>
      <c r="N732" t="s">
        <v>2266</v>
      </c>
      <c r="O732" t="s">
        <v>2267</v>
      </c>
      <c r="Q732" t="s">
        <v>2268</v>
      </c>
    </row>
    <row r="733" spans="2:17">
      <c r="B733" t="s">
        <v>2269</v>
      </c>
      <c r="C733" t="s">
        <v>2270</v>
      </c>
      <c r="D733">
        <v>3.8946336022341798E-3</v>
      </c>
      <c r="E733" t="s">
        <v>94</v>
      </c>
      <c r="H733" t="s">
        <v>588</v>
      </c>
      <c r="I733">
        <v>3.8946336022341798E-3</v>
      </c>
      <c r="J733">
        <v>1.0247973619913604</v>
      </c>
      <c r="N733" t="s">
        <v>2271</v>
      </c>
      <c r="O733" t="s">
        <v>2272</v>
      </c>
      <c r="Q733" t="s">
        <v>2273</v>
      </c>
    </row>
    <row r="734" spans="2:17">
      <c r="B734" t="s">
        <v>2274</v>
      </c>
      <c r="C734" t="s">
        <v>2275</v>
      </c>
      <c r="D734">
        <v>1.6044521091755299E-7</v>
      </c>
      <c r="E734" t="s">
        <v>94</v>
      </c>
      <c r="H734" t="s">
        <v>588</v>
      </c>
      <c r="I734">
        <v>1.6044521091755299E-7</v>
      </c>
      <c r="J734">
        <v>1.0247973619913604</v>
      </c>
      <c r="N734" t="s">
        <v>2276</v>
      </c>
      <c r="O734" t="s">
        <v>2272</v>
      </c>
      <c r="Q734" t="s">
        <v>2277</v>
      </c>
    </row>
    <row r="735" spans="2:17">
      <c r="B735" t="s">
        <v>2278</v>
      </c>
      <c r="C735" t="s">
        <v>1830</v>
      </c>
      <c r="D735">
        <v>1.7772226677245E-3</v>
      </c>
      <c r="E735" t="s">
        <v>94</v>
      </c>
      <c r="N735" t="s">
        <v>2279</v>
      </c>
    </row>
    <row r="736" spans="2:17">
      <c r="B736" t="s">
        <v>2278</v>
      </c>
      <c r="C736" t="s">
        <v>1830</v>
      </c>
      <c r="D736">
        <v>2.1326672012694E-4</v>
      </c>
      <c r="E736" t="s">
        <v>94</v>
      </c>
      <c r="H736" t="s">
        <v>588</v>
      </c>
      <c r="I736">
        <v>2.1326672012694E-4</v>
      </c>
      <c r="J736">
        <v>1.0247973619913604</v>
      </c>
      <c r="N736" t="s">
        <v>2280</v>
      </c>
      <c r="O736" t="s">
        <v>1806</v>
      </c>
      <c r="Q736" t="s">
        <v>1728</v>
      </c>
    </row>
    <row r="737" spans="2:17">
      <c r="B737" t="s">
        <v>2281</v>
      </c>
      <c r="C737" t="s">
        <v>1635</v>
      </c>
      <c r="D737">
        <v>7.6630124474390003E-6</v>
      </c>
      <c r="E737" t="s">
        <v>94</v>
      </c>
      <c r="H737" t="s">
        <v>588</v>
      </c>
      <c r="I737">
        <v>7.6630124474390003E-6</v>
      </c>
      <c r="J737">
        <v>1.0247973619913604</v>
      </c>
      <c r="N737" t="s">
        <v>2282</v>
      </c>
      <c r="O737" t="s">
        <v>1883</v>
      </c>
    </row>
    <row r="738" spans="2:17">
      <c r="B738" t="s">
        <v>2283</v>
      </c>
      <c r="C738" t="s">
        <v>673</v>
      </c>
      <c r="D738">
        <v>3.31659528774153E-6</v>
      </c>
      <c r="E738" t="s">
        <v>94</v>
      </c>
      <c r="H738" t="s">
        <v>588</v>
      </c>
      <c r="I738">
        <v>3.31659528774153E-6</v>
      </c>
      <c r="J738">
        <v>1</v>
      </c>
      <c r="N738" t="s">
        <v>2284</v>
      </c>
      <c r="O738" t="s">
        <v>1054</v>
      </c>
      <c r="Q738" t="s">
        <v>595</v>
      </c>
    </row>
    <row r="739" spans="2:17">
      <c r="B739" t="s">
        <v>2285</v>
      </c>
      <c r="C739" t="s">
        <v>673</v>
      </c>
      <c r="D739">
        <v>2.4464390838238901E-8</v>
      </c>
      <c r="E739" t="s">
        <v>94</v>
      </c>
      <c r="H739" t="s">
        <v>588</v>
      </c>
      <c r="I739">
        <v>2.4464390838238901E-8</v>
      </c>
      <c r="J739">
        <v>1</v>
      </c>
      <c r="N739" t="s">
        <v>2286</v>
      </c>
      <c r="O739" t="s">
        <v>1654</v>
      </c>
      <c r="Q739" t="s">
        <v>595</v>
      </c>
    </row>
    <row r="740" spans="2:17">
      <c r="B740" t="s">
        <v>2287</v>
      </c>
      <c r="C740" t="s">
        <v>857</v>
      </c>
      <c r="D740">
        <v>3.4197269980970702E-8</v>
      </c>
      <c r="E740" t="s">
        <v>640</v>
      </c>
      <c r="H740" t="s">
        <v>588</v>
      </c>
      <c r="I740">
        <v>3.4197269980970702E-8</v>
      </c>
      <c r="J740">
        <v>1.7293101253499219</v>
      </c>
      <c r="N740" t="s">
        <v>2288</v>
      </c>
      <c r="O740" t="s">
        <v>2272</v>
      </c>
      <c r="Q740" t="s">
        <v>2289</v>
      </c>
    </row>
    <row r="741" spans="2:17">
      <c r="B741" t="s">
        <v>2290</v>
      </c>
      <c r="C741" t="s">
        <v>1848</v>
      </c>
      <c r="D741">
        <v>5.6552907485281397E-9</v>
      </c>
      <c r="E741" t="s">
        <v>94</v>
      </c>
      <c r="H741" t="s">
        <v>588</v>
      </c>
      <c r="I741">
        <v>5.6552907485281397E-9</v>
      </c>
      <c r="J741">
        <v>1.0247973619913604</v>
      </c>
      <c r="N741" t="s">
        <v>2291</v>
      </c>
      <c r="O741" t="s">
        <v>855</v>
      </c>
      <c r="Q741" t="s">
        <v>2292</v>
      </c>
    </row>
    <row r="742" spans="2:17">
      <c r="B742" t="s">
        <v>2293</v>
      </c>
      <c r="C742" t="s">
        <v>673</v>
      </c>
      <c r="D742">
        <v>1.6792413689017899E-6</v>
      </c>
      <c r="E742" t="s">
        <v>94</v>
      </c>
      <c r="H742" t="s">
        <v>588</v>
      </c>
      <c r="I742">
        <v>1.6792413689017899E-6</v>
      </c>
      <c r="J742">
        <v>1.1051709180756477</v>
      </c>
      <c r="N742" t="s">
        <v>2294</v>
      </c>
      <c r="O742" t="s">
        <v>1700</v>
      </c>
      <c r="Q742" t="s">
        <v>2295</v>
      </c>
    </row>
    <row r="743" spans="2:17">
      <c r="B743" t="s">
        <v>2296</v>
      </c>
      <c r="C743" t="s">
        <v>587</v>
      </c>
      <c r="D743">
        <v>8.7329814433580906E-6</v>
      </c>
      <c r="E743" t="s">
        <v>94</v>
      </c>
      <c r="H743" t="s">
        <v>588</v>
      </c>
      <c r="I743">
        <v>8.7329814433580906E-6</v>
      </c>
      <c r="J743">
        <v>1.1051709180756477</v>
      </c>
      <c r="O743" t="s">
        <v>855</v>
      </c>
    </row>
    <row r="744" spans="2:17">
      <c r="B744" t="s">
        <v>2297</v>
      </c>
      <c r="C744" t="s">
        <v>673</v>
      </c>
      <c r="D744">
        <v>1.76325265570102E-8</v>
      </c>
      <c r="E744" t="s">
        <v>94</v>
      </c>
      <c r="H744" t="s">
        <v>588</v>
      </c>
      <c r="I744">
        <v>1.76325265570102E-8</v>
      </c>
      <c r="J744">
        <v>1.0247973619913604</v>
      </c>
      <c r="N744" t="s">
        <v>2298</v>
      </c>
      <c r="O744" t="s">
        <v>1883</v>
      </c>
    </row>
    <row r="745" spans="2:17">
      <c r="B745" t="s">
        <v>2297</v>
      </c>
      <c r="C745" t="s">
        <v>673</v>
      </c>
      <c r="D745">
        <v>1.7655637780478402E-8</v>
      </c>
      <c r="E745" t="s">
        <v>94</v>
      </c>
      <c r="H745" t="s">
        <v>588</v>
      </c>
      <c r="I745">
        <v>1.7655637780478402E-8</v>
      </c>
      <c r="J745">
        <v>1.0247973619913604</v>
      </c>
      <c r="N745" t="s">
        <v>2298</v>
      </c>
      <c r="O745" t="s">
        <v>2189</v>
      </c>
    </row>
    <row r="746" spans="2:17">
      <c r="B746" t="s">
        <v>2299</v>
      </c>
      <c r="C746" t="s">
        <v>664</v>
      </c>
      <c r="D746">
        <v>3.1920448881755199E-3</v>
      </c>
      <c r="E746" t="s">
        <v>94</v>
      </c>
      <c r="N746" t="s">
        <v>2300</v>
      </c>
    </row>
    <row r="747" spans="2:17">
      <c r="B747" t="s">
        <v>2299</v>
      </c>
      <c r="C747" t="s">
        <v>664</v>
      </c>
      <c r="D747">
        <v>3.63922924458094E-3</v>
      </c>
      <c r="E747" t="s">
        <v>94</v>
      </c>
      <c r="N747" t="s">
        <v>2301</v>
      </c>
    </row>
    <row r="748" spans="2:17">
      <c r="B748" t="s">
        <v>2299</v>
      </c>
      <c r="C748" t="s">
        <v>664</v>
      </c>
      <c r="D748">
        <v>6.42634297789468E-4</v>
      </c>
      <c r="E748" t="s">
        <v>94</v>
      </c>
      <c r="N748" t="s">
        <v>2302</v>
      </c>
    </row>
    <row r="749" spans="2:17">
      <c r="B749" t="s">
        <v>2299</v>
      </c>
      <c r="C749" t="s">
        <v>664</v>
      </c>
      <c r="D749">
        <v>1.4879487892713701E-3</v>
      </c>
      <c r="E749" t="s">
        <v>94</v>
      </c>
      <c r="N749" t="s">
        <v>2302</v>
      </c>
    </row>
    <row r="750" spans="2:17">
      <c r="B750" t="s">
        <v>2299</v>
      </c>
      <c r="C750" t="s">
        <v>664</v>
      </c>
      <c r="D750">
        <v>2.7875742594774502E-7</v>
      </c>
      <c r="E750" t="s">
        <v>94</v>
      </c>
      <c r="H750" t="s">
        <v>588</v>
      </c>
      <c r="I750">
        <v>2.7875742594774502E-7</v>
      </c>
      <c r="J750">
        <v>1.0247973619913604</v>
      </c>
      <c r="N750" t="s">
        <v>2303</v>
      </c>
      <c r="O750" t="s">
        <v>641</v>
      </c>
      <c r="Q750" t="s">
        <v>2304</v>
      </c>
    </row>
    <row r="751" spans="2:17">
      <c r="B751" t="s">
        <v>2299</v>
      </c>
      <c r="C751" t="s">
        <v>664</v>
      </c>
      <c r="D751">
        <v>4.4719129514416897E-4</v>
      </c>
      <c r="E751" t="s">
        <v>94</v>
      </c>
      <c r="N751" t="s">
        <v>2302</v>
      </c>
    </row>
    <row r="752" spans="2:17">
      <c r="B752" t="s">
        <v>2299</v>
      </c>
      <c r="C752" t="s">
        <v>664</v>
      </c>
      <c r="D752">
        <v>2.7218037201392001E-5</v>
      </c>
      <c r="E752" t="s">
        <v>94</v>
      </c>
      <c r="H752" t="s">
        <v>588</v>
      </c>
      <c r="I752">
        <v>2.7218037201392001E-5</v>
      </c>
      <c r="J752">
        <v>1.0247973619913604</v>
      </c>
      <c r="N752" t="s">
        <v>2303</v>
      </c>
      <c r="O752" t="s">
        <v>641</v>
      </c>
      <c r="Q752" t="s">
        <v>2304</v>
      </c>
    </row>
    <row r="753" spans="2:17">
      <c r="B753" t="s">
        <v>2299</v>
      </c>
      <c r="C753" t="s">
        <v>664</v>
      </c>
      <c r="D753">
        <v>9.3094857407533102E-5</v>
      </c>
      <c r="E753" t="s">
        <v>94</v>
      </c>
      <c r="H753" t="s">
        <v>588</v>
      </c>
      <c r="I753">
        <v>9.3094857407533102E-5</v>
      </c>
      <c r="J753">
        <v>1.0247973619913604</v>
      </c>
      <c r="N753" t="s">
        <v>2305</v>
      </c>
      <c r="O753" t="s">
        <v>641</v>
      </c>
      <c r="Q753" t="s">
        <v>2306</v>
      </c>
    </row>
    <row r="754" spans="2:17">
      <c r="B754" t="s">
        <v>2299</v>
      </c>
      <c r="C754" t="s">
        <v>664</v>
      </c>
      <c r="D754">
        <v>7.1769154119039196E-6</v>
      </c>
      <c r="E754" t="s">
        <v>94</v>
      </c>
      <c r="H754" t="s">
        <v>588</v>
      </c>
      <c r="I754">
        <v>7.1769154119039196E-6</v>
      </c>
      <c r="J754">
        <v>1.1051709180756477</v>
      </c>
      <c r="N754" t="s">
        <v>2303</v>
      </c>
      <c r="O754" t="s">
        <v>2307</v>
      </c>
      <c r="Q754" t="s">
        <v>2308</v>
      </c>
    </row>
    <row r="755" spans="2:17">
      <c r="B755" t="s">
        <v>2299</v>
      </c>
      <c r="C755" t="s">
        <v>664</v>
      </c>
      <c r="D755">
        <v>1.2363258810929199E-3</v>
      </c>
      <c r="E755" t="s">
        <v>94</v>
      </c>
      <c r="N755" t="s">
        <v>2302</v>
      </c>
    </row>
    <row r="756" spans="2:17">
      <c r="B756" t="s">
        <v>2299</v>
      </c>
      <c r="C756" t="s">
        <v>664</v>
      </c>
      <c r="D756">
        <v>3.7512475950858399E-5</v>
      </c>
      <c r="E756" t="s">
        <v>94</v>
      </c>
      <c r="H756" t="s">
        <v>588</v>
      </c>
      <c r="I756">
        <v>3.7512475950858399E-5</v>
      </c>
      <c r="J756">
        <v>1.0247973619913604</v>
      </c>
      <c r="N756" t="s">
        <v>2303</v>
      </c>
      <c r="O756" t="s">
        <v>641</v>
      </c>
      <c r="Q756" t="s">
        <v>2306</v>
      </c>
    </row>
    <row r="757" spans="2:17">
      <c r="B757" t="s">
        <v>2299</v>
      </c>
      <c r="C757" t="s">
        <v>664</v>
      </c>
      <c r="D757">
        <v>3.40130188080308E-3</v>
      </c>
      <c r="E757" t="s">
        <v>94</v>
      </c>
      <c r="H757" t="s">
        <v>588</v>
      </c>
      <c r="I757">
        <v>3.40130188080308E-3</v>
      </c>
      <c r="J757">
        <v>1.0247973619913604</v>
      </c>
      <c r="N757" t="s">
        <v>2303</v>
      </c>
      <c r="O757" t="s">
        <v>641</v>
      </c>
      <c r="Q757" t="s">
        <v>2304</v>
      </c>
    </row>
    <row r="758" spans="2:17">
      <c r="B758" t="s">
        <v>2299</v>
      </c>
      <c r="C758" t="s">
        <v>664</v>
      </c>
      <c r="D758">
        <v>1.66875568170152E-5</v>
      </c>
      <c r="E758" t="s">
        <v>94</v>
      </c>
      <c r="H758" t="s">
        <v>588</v>
      </c>
      <c r="I758">
        <v>1.66875568170152E-5</v>
      </c>
      <c r="J758">
        <v>1.0247973619913604</v>
      </c>
      <c r="N758" t="s">
        <v>2305</v>
      </c>
      <c r="O758" t="s">
        <v>641</v>
      </c>
      <c r="Q758" t="s">
        <v>2306</v>
      </c>
    </row>
    <row r="759" spans="2:17">
      <c r="B759" t="s">
        <v>2299</v>
      </c>
      <c r="C759" t="s">
        <v>664</v>
      </c>
      <c r="D759">
        <v>3.1695585962054498E-6</v>
      </c>
      <c r="E759" t="s">
        <v>94</v>
      </c>
      <c r="H759" t="s">
        <v>588</v>
      </c>
      <c r="I759">
        <v>3.1695585962054498E-6</v>
      </c>
      <c r="J759">
        <v>1.0247973619913604</v>
      </c>
      <c r="N759" t="s">
        <v>2303</v>
      </c>
      <c r="O759" t="s">
        <v>641</v>
      </c>
      <c r="Q759" t="s">
        <v>2304</v>
      </c>
    </row>
    <row r="760" spans="2:17">
      <c r="B760" t="s">
        <v>2299</v>
      </c>
      <c r="C760" t="s">
        <v>664</v>
      </c>
      <c r="D760">
        <v>9.8691587516378395E-8</v>
      </c>
      <c r="E760" t="s">
        <v>94</v>
      </c>
      <c r="H760" t="s">
        <v>588</v>
      </c>
      <c r="I760">
        <v>9.8691587516378395E-8</v>
      </c>
      <c r="J760">
        <v>1.0247973619913604</v>
      </c>
      <c r="N760" t="s">
        <v>2303</v>
      </c>
      <c r="O760" t="s">
        <v>641</v>
      </c>
      <c r="Q760" t="s">
        <v>2304</v>
      </c>
    </row>
    <row r="761" spans="2:17">
      <c r="B761" t="s">
        <v>2299</v>
      </c>
      <c r="C761" t="s">
        <v>664</v>
      </c>
      <c r="D761">
        <v>2.7533474376471802E-6</v>
      </c>
      <c r="E761" t="s">
        <v>94</v>
      </c>
      <c r="H761" t="s">
        <v>588</v>
      </c>
      <c r="I761">
        <v>2.7533474376471802E-6</v>
      </c>
      <c r="J761">
        <v>1.0247973619913604</v>
      </c>
      <c r="N761" t="s">
        <v>2303</v>
      </c>
      <c r="O761" t="s">
        <v>641</v>
      </c>
      <c r="Q761" t="s">
        <v>2304</v>
      </c>
    </row>
    <row r="762" spans="2:17">
      <c r="B762" t="s">
        <v>2299</v>
      </c>
      <c r="C762" t="s">
        <v>664</v>
      </c>
      <c r="D762">
        <v>2.15128739404831E-3</v>
      </c>
      <c r="E762" t="s">
        <v>94</v>
      </c>
      <c r="N762" t="s">
        <v>2300</v>
      </c>
    </row>
    <row r="763" spans="2:17">
      <c r="B763" t="s">
        <v>2299</v>
      </c>
      <c r="C763" t="s">
        <v>664</v>
      </c>
      <c r="D763">
        <v>2.9966018855302201E-3</v>
      </c>
      <c r="E763" t="s">
        <v>94</v>
      </c>
      <c r="N763" t="s">
        <v>2300</v>
      </c>
    </row>
    <row r="764" spans="2:17">
      <c r="B764" t="s">
        <v>2299</v>
      </c>
      <c r="C764" t="s">
        <v>664</v>
      </c>
      <c r="D764">
        <v>2.40291030222676E-3</v>
      </c>
      <c r="E764" t="s">
        <v>94</v>
      </c>
      <c r="N764" t="s">
        <v>2300</v>
      </c>
    </row>
    <row r="765" spans="2:17">
      <c r="B765" t="s">
        <v>2309</v>
      </c>
      <c r="C765" t="s">
        <v>1810</v>
      </c>
      <c r="D765">
        <v>6.5683547588230402E-3</v>
      </c>
      <c r="E765" t="s">
        <v>607</v>
      </c>
      <c r="H765" t="s">
        <v>588</v>
      </c>
      <c r="I765">
        <v>6.5683547588230402E-3</v>
      </c>
      <c r="J765">
        <v>1.4049000000004648</v>
      </c>
      <c r="N765" t="s">
        <v>2310</v>
      </c>
      <c r="O765" t="s">
        <v>1435</v>
      </c>
      <c r="Q765" t="s">
        <v>1886</v>
      </c>
    </row>
    <row r="766" spans="2:17">
      <c r="B766" t="s">
        <v>1207</v>
      </c>
      <c r="C766" t="s">
        <v>592</v>
      </c>
      <c r="D766">
        <v>0.130618556919367</v>
      </c>
      <c r="E766" t="s">
        <v>607</v>
      </c>
      <c r="H766" t="s">
        <v>588</v>
      </c>
      <c r="I766">
        <v>0.130618556919367</v>
      </c>
      <c r="J766">
        <v>1.7293101253499219</v>
      </c>
      <c r="N766" t="s">
        <v>1208</v>
      </c>
      <c r="O766" t="s">
        <v>1713</v>
      </c>
      <c r="Q766" t="s">
        <v>2311</v>
      </c>
    </row>
    <row r="767" spans="2:17">
      <c r="B767" t="s">
        <v>1210</v>
      </c>
      <c r="C767" t="s">
        <v>597</v>
      </c>
      <c r="D767">
        <v>1.0181929993941401E-2</v>
      </c>
      <c r="E767" t="s">
        <v>607</v>
      </c>
      <c r="H767" t="s">
        <v>588</v>
      </c>
      <c r="I767">
        <v>1.0181929993941401E-2</v>
      </c>
      <c r="J767">
        <v>1.0247973619913604</v>
      </c>
      <c r="N767" t="s">
        <v>1211</v>
      </c>
      <c r="O767" t="s">
        <v>1779</v>
      </c>
      <c r="Q767" t="s">
        <v>1780</v>
      </c>
    </row>
    <row r="768" spans="2:17">
      <c r="B768" t="s">
        <v>2312</v>
      </c>
      <c r="C768" t="s">
        <v>597</v>
      </c>
      <c r="D768">
        <v>4.3490345299776901E-4</v>
      </c>
      <c r="E768" t="s">
        <v>607</v>
      </c>
      <c r="H768" t="s">
        <v>588</v>
      </c>
      <c r="I768">
        <v>4.3490345299776901E-4</v>
      </c>
      <c r="J768">
        <v>1.0805386501323246</v>
      </c>
      <c r="N768" t="s">
        <v>2313</v>
      </c>
      <c r="O768" t="s">
        <v>2314</v>
      </c>
      <c r="Q768" t="s">
        <v>2315</v>
      </c>
    </row>
    <row r="769" spans="2:17">
      <c r="B769" t="s">
        <v>2316</v>
      </c>
      <c r="C769" t="s">
        <v>664</v>
      </c>
      <c r="D769">
        <v>5.1578496301604395E-7</v>
      </c>
      <c r="E769" t="s">
        <v>94</v>
      </c>
      <c r="H769" t="s">
        <v>588</v>
      </c>
      <c r="I769">
        <v>5.1578496301604395E-7</v>
      </c>
      <c r="J769">
        <v>1.0247973619913604</v>
      </c>
      <c r="N769" t="s">
        <v>2317</v>
      </c>
      <c r="O769" t="s">
        <v>2318</v>
      </c>
      <c r="Q769" t="s">
        <v>2319</v>
      </c>
    </row>
    <row r="770" spans="2:17">
      <c r="B770" t="s">
        <v>2316</v>
      </c>
      <c r="C770" t="s">
        <v>664</v>
      </c>
      <c r="D770">
        <v>1.02361233777481E-3</v>
      </c>
      <c r="E770" t="s">
        <v>94</v>
      </c>
      <c r="N770" t="s">
        <v>2320</v>
      </c>
    </row>
    <row r="771" spans="2:17">
      <c r="B771" t="s">
        <v>2316</v>
      </c>
      <c r="C771" t="s">
        <v>664</v>
      </c>
      <c r="D771">
        <v>2.7721617619468199E-3</v>
      </c>
      <c r="E771" t="s">
        <v>94</v>
      </c>
      <c r="N771" t="s">
        <v>2321</v>
      </c>
    </row>
    <row r="772" spans="2:17">
      <c r="B772" t="s">
        <v>2316</v>
      </c>
      <c r="C772" t="s">
        <v>664</v>
      </c>
      <c r="D772">
        <v>1.03122661914581E-6</v>
      </c>
      <c r="E772" t="s">
        <v>94</v>
      </c>
      <c r="H772" t="s">
        <v>588</v>
      </c>
      <c r="I772">
        <v>1.03122661914581E-6</v>
      </c>
      <c r="J772">
        <v>1.0247973619913604</v>
      </c>
      <c r="N772" t="s">
        <v>2317</v>
      </c>
      <c r="O772" t="s">
        <v>2318</v>
      </c>
      <c r="Q772" t="s">
        <v>2319</v>
      </c>
    </row>
    <row r="773" spans="2:17">
      <c r="B773" t="s">
        <v>2316</v>
      </c>
      <c r="C773" t="s">
        <v>664</v>
      </c>
      <c r="D773">
        <v>4.13443710581804E-4</v>
      </c>
      <c r="E773" t="s">
        <v>94</v>
      </c>
      <c r="N773" t="s">
        <v>2322</v>
      </c>
    </row>
    <row r="774" spans="2:17">
      <c r="B774" t="s">
        <v>2316</v>
      </c>
      <c r="C774" t="s">
        <v>664</v>
      </c>
      <c r="D774">
        <v>2.9528622213015401E-3</v>
      </c>
      <c r="E774" t="s">
        <v>94</v>
      </c>
      <c r="N774" t="s">
        <v>2321</v>
      </c>
    </row>
    <row r="775" spans="2:17">
      <c r="B775" t="s">
        <v>2316</v>
      </c>
      <c r="C775" t="s">
        <v>664</v>
      </c>
      <c r="D775">
        <v>2.34268765710539E-3</v>
      </c>
      <c r="E775" t="s">
        <v>94</v>
      </c>
      <c r="N775" t="s">
        <v>2323</v>
      </c>
    </row>
    <row r="776" spans="2:17">
      <c r="B776" t="s">
        <v>2316</v>
      </c>
      <c r="C776" t="s">
        <v>664</v>
      </c>
      <c r="D776">
        <v>1.9903770506234102E-3</v>
      </c>
      <c r="E776" t="s">
        <v>94</v>
      </c>
      <c r="N776" t="s">
        <v>2321</v>
      </c>
    </row>
    <row r="777" spans="2:17">
      <c r="B777" t="s">
        <v>2316</v>
      </c>
      <c r="C777" t="s">
        <v>664</v>
      </c>
      <c r="D777">
        <v>4.0145013746018202E-5</v>
      </c>
      <c r="E777" t="s">
        <v>94</v>
      </c>
      <c r="H777" t="s">
        <v>588</v>
      </c>
      <c r="I777">
        <v>4.0145013746018202E-5</v>
      </c>
      <c r="J777">
        <v>1.0247973619913604</v>
      </c>
      <c r="N777" t="s">
        <v>2317</v>
      </c>
      <c r="O777" t="s">
        <v>2318</v>
      </c>
      <c r="Q777" t="s">
        <v>2319</v>
      </c>
    </row>
    <row r="778" spans="2:17">
      <c r="B778" t="s">
        <v>2316</v>
      </c>
      <c r="C778" t="s">
        <v>664</v>
      </c>
      <c r="D778">
        <v>3.83426214698218E-4</v>
      </c>
      <c r="E778" t="s">
        <v>94</v>
      </c>
      <c r="N778" t="s">
        <v>2322</v>
      </c>
    </row>
    <row r="779" spans="2:17">
      <c r="B779" t="s">
        <v>2316</v>
      </c>
      <c r="C779" t="s">
        <v>664</v>
      </c>
      <c r="D779">
        <v>2.31391920889674E-7</v>
      </c>
      <c r="E779" t="s">
        <v>94</v>
      </c>
      <c r="H779" t="s">
        <v>588</v>
      </c>
      <c r="I779">
        <v>2.31391920889674E-7</v>
      </c>
      <c r="J779">
        <v>1.0247973619913604</v>
      </c>
      <c r="N779" t="s">
        <v>2317</v>
      </c>
      <c r="O779" t="s">
        <v>2318</v>
      </c>
      <c r="Q779" t="s">
        <v>2319</v>
      </c>
    </row>
    <row r="780" spans="2:17">
      <c r="B780" t="s">
        <v>2316</v>
      </c>
      <c r="C780" t="s">
        <v>664</v>
      </c>
      <c r="D780">
        <v>7.4446605412833999E-4</v>
      </c>
      <c r="E780" t="s">
        <v>94</v>
      </c>
      <c r="N780" t="s">
        <v>2321</v>
      </c>
    </row>
    <row r="781" spans="2:17">
      <c r="B781" t="s">
        <v>2316</v>
      </c>
      <c r="C781" t="s">
        <v>664</v>
      </c>
      <c r="D781">
        <v>7.5650910691907403E-7</v>
      </c>
      <c r="E781" t="s">
        <v>94</v>
      </c>
      <c r="H781" t="s">
        <v>588</v>
      </c>
      <c r="I781">
        <v>7.5650910691907403E-7</v>
      </c>
      <c r="J781">
        <v>1.0247973619913604</v>
      </c>
      <c r="N781" t="s">
        <v>2324</v>
      </c>
      <c r="O781" t="s">
        <v>589</v>
      </c>
      <c r="Q781" t="s">
        <v>2319</v>
      </c>
    </row>
    <row r="782" spans="2:17">
      <c r="B782" t="s">
        <v>2316</v>
      </c>
      <c r="C782" t="s">
        <v>664</v>
      </c>
      <c r="D782">
        <v>5.1092042189926896E-7</v>
      </c>
      <c r="E782" t="s">
        <v>94</v>
      </c>
      <c r="H782" t="s">
        <v>588</v>
      </c>
      <c r="I782">
        <v>5.1092042189926896E-7</v>
      </c>
      <c r="J782">
        <v>1.0247973619913604</v>
      </c>
      <c r="N782" t="s">
        <v>2317</v>
      </c>
      <c r="O782" t="s">
        <v>2318</v>
      </c>
      <c r="Q782" t="s">
        <v>2319</v>
      </c>
    </row>
    <row r="783" spans="2:17">
      <c r="B783" t="s">
        <v>2316</v>
      </c>
      <c r="C783" t="s">
        <v>664</v>
      </c>
      <c r="D783">
        <v>1.3759288812599301E-3</v>
      </c>
      <c r="E783" t="s">
        <v>94</v>
      </c>
      <c r="N783" t="s">
        <v>2322</v>
      </c>
    </row>
    <row r="784" spans="2:17">
      <c r="B784" t="s">
        <v>2316</v>
      </c>
      <c r="C784" t="s">
        <v>664</v>
      </c>
      <c r="D784">
        <v>5.9414416993652395E-4</v>
      </c>
      <c r="E784" t="s">
        <v>94</v>
      </c>
      <c r="N784" t="s">
        <v>2322</v>
      </c>
    </row>
    <row r="785" spans="2:17">
      <c r="B785" t="s">
        <v>2316</v>
      </c>
      <c r="C785" t="s">
        <v>664</v>
      </c>
      <c r="D785">
        <v>4.4781445415744603E-6</v>
      </c>
      <c r="E785" t="s">
        <v>94</v>
      </c>
      <c r="H785" t="s">
        <v>588</v>
      </c>
      <c r="I785">
        <v>4.4781445415744603E-6</v>
      </c>
      <c r="J785">
        <v>1.0247973619913604</v>
      </c>
      <c r="N785" t="s">
        <v>2317</v>
      </c>
      <c r="O785" t="s">
        <v>2318</v>
      </c>
      <c r="Q785" t="s">
        <v>2319</v>
      </c>
    </row>
    <row r="786" spans="2:17">
      <c r="B786" t="s">
        <v>2316</v>
      </c>
      <c r="C786" t="s">
        <v>664</v>
      </c>
      <c r="D786">
        <v>2.2384136630567899E-3</v>
      </c>
      <c r="E786" t="s">
        <v>94</v>
      </c>
      <c r="N786" t="s">
        <v>2325</v>
      </c>
    </row>
    <row r="787" spans="2:17">
      <c r="B787" t="s">
        <v>2326</v>
      </c>
      <c r="C787" t="s">
        <v>673</v>
      </c>
      <c r="D787">
        <v>1.1277751645522999E-5</v>
      </c>
      <c r="E787" t="s">
        <v>94</v>
      </c>
      <c r="H787" t="s">
        <v>588</v>
      </c>
      <c r="I787">
        <v>1.1277751645522999E-5</v>
      </c>
      <c r="J787">
        <v>1.0247973619913604</v>
      </c>
      <c r="N787" t="s">
        <v>2327</v>
      </c>
      <c r="O787" t="s">
        <v>1883</v>
      </c>
    </row>
    <row r="788" spans="2:17">
      <c r="B788" t="s">
        <v>2328</v>
      </c>
      <c r="C788" t="s">
        <v>673</v>
      </c>
      <c r="D788">
        <v>3.4438744354623802E-4</v>
      </c>
      <c r="E788" t="s">
        <v>94</v>
      </c>
      <c r="H788" t="s">
        <v>588</v>
      </c>
      <c r="I788">
        <v>3.4438744354623802E-4</v>
      </c>
      <c r="J788">
        <v>1.0247973619913604</v>
      </c>
      <c r="N788" t="s">
        <v>2329</v>
      </c>
      <c r="O788" t="s">
        <v>1883</v>
      </c>
    </row>
    <row r="789" spans="2:17">
      <c r="B789" t="s">
        <v>2330</v>
      </c>
      <c r="C789" t="s">
        <v>673</v>
      </c>
      <c r="D789">
        <v>1.08173891138481E-5</v>
      </c>
      <c r="E789" t="s">
        <v>94</v>
      </c>
      <c r="H789" t="s">
        <v>588</v>
      </c>
      <c r="I789">
        <v>1.08173891138481E-5</v>
      </c>
      <c r="J789">
        <v>1</v>
      </c>
      <c r="N789" t="s">
        <v>2331</v>
      </c>
      <c r="O789" t="s">
        <v>1054</v>
      </c>
      <c r="Q789" t="s">
        <v>595</v>
      </c>
    </row>
    <row r="790" spans="2:17">
      <c r="B790" t="s">
        <v>2332</v>
      </c>
      <c r="C790" t="s">
        <v>673</v>
      </c>
      <c r="D790">
        <v>3.3884545895772698E-8</v>
      </c>
      <c r="E790" t="s">
        <v>94</v>
      </c>
      <c r="H790" t="s">
        <v>588</v>
      </c>
      <c r="I790">
        <v>3.3884545895772698E-8</v>
      </c>
      <c r="J790">
        <v>1.0247973619913604</v>
      </c>
      <c r="N790" t="s">
        <v>2333</v>
      </c>
      <c r="O790" t="s">
        <v>589</v>
      </c>
      <c r="Q790" t="s">
        <v>2334</v>
      </c>
    </row>
    <row r="791" spans="2:17">
      <c r="B791" t="s">
        <v>2335</v>
      </c>
      <c r="C791" t="s">
        <v>673</v>
      </c>
      <c r="D791">
        <v>6.3895385721958703E-9</v>
      </c>
      <c r="E791" t="s">
        <v>94</v>
      </c>
      <c r="H791" t="s">
        <v>588</v>
      </c>
      <c r="I791">
        <v>6.3895385721958703E-9</v>
      </c>
      <c r="J791">
        <v>1.0247973619913604</v>
      </c>
      <c r="N791" t="s">
        <v>2336</v>
      </c>
      <c r="O791" t="s">
        <v>1624</v>
      </c>
      <c r="Q791" t="s">
        <v>2337</v>
      </c>
    </row>
    <row r="792" spans="2:17">
      <c r="B792" t="s">
        <v>2338</v>
      </c>
      <c r="C792" t="s">
        <v>1170</v>
      </c>
      <c r="D792">
        <v>9.7643866506540392E-7</v>
      </c>
      <c r="E792" t="s">
        <v>94</v>
      </c>
      <c r="H792" t="s">
        <v>588</v>
      </c>
      <c r="I792">
        <v>9.7643866506540392E-7</v>
      </c>
      <c r="J792">
        <v>1.0247973619913604</v>
      </c>
      <c r="N792" t="s">
        <v>2339</v>
      </c>
      <c r="O792" t="s">
        <v>2017</v>
      </c>
      <c r="Q792" t="s">
        <v>2018</v>
      </c>
    </row>
    <row r="793" spans="2:17">
      <c r="B793" t="s">
        <v>2340</v>
      </c>
      <c r="C793" t="s">
        <v>1635</v>
      </c>
      <c r="D793">
        <v>2.78515958769836E-4</v>
      </c>
      <c r="E793" t="s">
        <v>94</v>
      </c>
      <c r="H793" t="s">
        <v>588</v>
      </c>
      <c r="I793">
        <v>2.78515958769836E-4</v>
      </c>
      <c r="J793">
        <v>1.0321280889960358</v>
      </c>
      <c r="N793" t="s">
        <v>2341</v>
      </c>
      <c r="O793" t="s">
        <v>2050</v>
      </c>
      <c r="Q793" t="s">
        <v>2342</v>
      </c>
    </row>
    <row r="794" spans="2:17">
      <c r="B794" t="s">
        <v>2343</v>
      </c>
      <c r="C794" t="s">
        <v>673</v>
      </c>
      <c r="D794">
        <v>9.8729954658713107E-6</v>
      </c>
      <c r="E794" t="s">
        <v>94</v>
      </c>
      <c r="H794" t="s">
        <v>588</v>
      </c>
      <c r="I794">
        <v>9.8729954658713107E-6</v>
      </c>
      <c r="J794">
        <v>1.0247973619913604</v>
      </c>
      <c r="N794" t="s">
        <v>2344</v>
      </c>
      <c r="O794" t="s">
        <v>1883</v>
      </c>
    </row>
    <row r="795" spans="2:17">
      <c r="B795" t="s">
        <v>2343</v>
      </c>
      <c r="C795" t="s">
        <v>673</v>
      </c>
      <c r="D795">
        <v>3.62279510499575E-5</v>
      </c>
      <c r="E795" t="s">
        <v>94</v>
      </c>
      <c r="H795" t="s">
        <v>588</v>
      </c>
      <c r="I795">
        <v>3.62279510499575E-5</v>
      </c>
      <c r="J795">
        <v>1.0247973619913604</v>
      </c>
      <c r="N795" t="s">
        <v>2344</v>
      </c>
      <c r="O795" t="s">
        <v>2189</v>
      </c>
    </row>
    <row r="796" spans="2:17">
      <c r="B796" t="s">
        <v>2345</v>
      </c>
      <c r="C796" t="s">
        <v>2173</v>
      </c>
      <c r="D796">
        <v>5.4899369241099396E-9</v>
      </c>
      <c r="E796" t="s">
        <v>616</v>
      </c>
      <c r="H796" t="s">
        <v>588</v>
      </c>
      <c r="I796">
        <v>5.4899369241099396E-9</v>
      </c>
      <c r="J796">
        <v>1.7293101253499219</v>
      </c>
      <c r="N796" t="s">
        <v>2346</v>
      </c>
      <c r="O796" t="s">
        <v>1927</v>
      </c>
      <c r="Q796" t="s">
        <v>2347</v>
      </c>
    </row>
    <row r="797" spans="2:17">
      <c r="B797" t="s">
        <v>2348</v>
      </c>
      <c r="C797" t="s">
        <v>2198</v>
      </c>
      <c r="D797">
        <v>2.57958802857279E-6</v>
      </c>
      <c r="E797" t="s">
        <v>616</v>
      </c>
      <c r="H797" t="s">
        <v>588</v>
      </c>
      <c r="I797">
        <v>2.57958802857279E-6</v>
      </c>
      <c r="J797">
        <v>1.151909910168909</v>
      </c>
      <c r="N797" t="s">
        <v>2349</v>
      </c>
      <c r="O797" t="s">
        <v>1967</v>
      </c>
      <c r="Q797" t="s">
        <v>811</v>
      </c>
    </row>
    <row r="798" spans="2:17">
      <c r="B798" t="s">
        <v>2350</v>
      </c>
      <c r="C798" t="s">
        <v>1635</v>
      </c>
      <c r="D798">
        <v>5.50548025921951E-7</v>
      </c>
      <c r="E798" t="s">
        <v>94</v>
      </c>
      <c r="H798" t="s">
        <v>588</v>
      </c>
      <c r="I798">
        <v>5.50548025921951E-7</v>
      </c>
      <c r="J798">
        <v>1.0247973619913604</v>
      </c>
      <c r="N798" t="s">
        <v>2351</v>
      </c>
      <c r="O798" t="s">
        <v>1678</v>
      </c>
      <c r="Q798" t="s">
        <v>1679</v>
      </c>
    </row>
    <row r="799" spans="2:17">
      <c r="B799" t="s">
        <v>2352</v>
      </c>
      <c r="C799" t="s">
        <v>853</v>
      </c>
      <c r="D799">
        <v>1.37672319405165E-3</v>
      </c>
      <c r="E799" t="s">
        <v>94</v>
      </c>
      <c r="H799" t="s">
        <v>588</v>
      </c>
      <c r="I799">
        <v>1.37672319405165E-3</v>
      </c>
      <c r="J799">
        <v>1.1051709180756477</v>
      </c>
      <c r="N799" t="s">
        <v>2353</v>
      </c>
      <c r="O799" t="s">
        <v>1054</v>
      </c>
      <c r="Q799" t="s">
        <v>2018</v>
      </c>
    </row>
    <row r="800" spans="2:17">
      <c r="B800" t="s">
        <v>2352</v>
      </c>
      <c r="C800" t="s">
        <v>853</v>
      </c>
      <c r="D800">
        <v>1.9986216049955102E-3</v>
      </c>
      <c r="E800" t="s">
        <v>94</v>
      </c>
      <c r="H800" t="s">
        <v>588</v>
      </c>
      <c r="I800">
        <v>1.9986216049955102E-3</v>
      </c>
      <c r="J800">
        <v>1.1051709180756477</v>
      </c>
      <c r="N800" t="s">
        <v>2353</v>
      </c>
      <c r="O800" t="s">
        <v>1054</v>
      </c>
      <c r="Q800" t="s">
        <v>2018</v>
      </c>
    </row>
    <row r="801" spans="2:17">
      <c r="B801" t="s">
        <v>2354</v>
      </c>
      <c r="C801" t="s">
        <v>587</v>
      </c>
      <c r="D801">
        <v>1.4647499214720601E-4</v>
      </c>
      <c r="E801" t="s">
        <v>94</v>
      </c>
      <c r="H801" t="s">
        <v>588</v>
      </c>
      <c r="I801">
        <v>1.4647499214720601E-4</v>
      </c>
      <c r="J801">
        <v>1.0247973619913604</v>
      </c>
      <c r="O801" t="s">
        <v>641</v>
      </c>
      <c r="Q801" t="s">
        <v>1643</v>
      </c>
    </row>
    <row r="802" spans="2:17">
      <c r="B802" t="s">
        <v>2355</v>
      </c>
      <c r="C802" t="s">
        <v>2356</v>
      </c>
      <c r="D802">
        <v>5.8180221228708097E-8</v>
      </c>
      <c r="E802" t="s">
        <v>626</v>
      </c>
      <c r="H802" t="s">
        <v>588</v>
      </c>
      <c r="I802">
        <v>5.8180221228708097E-8</v>
      </c>
      <c r="J802">
        <v>1.0247973619913604</v>
      </c>
      <c r="N802" t="s">
        <v>2357</v>
      </c>
      <c r="O802" t="s">
        <v>2220</v>
      </c>
      <c r="Q802" t="s">
        <v>2358</v>
      </c>
    </row>
    <row r="803" spans="2:17">
      <c r="B803" t="s">
        <v>2359</v>
      </c>
      <c r="C803" t="s">
        <v>2356</v>
      </c>
      <c r="D803">
        <v>1.6072280116947399E-6</v>
      </c>
      <c r="E803" t="s">
        <v>626</v>
      </c>
      <c r="H803" t="s">
        <v>588</v>
      </c>
      <c r="I803">
        <v>1.6072280116947399E-6</v>
      </c>
      <c r="J803">
        <v>1.0247973619913604</v>
      </c>
      <c r="N803" t="s">
        <v>2360</v>
      </c>
      <c r="O803" t="s">
        <v>1713</v>
      </c>
      <c r="Q803" t="s">
        <v>2361</v>
      </c>
    </row>
    <row r="804" spans="2:17">
      <c r="B804" t="s">
        <v>2362</v>
      </c>
      <c r="C804" t="s">
        <v>2363</v>
      </c>
      <c r="D804">
        <v>1.30982970540367E-7</v>
      </c>
      <c r="E804" t="s">
        <v>626</v>
      </c>
      <c r="H804" t="s">
        <v>588</v>
      </c>
      <c r="I804">
        <v>1.30982970540367E-7</v>
      </c>
      <c r="J804">
        <v>1.0247973619913604</v>
      </c>
      <c r="N804" t="s">
        <v>2364</v>
      </c>
      <c r="O804" t="s">
        <v>2220</v>
      </c>
      <c r="Q804" t="s">
        <v>2365</v>
      </c>
    </row>
    <row r="805" spans="2:17">
      <c r="B805" t="s">
        <v>2366</v>
      </c>
      <c r="C805" t="s">
        <v>2356</v>
      </c>
      <c r="D805">
        <v>8.3182851465710401E-8</v>
      </c>
      <c r="E805" t="s">
        <v>626</v>
      </c>
      <c r="H805" t="s">
        <v>588</v>
      </c>
      <c r="I805">
        <v>8.3182851465710401E-8</v>
      </c>
      <c r="J805">
        <v>1.0247973619913604</v>
      </c>
      <c r="N805" t="s">
        <v>2367</v>
      </c>
      <c r="O805" t="s">
        <v>1713</v>
      </c>
      <c r="Q805" t="s">
        <v>2368</v>
      </c>
    </row>
    <row r="806" spans="2:17">
      <c r="B806" t="s">
        <v>2369</v>
      </c>
      <c r="C806" t="s">
        <v>821</v>
      </c>
      <c r="D806">
        <v>6.9535460773344497E-4</v>
      </c>
      <c r="E806" t="s">
        <v>94</v>
      </c>
      <c r="H806" t="s">
        <v>588</v>
      </c>
      <c r="I806">
        <v>6.9535460773344497E-4</v>
      </c>
      <c r="J806">
        <v>1.499999999999694</v>
      </c>
      <c r="N806" t="s">
        <v>2370</v>
      </c>
      <c r="O806" t="s">
        <v>952</v>
      </c>
      <c r="Q806" t="s">
        <v>2371</v>
      </c>
    </row>
    <row r="807" spans="2:17">
      <c r="B807" t="s">
        <v>2369</v>
      </c>
      <c r="C807" t="s">
        <v>821</v>
      </c>
      <c r="D807">
        <v>4.1481896836346897E-3</v>
      </c>
      <c r="E807" t="s">
        <v>94</v>
      </c>
      <c r="H807" t="s">
        <v>588</v>
      </c>
      <c r="I807">
        <v>4.1481896836346897E-3</v>
      </c>
      <c r="J807">
        <v>1.7450381821146503</v>
      </c>
      <c r="N807" t="s">
        <v>2372</v>
      </c>
      <c r="O807" t="s">
        <v>1054</v>
      </c>
      <c r="Q807" t="s">
        <v>1971</v>
      </c>
    </row>
    <row r="808" spans="2:17">
      <c r="B808" t="s">
        <v>2373</v>
      </c>
      <c r="C808" t="s">
        <v>2173</v>
      </c>
      <c r="D808">
        <v>4.8397995660413296E-9</v>
      </c>
      <c r="E808" t="s">
        <v>616</v>
      </c>
      <c r="H808" t="s">
        <v>588</v>
      </c>
      <c r="I808">
        <v>4.8397995660413296E-9</v>
      </c>
      <c r="J808">
        <v>1.7293101253499219</v>
      </c>
      <c r="N808" t="s">
        <v>2374</v>
      </c>
      <c r="O808" t="s">
        <v>1929</v>
      </c>
      <c r="Q808" t="s">
        <v>2375</v>
      </c>
    </row>
    <row r="809" spans="2:17">
      <c r="B809" t="s">
        <v>2376</v>
      </c>
      <c r="C809" t="s">
        <v>2377</v>
      </c>
      <c r="D809">
        <v>2.4149332096395498E-3</v>
      </c>
      <c r="E809" t="s">
        <v>640</v>
      </c>
      <c r="H809" t="s">
        <v>588</v>
      </c>
      <c r="I809">
        <v>2.4149332096395498E-3</v>
      </c>
      <c r="J809">
        <v>1</v>
      </c>
      <c r="N809" t="s">
        <v>2378</v>
      </c>
      <c r="O809" t="s">
        <v>798</v>
      </c>
      <c r="Q809" t="s">
        <v>2379</v>
      </c>
    </row>
    <row r="810" spans="2:17">
      <c r="B810" t="s">
        <v>2376</v>
      </c>
      <c r="C810" t="s">
        <v>2377</v>
      </c>
      <c r="D810">
        <v>2.69361716967631E-2</v>
      </c>
      <c r="E810" t="s">
        <v>640</v>
      </c>
      <c r="H810" t="s">
        <v>588</v>
      </c>
      <c r="I810">
        <v>2.69361716967631E-2</v>
      </c>
      <c r="J810">
        <v>1.151909910168909</v>
      </c>
      <c r="N810" t="s">
        <v>2380</v>
      </c>
      <c r="O810" t="s">
        <v>2381</v>
      </c>
      <c r="Q810" t="s">
        <v>2133</v>
      </c>
    </row>
    <row r="811" spans="2:17">
      <c r="B811" t="s">
        <v>2382</v>
      </c>
      <c r="C811" t="s">
        <v>673</v>
      </c>
      <c r="D811">
        <v>1.11424781215647E-5</v>
      </c>
      <c r="E811" t="s">
        <v>94</v>
      </c>
      <c r="H811" t="s">
        <v>588</v>
      </c>
      <c r="I811">
        <v>1.11424781215647E-5</v>
      </c>
      <c r="J811">
        <v>1.0247973619913604</v>
      </c>
      <c r="N811" t="s">
        <v>2383</v>
      </c>
      <c r="O811" t="s">
        <v>1752</v>
      </c>
      <c r="Q811" t="s">
        <v>2384</v>
      </c>
    </row>
    <row r="812" spans="2:17">
      <c r="B812" t="s">
        <v>2385</v>
      </c>
      <c r="C812" t="s">
        <v>1698</v>
      </c>
      <c r="D812">
        <v>6.0395121040533602E-9</v>
      </c>
      <c r="E812" t="s">
        <v>616</v>
      </c>
      <c r="H812" t="s">
        <v>588</v>
      </c>
      <c r="I812">
        <v>6.0395121040533602E-9</v>
      </c>
      <c r="J812">
        <v>1.1712995782321958</v>
      </c>
      <c r="N812" t="s">
        <v>2386</v>
      </c>
      <c r="O812" t="s">
        <v>2387</v>
      </c>
      <c r="Q812" t="s">
        <v>2388</v>
      </c>
    </row>
    <row r="813" spans="2:17">
      <c r="B813" t="s">
        <v>2389</v>
      </c>
      <c r="C813" t="s">
        <v>673</v>
      </c>
      <c r="D813">
        <v>3.2656084162951599E-5</v>
      </c>
      <c r="E813" t="s">
        <v>94</v>
      </c>
      <c r="H813" t="s">
        <v>588</v>
      </c>
      <c r="I813">
        <v>3.2656084162951599E-5</v>
      </c>
      <c r="J813">
        <v>1.0247973619913604</v>
      </c>
      <c r="N813" t="s">
        <v>2390</v>
      </c>
      <c r="O813" t="s">
        <v>2004</v>
      </c>
      <c r="Q813" t="s">
        <v>2005</v>
      </c>
    </row>
    <row r="814" spans="2:17">
      <c r="B814" t="s">
        <v>2391</v>
      </c>
      <c r="C814" t="s">
        <v>2392</v>
      </c>
      <c r="D814">
        <v>2.1770918180222601E-6</v>
      </c>
      <c r="E814" t="s">
        <v>616</v>
      </c>
      <c r="H814" t="s">
        <v>588</v>
      </c>
      <c r="I814">
        <v>2.1770918180222601E-6</v>
      </c>
      <c r="J814">
        <v>1.7293101253499219</v>
      </c>
      <c r="N814" t="s">
        <v>2393</v>
      </c>
      <c r="O814" t="s">
        <v>1435</v>
      </c>
      <c r="Q814" t="s">
        <v>2394</v>
      </c>
    </row>
    <row r="815" spans="2:17">
      <c r="B815" t="s">
        <v>2395</v>
      </c>
      <c r="C815" t="s">
        <v>1170</v>
      </c>
      <c r="D815">
        <v>8.8016640864815495E-8</v>
      </c>
      <c r="E815" t="s">
        <v>94</v>
      </c>
      <c r="H815" t="s">
        <v>588</v>
      </c>
      <c r="I815">
        <v>8.8016640864815495E-8</v>
      </c>
      <c r="J815">
        <v>1.0247973619913604</v>
      </c>
      <c r="N815" t="s">
        <v>2396</v>
      </c>
      <c r="O815" t="s">
        <v>1914</v>
      </c>
      <c r="Q815" t="s">
        <v>2397</v>
      </c>
    </row>
    <row r="816" spans="2:17">
      <c r="B816" t="s">
        <v>2398</v>
      </c>
      <c r="C816" t="s">
        <v>2173</v>
      </c>
      <c r="D816">
        <v>2.66080088586134E-7</v>
      </c>
      <c r="E816" t="s">
        <v>616</v>
      </c>
      <c r="H816" t="s">
        <v>588</v>
      </c>
      <c r="I816">
        <v>2.66080088586134E-7</v>
      </c>
      <c r="J816">
        <v>1.7293101253499219</v>
      </c>
      <c r="N816" t="s">
        <v>2399</v>
      </c>
      <c r="O816" t="s">
        <v>1927</v>
      </c>
      <c r="Q816" t="s">
        <v>2400</v>
      </c>
    </row>
    <row r="817" spans="2:17">
      <c r="B817" t="s">
        <v>2401</v>
      </c>
      <c r="C817" t="s">
        <v>1489</v>
      </c>
      <c r="D817">
        <v>4.6954447685252296E-6</v>
      </c>
      <c r="E817" t="s">
        <v>94</v>
      </c>
      <c r="N817" t="s">
        <v>2402</v>
      </c>
    </row>
    <row r="818" spans="2:17">
      <c r="B818" t="s">
        <v>2403</v>
      </c>
      <c r="C818" t="s">
        <v>1489</v>
      </c>
      <c r="D818">
        <v>5.2570166554126497E-6</v>
      </c>
      <c r="E818" t="s">
        <v>94</v>
      </c>
      <c r="H818" t="s">
        <v>588</v>
      </c>
      <c r="I818">
        <v>5.2570166554126497E-6</v>
      </c>
      <c r="J818">
        <v>1.0247973619913604</v>
      </c>
      <c r="N818" t="s">
        <v>2404</v>
      </c>
      <c r="O818" t="s">
        <v>1153</v>
      </c>
      <c r="Q818" t="s">
        <v>2099</v>
      </c>
    </row>
    <row r="819" spans="2:17">
      <c r="B819" t="s">
        <v>2405</v>
      </c>
      <c r="C819" t="s">
        <v>1489</v>
      </c>
      <c r="D819">
        <v>2.7341501178013002E-6</v>
      </c>
      <c r="E819" t="s">
        <v>94</v>
      </c>
      <c r="H819" t="s">
        <v>588</v>
      </c>
      <c r="I819">
        <v>2.7341501178013002E-6</v>
      </c>
      <c r="J819">
        <v>1</v>
      </c>
      <c r="N819" t="s">
        <v>2406</v>
      </c>
      <c r="O819" t="s">
        <v>2407</v>
      </c>
      <c r="Q819" t="s">
        <v>2408</v>
      </c>
    </row>
    <row r="820" spans="2:17">
      <c r="B820" t="s">
        <v>1217</v>
      </c>
      <c r="C820" t="s">
        <v>597</v>
      </c>
      <c r="D820">
        <v>9.9341279661733497E-9</v>
      </c>
      <c r="E820" t="s">
        <v>598</v>
      </c>
      <c r="H820" t="s">
        <v>588</v>
      </c>
      <c r="I820">
        <v>9.9341279661733497E-9</v>
      </c>
      <c r="J820">
        <v>1.0321280889960358</v>
      </c>
      <c r="N820" t="s">
        <v>1218</v>
      </c>
      <c r="O820" t="s">
        <v>2050</v>
      </c>
      <c r="Q820" t="s">
        <v>2409</v>
      </c>
    </row>
    <row r="821" spans="2:17">
      <c r="B821" t="s">
        <v>1217</v>
      </c>
      <c r="C821" t="s">
        <v>597</v>
      </c>
      <c r="D821">
        <v>1.8771930681371E-8</v>
      </c>
      <c r="E821" t="s">
        <v>598</v>
      </c>
      <c r="H821" t="s">
        <v>588</v>
      </c>
      <c r="I821">
        <v>1.8771930681371E-8</v>
      </c>
      <c r="J821">
        <v>1.0321280889960358</v>
      </c>
      <c r="N821" t="s">
        <v>1218</v>
      </c>
      <c r="O821" t="s">
        <v>2050</v>
      </c>
      <c r="Q821" t="s">
        <v>2409</v>
      </c>
    </row>
    <row r="822" spans="2:17">
      <c r="B822" t="s">
        <v>1217</v>
      </c>
      <c r="C822" t="s">
        <v>597</v>
      </c>
      <c r="D822">
        <v>4.9048648928755902E-7</v>
      </c>
      <c r="E822" t="s">
        <v>598</v>
      </c>
      <c r="H822" t="s">
        <v>588</v>
      </c>
      <c r="I822">
        <v>4.9048648928755902E-7</v>
      </c>
      <c r="J822">
        <v>1.0321280889960358</v>
      </c>
      <c r="N822" t="s">
        <v>1218</v>
      </c>
      <c r="O822" t="s">
        <v>2050</v>
      </c>
      <c r="Q822" t="s">
        <v>2409</v>
      </c>
    </row>
    <row r="823" spans="2:17">
      <c r="B823" t="s">
        <v>1217</v>
      </c>
      <c r="C823" t="s">
        <v>597</v>
      </c>
      <c r="D823">
        <v>2.9828861418882503E-8</v>
      </c>
      <c r="E823" t="s">
        <v>598</v>
      </c>
      <c r="H823" t="s">
        <v>588</v>
      </c>
      <c r="I823">
        <v>2.9828861418882503E-8</v>
      </c>
      <c r="J823">
        <v>1.0321280889960358</v>
      </c>
      <c r="N823" t="s">
        <v>1218</v>
      </c>
      <c r="O823" t="s">
        <v>2050</v>
      </c>
      <c r="Q823" t="s">
        <v>2409</v>
      </c>
    </row>
    <row r="824" spans="2:17">
      <c r="B824" t="s">
        <v>1217</v>
      </c>
      <c r="C824" t="s">
        <v>597</v>
      </c>
      <c r="D824">
        <v>2.9081659047597001E-8</v>
      </c>
      <c r="E824" t="s">
        <v>598</v>
      </c>
      <c r="H824" t="s">
        <v>588</v>
      </c>
      <c r="I824">
        <v>2.9081659047597001E-8</v>
      </c>
      <c r="J824">
        <v>1.0321280889960358</v>
      </c>
      <c r="N824" t="s">
        <v>1218</v>
      </c>
      <c r="O824" t="s">
        <v>2050</v>
      </c>
      <c r="Q824" t="s">
        <v>2409</v>
      </c>
    </row>
    <row r="825" spans="2:17">
      <c r="B825" t="s">
        <v>1217</v>
      </c>
      <c r="C825" t="s">
        <v>597</v>
      </c>
      <c r="D825">
        <v>1.1732556824866E-3</v>
      </c>
      <c r="E825" t="s">
        <v>598</v>
      </c>
      <c r="H825" t="s">
        <v>588</v>
      </c>
      <c r="I825">
        <v>1.1732556824866E-3</v>
      </c>
      <c r="J825">
        <v>1.0247973619913604</v>
      </c>
      <c r="N825" t="s">
        <v>2410</v>
      </c>
      <c r="O825" t="s">
        <v>1929</v>
      </c>
      <c r="Q825" t="s">
        <v>2411</v>
      </c>
    </row>
    <row r="826" spans="2:17">
      <c r="B826" t="s">
        <v>1217</v>
      </c>
      <c r="C826" t="s">
        <v>597</v>
      </c>
      <c r="D826">
        <v>2.7155476090915701E-6</v>
      </c>
      <c r="E826" t="s">
        <v>598</v>
      </c>
      <c r="H826" t="s">
        <v>588</v>
      </c>
      <c r="I826">
        <v>2.7155476090915701E-6</v>
      </c>
      <c r="J826">
        <v>1.0321280889960358</v>
      </c>
      <c r="N826" t="s">
        <v>1218</v>
      </c>
      <c r="O826" t="s">
        <v>2050</v>
      </c>
      <c r="Q826" t="s">
        <v>2409</v>
      </c>
    </row>
    <row r="827" spans="2:17">
      <c r="B827" t="s">
        <v>1217</v>
      </c>
      <c r="C827" t="s">
        <v>597</v>
      </c>
      <c r="D827">
        <v>3.9862700452965197E-9</v>
      </c>
      <c r="E827" t="s">
        <v>598</v>
      </c>
      <c r="H827" t="s">
        <v>588</v>
      </c>
      <c r="I827">
        <v>3.9862700452965197E-9</v>
      </c>
      <c r="J827">
        <v>1.0321280889960358</v>
      </c>
      <c r="N827" t="s">
        <v>1218</v>
      </c>
      <c r="O827" t="s">
        <v>2050</v>
      </c>
      <c r="Q827" t="s">
        <v>2409</v>
      </c>
    </row>
    <row r="828" spans="2:17">
      <c r="B828" t="s">
        <v>1217</v>
      </c>
      <c r="C828" t="s">
        <v>597</v>
      </c>
      <c r="D828">
        <v>8.6668182569937703E-8</v>
      </c>
      <c r="E828" t="s">
        <v>598</v>
      </c>
      <c r="H828" t="s">
        <v>588</v>
      </c>
      <c r="I828">
        <v>8.6668182569937703E-8</v>
      </c>
      <c r="J828">
        <v>1.0321280889960358</v>
      </c>
      <c r="N828" t="s">
        <v>1218</v>
      </c>
      <c r="O828" t="s">
        <v>2050</v>
      </c>
      <c r="Q828" t="s">
        <v>2409</v>
      </c>
    </row>
    <row r="829" spans="2:17">
      <c r="B829" t="s">
        <v>1217</v>
      </c>
      <c r="C829" t="s">
        <v>597</v>
      </c>
      <c r="D829">
        <v>9.7962750233878696E-8</v>
      </c>
      <c r="E829" t="s">
        <v>598</v>
      </c>
      <c r="H829" t="s">
        <v>588</v>
      </c>
      <c r="I829">
        <v>9.7962750233878696E-8</v>
      </c>
      <c r="J829">
        <v>1.0321280889960358</v>
      </c>
      <c r="N829" t="s">
        <v>1218</v>
      </c>
      <c r="O829" t="s">
        <v>2050</v>
      </c>
      <c r="Q829" t="s">
        <v>2409</v>
      </c>
    </row>
    <row r="830" spans="2:17">
      <c r="B830" t="s">
        <v>1217</v>
      </c>
      <c r="C830" t="s">
        <v>597</v>
      </c>
      <c r="D830">
        <v>1.70756568807047E-4</v>
      </c>
      <c r="E830" t="s">
        <v>598</v>
      </c>
      <c r="H830" t="s">
        <v>588</v>
      </c>
      <c r="I830">
        <v>1.70756568807047E-4</v>
      </c>
      <c r="J830">
        <v>1.4139824580805163</v>
      </c>
      <c r="N830" t="s">
        <v>2412</v>
      </c>
      <c r="O830" t="s">
        <v>1082</v>
      </c>
      <c r="Q830" t="s">
        <v>2413</v>
      </c>
    </row>
    <row r="831" spans="2:17">
      <c r="B831" t="s">
        <v>1217</v>
      </c>
      <c r="C831" t="s">
        <v>597</v>
      </c>
      <c r="D831">
        <v>4.6822175326323298E-9</v>
      </c>
      <c r="E831" t="s">
        <v>598</v>
      </c>
      <c r="H831" t="s">
        <v>588</v>
      </c>
      <c r="I831">
        <v>4.6822175326323298E-9</v>
      </c>
      <c r="J831">
        <v>1.0321280889960358</v>
      </c>
      <c r="N831" t="s">
        <v>1218</v>
      </c>
      <c r="O831" t="s">
        <v>2050</v>
      </c>
      <c r="Q831" t="s">
        <v>2409</v>
      </c>
    </row>
    <row r="832" spans="2:17">
      <c r="B832" t="s">
        <v>1217</v>
      </c>
      <c r="C832" t="s">
        <v>597</v>
      </c>
      <c r="D832">
        <v>6.3658813854487498E-9</v>
      </c>
      <c r="E832" t="s">
        <v>598</v>
      </c>
      <c r="H832" t="s">
        <v>588</v>
      </c>
      <c r="I832">
        <v>6.3658813854487498E-9</v>
      </c>
      <c r="J832">
        <v>1.0321280889960358</v>
      </c>
      <c r="N832" t="s">
        <v>1218</v>
      </c>
      <c r="O832" t="s">
        <v>2050</v>
      </c>
      <c r="Q832" t="s">
        <v>2409</v>
      </c>
    </row>
    <row r="833" spans="2:17">
      <c r="B833" t="s">
        <v>1217</v>
      </c>
      <c r="C833" t="s">
        <v>597</v>
      </c>
      <c r="D833">
        <v>4.9197768655976997E-8</v>
      </c>
      <c r="E833" t="s">
        <v>598</v>
      </c>
      <c r="H833" t="s">
        <v>588</v>
      </c>
      <c r="I833">
        <v>4.9197768655976997E-8</v>
      </c>
      <c r="J833">
        <v>1.0321280889960358</v>
      </c>
      <c r="N833" t="s">
        <v>1218</v>
      </c>
      <c r="O833" t="s">
        <v>2050</v>
      </c>
      <c r="Q833" t="s">
        <v>2409</v>
      </c>
    </row>
    <row r="834" spans="2:17">
      <c r="B834" t="s">
        <v>1217</v>
      </c>
      <c r="C834" t="s">
        <v>597</v>
      </c>
      <c r="D834">
        <v>2.7995357583531501E-8</v>
      </c>
      <c r="E834" t="s">
        <v>598</v>
      </c>
      <c r="H834" t="s">
        <v>588</v>
      </c>
      <c r="I834">
        <v>2.7995357583531501E-8</v>
      </c>
      <c r="J834">
        <v>1.0321280889960358</v>
      </c>
      <c r="N834" t="s">
        <v>1218</v>
      </c>
      <c r="O834" t="s">
        <v>2050</v>
      </c>
      <c r="Q834" t="s">
        <v>2409</v>
      </c>
    </row>
    <row r="835" spans="2:17">
      <c r="B835" t="s">
        <v>1217</v>
      </c>
      <c r="C835" t="s">
        <v>597</v>
      </c>
      <c r="D835">
        <v>2.69439556828354E-8</v>
      </c>
      <c r="E835" t="s">
        <v>598</v>
      </c>
      <c r="H835" t="s">
        <v>588</v>
      </c>
      <c r="I835">
        <v>2.69439556828354E-8</v>
      </c>
      <c r="J835">
        <v>1.0321280889960358</v>
      </c>
      <c r="N835" t="s">
        <v>1218</v>
      </c>
      <c r="O835" t="s">
        <v>2050</v>
      </c>
      <c r="Q835" t="s">
        <v>2409</v>
      </c>
    </row>
    <row r="836" spans="2:17">
      <c r="B836" t="s">
        <v>1217</v>
      </c>
      <c r="C836" t="s">
        <v>597</v>
      </c>
      <c r="D836">
        <v>1.4207776088674999E-8</v>
      </c>
      <c r="E836" t="s">
        <v>598</v>
      </c>
      <c r="H836" t="s">
        <v>588</v>
      </c>
      <c r="I836">
        <v>1.4207776088674999E-8</v>
      </c>
      <c r="J836">
        <v>1.0321280889960358</v>
      </c>
      <c r="N836" t="s">
        <v>1218</v>
      </c>
      <c r="O836" t="s">
        <v>2050</v>
      </c>
      <c r="Q836" t="s">
        <v>2409</v>
      </c>
    </row>
    <row r="837" spans="2:17">
      <c r="B837" t="s">
        <v>1217</v>
      </c>
      <c r="C837" t="s">
        <v>597</v>
      </c>
      <c r="D837">
        <v>1.12484279127403E-9</v>
      </c>
      <c r="E837" t="s">
        <v>598</v>
      </c>
      <c r="H837" t="s">
        <v>588</v>
      </c>
      <c r="I837">
        <v>1.12484279127403E-9</v>
      </c>
      <c r="J837">
        <v>1.0321280889960358</v>
      </c>
      <c r="N837" t="s">
        <v>1218</v>
      </c>
      <c r="O837" t="s">
        <v>2050</v>
      </c>
      <c r="Q837" t="s">
        <v>2409</v>
      </c>
    </row>
    <row r="838" spans="2:17">
      <c r="B838" t="s">
        <v>1217</v>
      </c>
      <c r="C838" t="s">
        <v>597</v>
      </c>
      <c r="D838">
        <v>1.2331611052331299E-4</v>
      </c>
      <c r="E838" t="s">
        <v>598</v>
      </c>
      <c r="H838" t="s">
        <v>588</v>
      </c>
      <c r="I838">
        <v>1.2331611052331299E-4</v>
      </c>
      <c r="J838">
        <v>1.0247973619913604</v>
      </c>
      <c r="N838" t="s">
        <v>2410</v>
      </c>
      <c r="O838" t="s">
        <v>2006</v>
      </c>
      <c r="Q838" t="s">
        <v>1679</v>
      </c>
    </row>
    <row r="839" spans="2:17">
      <c r="B839" t="s">
        <v>1217</v>
      </c>
      <c r="C839" t="s">
        <v>597</v>
      </c>
      <c r="D839">
        <v>2.25375102123811E-8</v>
      </c>
      <c r="E839" t="s">
        <v>598</v>
      </c>
      <c r="H839" t="s">
        <v>588</v>
      </c>
      <c r="I839">
        <v>2.25375102123811E-8</v>
      </c>
      <c r="J839">
        <v>1.0321280889960358</v>
      </c>
      <c r="N839" t="s">
        <v>1218</v>
      </c>
      <c r="O839" t="s">
        <v>2050</v>
      </c>
      <c r="Q839" t="s">
        <v>2409</v>
      </c>
    </row>
    <row r="840" spans="2:17">
      <c r="B840" t="s">
        <v>1217</v>
      </c>
      <c r="C840" t="s">
        <v>597</v>
      </c>
      <c r="D840">
        <v>1.2717020665328001E-8</v>
      </c>
      <c r="E840" t="s">
        <v>598</v>
      </c>
      <c r="H840" t="s">
        <v>588</v>
      </c>
      <c r="I840">
        <v>1.2717020665328001E-8</v>
      </c>
      <c r="J840">
        <v>1.0321280889960358</v>
      </c>
      <c r="N840" t="s">
        <v>1218</v>
      </c>
      <c r="O840" t="s">
        <v>2050</v>
      </c>
      <c r="Q840" t="s">
        <v>2409</v>
      </c>
    </row>
    <row r="841" spans="2:17">
      <c r="B841" t="s">
        <v>1217</v>
      </c>
      <c r="C841" t="s">
        <v>597</v>
      </c>
      <c r="D841">
        <v>7.8691024407571497E-4</v>
      </c>
      <c r="E841" t="s">
        <v>598</v>
      </c>
      <c r="H841" t="s">
        <v>588</v>
      </c>
      <c r="I841">
        <v>7.8691024407571497E-4</v>
      </c>
      <c r="J841">
        <v>1.0247973619913604</v>
      </c>
      <c r="N841" t="s">
        <v>2410</v>
      </c>
      <c r="O841" t="s">
        <v>2006</v>
      </c>
      <c r="Q841" t="s">
        <v>1679</v>
      </c>
    </row>
    <row r="842" spans="2:17">
      <c r="B842" t="s">
        <v>1217</v>
      </c>
      <c r="C842" t="s">
        <v>597</v>
      </c>
      <c r="D842">
        <v>7.6592604734368403E-8</v>
      </c>
      <c r="E842" t="s">
        <v>598</v>
      </c>
      <c r="H842" t="s">
        <v>588</v>
      </c>
      <c r="I842">
        <v>7.6592604734368403E-8</v>
      </c>
      <c r="J842">
        <v>1.0321280889960358</v>
      </c>
      <c r="N842" t="s">
        <v>1218</v>
      </c>
      <c r="O842" t="s">
        <v>2050</v>
      </c>
      <c r="Q842" t="s">
        <v>2409</v>
      </c>
    </row>
    <row r="843" spans="2:17">
      <c r="B843" t="s">
        <v>1217</v>
      </c>
      <c r="C843" t="s">
        <v>597</v>
      </c>
      <c r="D843">
        <v>3.0779770546851301E-8</v>
      </c>
      <c r="E843" t="s">
        <v>598</v>
      </c>
      <c r="H843" t="s">
        <v>588</v>
      </c>
      <c r="I843">
        <v>3.0779770546851301E-8</v>
      </c>
      <c r="J843">
        <v>1.0321280889960358</v>
      </c>
      <c r="N843" t="s">
        <v>1218</v>
      </c>
      <c r="O843" t="s">
        <v>2050</v>
      </c>
      <c r="Q843" t="s">
        <v>2409</v>
      </c>
    </row>
    <row r="844" spans="2:17">
      <c r="B844" t="s">
        <v>1217</v>
      </c>
      <c r="C844" t="s">
        <v>597</v>
      </c>
      <c r="D844">
        <v>1.04583512561982E-8</v>
      </c>
      <c r="E844" t="s">
        <v>598</v>
      </c>
      <c r="H844" t="s">
        <v>588</v>
      </c>
      <c r="I844">
        <v>1.04583512561982E-8</v>
      </c>
      <c r="J844">
        <v>1.0321280889960358</v>
      </c>
      <c r="N844" t="s">
        <v>1218</v>
      </c>
      <c r="O844" t="s">
        <v>2050</v>
      </c>
      <c r="Q844" t="s">
        <v>2409</v>
      </c>
    </row>
    <row r="845" spans="2:17">
      <c r="B845" t="s">
        <v>1217</v>
      </c>
      <c r="C845" t="s">
        <v>597</v>
      </c>
      <c r="D845">
        <v>4.1127994447760801E-8</v>
      </c>
      <c r="E845" t="s">
        <v>598</v>
      </c>
      <c r="H845" t="s">
        <v>588</v>
      </c>
      <c r="I845">
        <v>4.1127994447760801E-8</v>
      </c>
      <c r="J845">
        <v>1.0321280889960358</v>
      </c>
      <c r="N845" t="s">
        <v>1218</v>
      </c>
      <c r="O845" t="s">
        <v>2050</v>
      </c>
      <c r="Q845" t="s">
        <v>2409</v>
      </c>
    </row>
    <row r="846" spans="2:17">
      <c r="B846" t="s">
        <v>1217</v>
      </c>
      <c r="C846" t="s">
        <v>597</v>
      </c>
      <c r="D846">
        <v>3.85533152132244E-5</v>
      </c>
      <c r="E846" t="s">
        <v>598</v>
      </c>
      <c r="H846" t="s">
        <v>588</v>
      </c>
      <c r="I846">
        <v>3.85533152132244E-5</v>
      </c>
      <c r="J846">
        <v>1.0247973619913604</v>
      </c>
      <c r="N846" t="s">
        <v>1218</v>
      </c>
      <c r="O846" t="s">
        <v>2006</v>
      </c>
      <c r="Q846" t="s">
        <v>1679</v>
      </c>
    </row>
    <row r="847" spans="2:17">
      <c r="B847" t="s">
        <v>1217</v>
      </c>
      <c r="C847" t="s">
        <v>597</v>
      </c>
      <c r="D847">
        <v>8.0644012064269295E-4</v>
      </c>
      <c r="E847" t="s">
        <v>598</v>
      </c>
      <c r="H847" t="s">
        <v>588</v>
      </c>
      <c r="I847">
        <v>8.0644012064269295E-4</v>
      </c>
      <c r="J847">
        <v>1.0247973619913604</v>
      </c>
      <c r="N847" t="s">
        <v>2410</v>
      </c>
      <c r="O847" t="s">
        <v>2414</v>
      </c>
      <c r="Q847" t="s">
        <v>2005</v>
      </c>
    </row>
    <row r="848" spans="2:17">
      <c r="B848" t="s">
        <v>1217</v>
      </c>
      <c r="C848" t="s">
        <v>597</v>
      </c>
      <c r="D848">
        <v>2.0597542879490901E-4</v>
      </c>
      <c r="E848" t="s">
        <v>598</v>
      </c>
      <c r="H848" t="s">
        <v>588</v>
      </c>
      <c r="I848">
        <v>2.0597542879490901E-4</v>
      </c>
      <c r="J848">
        <v>1.0247973619913604</v>
      </c>
      <c r="N848" t="s">
        <v>2415</v>
      </c>
      <c r="O848" t="s">
        <v>641</v>
      </c>
      <c r="Q848" t="s">
        <v>1643</v>
      </c>
    </row>
    <row r="849" spans="2:17">
      <c r="B849" t="s">
        <v>1217</v>
      </c>
      <c r="C849" t="s">
        <v>597</v>
      </c>
      <c r="D849">
        <v>3.63261582050402E-9</v>
      </c>
      <c r="E849" t="s">
        <v>598</v>
      </c>
      <c r="H849" t="s">
        <v>588</v>
      </c>
      <c r="I849">
        <v>3.63261582050402E-9</v>
      </c>
      <c r="J849">
        <v>1.0321280889960358</v>
      </c>
      <c r="N849" t="s">
        <v>1218</v>
      </c>
      <c r="O849" t="s">
        <v>2050</v>
      </c>
      <c r="Q849" t="s">
        <v>2409</v>
      </c>
    </row>
    <row r="850" spans="2:17">
      <c r="B850" t="s">
        <v>1217</v>
      </c>
      <c r="C850" t="s">
        <v>597</v>
      </c>
      <c r="D850">
        <v>1.81306477487143E-7</v>
      </c>
      <c r="E850" t="s">
        <v>598</v>
      </c>
      <c r="H850" t="s">
        <v>588</v>
      </c>
      <c r="I850">
        <v>1.81306477487143E-7</v>
      </c>
      <c r="J850">
        <v>1.0321280889960358</v>
      </c>
      <c r="N850" t="s">
        <v>1218</v>
      </c>
      <c r="O850" t="s">
        <v>2050</v>
      </c>
      <c r="Q850" t="s">
        <v>2409</v>
      </c>
    </row>
    <row r="851" spans="2:17">
      <c r="B851" t="s">
        <v>1217</v>
      </c>
      <c r="C851" t="s">
        <v>597</v>
      </c>
      <c r="D851">
        <v>4.3176435427700398E-8</v>
      </c>
      <c r="E851" t="s">
        <v>598</v>
      </c>
      <c r="H851" t="s">
        <v>588</v>
      </c>
      <c r="I851">
        <v>4.3176435427700398E-8</v>
      </c>
      <c r="J851">
        <v>1.0321280889960358</v>
      </c>
      <c r="N851" t="s">
        <v>1218</v>
      </c>
      <c r="O851" t="s">
        <v>2050</v>
      </c>
      <c r="Q851" t="s">
        <v>2409</v>
      </c>
    </row>
    <row r="852" spans="2:17">
      <c r="B852" t="s">
        <v>1217</v>
      </c>
      <c r="C852" t="s">
        <v>597</v>
      </c>
      <c r="D852">
        <v>3.2498085020221603E-4</v>
      </c>
      <c r="E852" t="s">
        <v>598</v>
      </c>
      <c r="H852" t="s">
        <v>588</v>
      </c>
      <c r="I852">
        <v>3.2498085020221603E-4</v>
      </c>
      <c r="J852">
        <v>1.0247973619913604</v>
      </c>
      <c r="N852" t="s">
        <v>2410</v>
      </c>
      <c r="O852" t="s">
        <v>2006</v>
      </c>
      <c r="Q852" t="s">
        <v>1679</v>
      </c>
    </row>
    <row r="853" spans="2:17">
      <c r="B853" t="s">
        <v>1217</v>
      </c>
      <c r="C853" t="s">
        <v>597</v>
      </c>
      <c r="D853">
        <v>3.1427876610064603E-8</v>
      </c>
      <c r="E853" t="s">
        <v>598</v>
      </c>
      <c r="H853" t="s">
        <v>588</v>
      </c>
      <c r="I853">
        <v>3.1427876610064603E-8</v>
      </c>
      <c r="J853">
        <v>1.0321280889960358</v>
      </c>
      <c r="N853" t="s">
        <v>1218</v>
      </c>
      <c r="O853" t="s">
        <v>2050</v>
      </c>
      <c r="Q853" t="s">
        <v>2409</v>
      </c>
    </row>
    <row r="854" spans="2:17">
      <c r="B854" t="s">
        <v>1217</v>
      </c>
      <c r="C854" t="s">
        <v>597</v>
      </c>
      <c r="D854">
        <v>6.0379907915632601E-5</v>
      </c>
      <c r="E854" t="s">
        <v>598</v>
      </c>
      <c r="H854" t="s">
        <v>588</v>
      </c>
      <c r="I854">
        <v>6.0379907915632601E-5</v>
      </c>
      <c r="J854">
        <v>1.0321280889960358</v>
      </c>
      <c r="N854" t="s">
        <v>1218</v>
      </c>
      <c r="O854" t="s">
        <v>2050</v>
      </c>
      <c r="Q854" t="s">
        <v>2409</v>
      </c>
    </row>
    <row r="855" spans="2:17">
      <c r="B855" t="s">
        <v>1217</v>
      </c>
      <c r="C855" t="s">
        <v>597</v>
      </c>
      <c r="D855">
        <v>2.14021153619916E-4</v>
      </c>
      <c r="E855" t="s">
        <v>598</v>
      </c>
      <c r="H855" t="s">
        <v>588</v>
      </c>
      <c r="I855">
        <v>2.14021153619916E-4</v>
      </c>
      <c r="J855">
        <v>1.0247973619913604</v>
      </c>
      <c r="N855" t="s">
        <v>2410</v>
      </c>
      <c r="O855" t="s">
        <v>2004</v>
      </c>
      <c r="Q855" t="s">
        <v>2005</v>
      </c>
    </row>
    <row r="856" spans="2:17">
      <c r="B856" t="s">
        <v>1217</v>
      </c>
      <c r="C856" t="s">
        <v>597</v>
      </c>
      <c r="D856">
        <v>4.0878099439355903E-8</v>
      </c>
      <c r="E856" t="s">
        <v>598</v>
      </c>
      <c r="H856" t="s">
        <v>588</v>
      </c>
      <c r="I856">
        <v>4.0878099439355903E-8</v>
      </c>
      <c r="J856">
        <v>1.0321280889960358</v>
      </c>
      <c r="N856" t="s">
        <v>1218</v>
      </c>
      <c r="O856" t="s">
        <v>2050</v>
      </c>
      <c r="Q856" t="s">
        <v>2409</v>
      </c>
    </row>
    <row r="857" spans="2:17">
      <c r="B857" t="s">
        <v>1217</v>
      </c>
      <c r="C857" t="s">
        <v>597</v>
      </c>
      <c r="D857">
        <v>7.3910412896233402E-6</v>
      </c>
      <c r="E857" t="s">
        <v>598</v>
      </c>
      <c r="H857" t="s">
        <v>588</v>
      </c>
      <c r="I857">
        <v>7.3910412896233402E-6</v>
      </c>
      <c r="J857">
        <v>1.0247973619913604</v>
      </c>
      <c r="N857" t="s">
        <v>1218</v>
      </c>
      <c r="O857" t="s">
        <v>2006</v>
      </c>
      <c r="Q857" t="s">
        <v>1679</v>
      </c>
    </row>
    <row r="858" spans="2:17">
      <c r="B858" t="s">
        <v>1217</v>
      </c>
      <c r="C858" t="s">
        <v>597</v>
      </c>
      <c r="D858">
        <v>5.0754225715958102E-3</v>
      </c>
      <c r="E858" t="s">
        <v>598</v>
      </c>
      <c r="H858" t="s">
        <v>588</v>
      </c>
      <c r="I858">
        <v>5.0754225715958102E-3</v>
      </c>
      <c r="J858">
        <v>1.0247973619913604</v>
      </c>
      <c r="N858" t="s">
        <v>1218</v>
      </c>
      <c r="O858" t="s">
        <v>1157</v>
      </c>
      <c r="Q858" t="s">
        <v>1219</v>
      </c>
    </row>
    <row r="859" spans="2:17">
      <c r="B859" t="s">
        <v>1217</v>
      </c>
      <c r="C859" t="s">
        <v>597</v>
      </c>
      <c r="D859">
        <v>3.0233595170571802E-9</v>
      </c>
      <c r="E859" t="s">
        <v>598</v>
      </c>
      <c r="H859" t="s">
        <v>588</v>
      </c>
      <c r="I859">
        <v>3.0233595170571802E-9</v>
      </c>
      <c r="J859">
        <v>1.0321280889960358</v>
      </c>
      <c r="N859" t="s">
        <v>1218</v>
      </c>
      <c r="O859" t="s">
        <v>2050</v>
      </c>
      <c r="Q859" t="s">
        <v>2409</v>
      </c>
    </row>
    <row r="860" spans="2:17">
      <c r="B860" t="s">
        <v>1217</v>
      </c>
      <c r="C860" t="s">
        <v>597</v>
      </c>
      <c r="D860">
        <v>1.44519283292641E-9</v>
      </c>
      <c r="E860" t="s">
        <v>598</v>
      </c>
      <c r="H860" t="s">
        <v>588</v>
      </c>
      <c r="I860">
        <v>1.44519283292641E-9</v>
      </c>
      <c r="J860">
        <v>1.0321280889960358</v>
      </c>
      <c r="N860" t="s">
        <v>1218</v>
      </c>
      <c r="O860" t="s">
        <v>2050</v>
      </c>
      <c r="Q860" t="s">
        <v>2409</v>
      </c>
    </row>
    <row r="861" spans="2:17">
      <c r="B861" t="s">
        <v>1217</v>
      </c>
      <c r="C861" t="s">
        <v>597</v>
      </c>
      <c r="D861">
        <v>3.8570096537825497E-9</v>
      </c>
      <c r="E861" t="s">
        <v>598</v>
      </c>
      <c r="H861" t="s">
        <v>588</v>
      </c>
      <c r="I861">
        <v>3.8570096537825497E-9</v>
      </c>
      <c r="J861">
        <v>1.0321280889960358</v>
      </c>
      <c r="N861" t="s">
        <v>1218</v>
      </c>
      <c r="O861" t="s">
        <v>2050</v>
      </c>
      <c r="Q861" t="s">
        <v>2409</v>
      </c>
    </row>
    <row r="862" spans="2:17">
      <c r="B862" t="s">
        <v>839</v>
      </c>
      <c r="C862" t="s">
        <v>597</v>
      </c>
      <c r="D862">
        <v>7.0848175510519701E-8</v>
      </c>
      <c r="E862" t="s">
        <v>598</v>
      </c>
      <c r="H862" t="s">
        <v>588</v>
      </c>
      <c r="I862">
        <v>7.0848175510519701E-8</v>
      </c>
      <c r="J862">
        <v>1.499999999999694</v>
      </c>
      <c r="N862" t="s">
        <v>843</v>
      </c>
      <c r="O862" t="s">
        <v>952</v>
      </c>
      <c r="Q862" t="s">
        <v>2416</v>
      </c>
    </row>
    <row r="863" spans="2:17">
      <c r="B863" t="s">
        <v>839</v>
      </c>
      <c r="C863" t="s">
        <v>597</v>
      </c>
      <c r="D863">
        <v>2.3872648805793998E-6</v>
      </c>
      <c r="E863" t="s">
        <v>598</v>
      </c>
      <c r="H863" t="s">
        <v>588</v>
      </c>
      <c r="I863">
        <v>2.3872648805793998E-6</v>
      </c>
      <c r="J863">
        <v>1.499999999999694</v>
      </c>
      <c r="N863" t="s">
        <v>843</v>
      </c>
      <c r="O863" t="s">
        <v>952</v>
      </c>
      <c r="Q863" t="s">
        <v>2416</v>
      </c>
    </row>
    <row r="864" spans="2:17">
      <c r="B864" t="s">
        <v>839</v>
      </c>
      <c r="C864" t="s">
        <v>597</v>
      </c>
      <c r="D864">
        <v>5.6151914854609298E-8</v>
      </c>
      <c r="E864" t="s">
        <v>598</v>
      </c>
      <c r="H864" t="s">
        <v>588</v>
      </c>
      <c r="I864">
        <v>5.6151914854609298E-8</v>
      </c>
      <c r="J864">
        <v>1</v>
      </c>
      <c r="N864" t="s">
        <v>843</v>
      </c>
      <c r="O864" t="s">
        <v>1999</v>
      </c>
      <c r="Q864" t="s">
        <v>2417</v>
      </c>
    </row>
    <row r="865" spans="2:17">
      <c r="B865" t="s">
        <v>839</v>
      </c>
      <c r="C865" t="s">
        <v>597</v>
      </c>
      <c r="D865">
        <v>1.3545013878757999E-4</v>
      </c>
      <c r="E865" t="s">
        <v>598</v>
      </c>
      <c r="H865" t="s">
        <v>588</v>
      </c>
      <c r="I865">
        <v>1.3545013878757999E-4</v>
      </c>
      <c r="J865">
        <v>1.499999999999694</v>
      </c>
      <c r="N865" t="s">
        <v>843</v>
      </c>
      <c r="O865" t="s">
        <v>952</v>
      </c>
      <c r="Q865" t="s">
        <v>2416</v>
      </c>
    </row>
    <row r="866" spans="2:17">
      <c r="B866" t="s">
        <v>839</v>
      </c>
      <c r="C866" t="s">
        <v>597</v>
      </c>
      <c r="D866">
        <v>1.5412745786449E-6</v>
      </c>
      <c r="E866" t="s">
        <v>598</v>
      </c>
      <c r="H866" t="s">
        <v>588</v>
      </c>
      <c r="I866">
        <v>1.5412745786449E-6</v>
      </c>
      <c r="J866">
        <v>1.499999999999694</v>
      </c>
      <c r="N866" t="s">
        <v>843</v>
      </c>
      <c r="O866" t="s">
        <v>952</v>
      </c>
      <c r="Q866" t="s">
        <v>2416</v>
      </c>
    </row>
    <row r="867" spans="2:17">
      <c r="B867" t="s">
        <v>839</v>
      </c>
      <c r="C867" t="s">
        <v>597</v>
      </c>
      <c r="D867">
        <v>6.2992766880472999E-7</v>
      </c>
      <c r="E867" t="s">
        <v>598</v>
      </c>
      <c r="H867" t="s">
        <v>588</v>
      </c>
      <c r="I867">
        <v>6.2992766880472999E-7</v>
      </c>
      <c r="J867">
        <v>1</v>
      </c>
      <c r="N867" t="s">
        <v>843</v>
      </c>
      <c r="O867" t="s">
        <v>1999</v>
      </c>
      <c r="Q867" t="s">
        <v>2417</v>
      </c>
    </row>
    <row r="868" spans="2:17">
      <c r="B868" t="s">
        <v>839</v>
      </c>
      <c r="C868" t="s">
        <v>597</v>
      </c>
      <c r="D868">
        <v>2.13065970312309E-9</v>
      </c>
      <c r="E868" t="s">
        <v>598</v>
      </c>
      <c r="H868" t="s">
        <v>588</v>
      </c>
      <c r="I868">
        <v>2.13065970312309E-9</v>
      </c>
      <c r="J868">
        <v>1.499999999999694</v>
      </c>
      <c r="N868" t="s">
        <v>843</v>
      </c>
      <c r="O868" t="s">
        <v>952</v>
      </c>
      <c r="Q868" t="s">
        <v>2416</v>
      </c>
    </row>
    <row r="869" spans="2:17">
      <c r="B869" t="s">
        <v>839</v>
      </c>
      <c r="C869" t="s">
        <v>597</v>
      </c>
      <c r="D869">
        <v>2.6546930699049001E-3</v>
      </c>
      <c r="E869" t="s">
        <v>598</v>
      </c>
      <c r="H869" t="s">
        <v>588</v>
      </c>
      <c r="I869">
        <v>2.6546930699049001E-3</v>
      </c>
      <c r="J869">
        <v>1.499999999999694</v>
      </c>
      <c r="N869" t="s">
        <v>840</v>
      </c>
      <c r="O869" t="s">
        <v>952</v>
      </c>
      <c r="Q869" t="s">
        <v>2416</v>
      </c>
    </row>
    <row r="870" spans="2:17">
      <c r="B870" t="s">
        <v>839</v>
      </c>
      <c r="C870" t="s">
        <v>597</v>
      </c>
      <c r="D870">
        <v>2.7494323451024601E-7</v>
      </c>
      <c r="E870" t="s">
        <v>598</v>
      </c>
      <c r="H870" t="s">
        <v>588</v>
      </c>
      <c r="I870">
        <v>2.7494323451024601E-7</v>
      </c>
      <c r="J870">
        <v>1.499999999999694</v>
      </c>
      <c r="N870" t="s">
        <v>843</v>
      </c>
      <c r="O870" t="s">
        <v>952</v>
      </c>
      <c r="Q870" t="s">
        <v>2416</v>
      </c>
    </row>
    <row r="871" spans="2:17">
      <c r="B871" t="s">
        <v>839</v>
      </c>
      <c r="C871" t="s">
        <v>597</v>
      </c>
      <c r="D871">
        <v>8.53573917917499E-7</v>
      </c>
      <c r="E871" t="s">
        <v>598</v>
      </c>
      <c r="H871" t="s">
        <v>588</v>
      </c>
      <c r="I871">
        <v>8.53573917917499E-7</v>
      </c>
      <c r="J871">
        <v>1.499999999999694</v>
      </c>
      <c r="N871" t="s">
        <v>843</v>
      </c>
      <c r="O871" t="s">
        <v>952</v>
      </c>
      <c r="Q871" t="s">
        <v>2416</v>
      </c>
    </row>
    <row r="872" spans="2:17">
      <c r="B872" t="s">
        <v>839</v>
      </c>
      <c r="C872" t="s">
        <v>597</v>
      </c>
      <c r="D872">
        <v>5.4921134876359801E-3</v>
      </c>
      <c r="E872" t="s">
        <v>598</v>
      </c>
      <c r="H872" t="s">
        <v>588</v>
      </c>
      <c r="I872">
        <v>5.4921134876359801E-3</v>
      </c>
      <c r="J872">
        <v>1.7293101253499219</v>
      </c>
      <c r="N872" t="s">
        <v>843</v>
      </c>
      <c r="O872" t="s">
        <v>1713</v>
      </c>
      <c r="Q872" t="s">
        <v>2418</v>
      </c>
    </row>
    <row r="873" spans="2:17">
      <c r="B873" t="s">
        <v>839</v>
      </c>
      <c r="C873" t="s">
        <v>597</v>
      </c>
      <c r="D873">
        <v>2.5325557018255399E-8</v>
      </c>
      <c r="E873" t="s">
        <v>598</v>
      </c>
      <c r="H873" t="s">
        <v>588</v>
      </c>
      <c r="I873">
        <v>2.5325557018255399E-8</v>
      </c>
      <c r="J873">
        <v>1.499999999999694</v>
      </c>
      <c r="N873" t="s">
        <v>843</v>
      </c>
      <c r="O873" t="s">
        <v>952</v>
      </c>
      <c r="Q873" t="s">
        <v>2416</v>
      </c>
    </row>
    <row r="874" spans="2:17">
      <c r="B874" t="s">
        <v>839</v>
      </c>
      <c r="C874" t="s">
        <v>597</v>
      </c>
      <c r="D874">
        <v>9.3583137205113004E-8</v>
      </c>
      <c r="E874" t="s">
        <v>598</v>
      </c>
      <c r="H874" t="s">
        <v>588</v>
      </c>
      <c r="I874">
        <v>9.3583137205113004E-8</v>
      </c>
      <c r="J874">
        <v>1</v>
      </c>
      <c r="N874" t="s">
        <v>843</v>
      </c>
      <c r="O874" t="s">
        <v>1999</v>
      </c>
      <c r="Q874" t="s">
        <v>2417</v>
      </c>
    </row>
    <row r="875" spans="2:17">
      <c r="B875" t="s">
        <v>839</v>
      </c>
      <c r="C875" t="s">
        <v>597</v>
      </c>
      <c r="D875">
        <v>3.5998550124695401E-7</v>
      </c>
      <c r="E875" t="s">
        <v>598</v>
      </c>
      <c r="H875" t="s">
        <v>588</v>
      </c>
      <c r="I875">
        <v>3.5998550124695401E-7</v>
      </c>
      <c r="J875">
        <v>1.499999999999694</v>
      </c>
      <c r="N875" t="s">
        <v>843</v>
      </c>
      <c r="O875" t="s">
        <v>952</v>
      </c>
      <c r="Q875" t="s">
        <v>2416</v>
      </c>
    </row>
    <row r="876" spans="2:17">
      <c r="B876" t="s">
        <v>839</v>
      </c>
      <c r="C876" t="s">
        <v>597</v>
      </c>
      <c r="D876">
        <v>6.05838102084629E-7</v>
      </c>
      <c r="E876" t="s">
        <v>598</v>
      </c>
      <c r="H876" t="s">
        <v>588</v>
      </c>
      <c r="I876">
        <v>6.05838102084629E-7</v>
      </c>
      <c r="J876">
        <v>1.499999999999694</v>
      </c>
      <c r="N876" t="s">
        <v>843</v>
      </c>
      <c r="O876" t="s">
        <v>952</v>
      </c>
      <c r="Q876" t="s">
        <v>2416</v>
      </c>
    </row>
    <row r="877" spans="2:17">
      <c r="B877" t="s">
        <v>839</v>
      </c>
      <c r="C877" t="s">
        <v>597</v>
      </c>
      <c r="D877">
        <v>1.7708134591324599E-6</v>
      </c>
      <c r="E877" t="s">
        <v>598</v>
      </c>
      <c r="H877" t="s">
        <v>588</v>
      </c>
      <c r="I877">
        <v>1.7708134591324599E-6</v>
      </c>
      <c r="J877">
        <v>1</v>
      </c>
      <c r="N877" t="s">
        <v>843</v>
      </c>
      <c r="O877" t="s">
        <v>1999</v>
      </c>
      <c r="Q877" t="s">
        <v>2417</v>
      </c>
    </row>
    <row r="878" spans="2:17">
      <c r="B878" t="s">
        <v>839</v>
      </c>
      <c r="C878" t="s">
        <v>597</v>
      </c>
      <c r="D878">
        <v>8.5087310743606997E-7</v>
      </c>
      <c r="E878" t="s">
        <v>598</v>
      </c>
      <c r="H878" t="s">
        <v>588</v>
      </c>
      <c r="I878">
        <v>8.5087310743606997E-7</v>
      </c>
      <c r="J878">
        <v>1</v>
      </c>
      <c r="N878" t="s">
        <v>843</v>
      </c>
      <c r="O878" t="s">
        <v>1999</v>
      </c>
      <c r="Q878" t="s">
        <v>2417</v>
      </c>
    </row>
    <row r="879" spans="2:17">
      <c r="B879" t="s">
        <v>839</v>
      </c>
      <c r="C879" t="s">
        <v>597</v>
      </c>
      <c r="D879">
        <v>3.6450142123738601E-8</v>
      </c>
      <c r="E879" t="s">
        <v>598</v>
      </c>
      <c r="H879" t="s">
        <v>588</v>
      </c>
      <c r="I879">
        <v>3.6450142123738601E-8</v>
      </c>
      <c r="J879">
        <v>1</v>
      </c>
      <c r="N879" t="s">
        <v>843</v>
      </c>
      <c r="O879" t="s">
        <v>1999</v>
      </c>
      <c r="Q879" t="s">
        <v>2417</v>
      </c>
    </row>
    <row r="880" spans="2:17">
      <c r="B880" t="s">
        <v>839</v>
      </c>
      <c r="C880" t="s">
        <v>597</v>
      </c>
      <c r="D880">
        <v>7.3084627870172901E-7</v>
      </c>
      <c r="E880" t="s">
        <v>598</v>
      </c>
      <c r="H880" t="s">
        <v>588</v>
      </c>
      <c r="I880">
        <v>7.3084627870172901E-7</v>
      </c>
      <c r="J880">
        <v>1</v>
      </c>
      <c r="N880" t="s">
        <v>843</v>
      </c>
      <c r="O880" t="s">
        <v>1999</v>
      </c>
      <c r="Q880" t="s">
        <v>2417</v>
      </c>
    </row>
    <row r="881" spans="2:17">
      <c r="B881" t="s">
        <v>839</v>
      </c>
      <c r="C881" t="s">
        <v>597</v>
      </c>
      <c r="D881">
        <v>8.2597735379117199E-7</v>
      </c>
      <c r="E881" t="s">
        <v>598</v>
      </c>
      <c r="H881" t="s">
        <v>588</v>
      </c>
      <c r="I881">
        <v>8.2597735379117199E-7</v>
      </c>
      <c r="J881">
        <v>1.499999999999694</v>
      </c>
      <c r="N881" t="s">
        <v>843</v>
      </c>
      <c r="O881" t="s">
        <v>952</v>
      </c>
      <c r="Q881" t="s">
        <v>2416</v>
      </c>
    </row>
    <row r="882" spans="2:17">
      <c r="B882" t="s">
        <v>839</v>
      </c>
      <c r="C882" t="s">
        <v>597</v>
      </c>
      <c r="D882">
        <v>8.9395426744198301E-8</v>
      </c>
      <c r="E882" t="s">
        <v>598</v>
      </c>
      <c r="H882" t="s">
        <v>588</v>
      </c>
      <c r="I882">
        <v>8.9395426744198301E-8</v>
      </c>
      <c r="J882">
        <v>1.499999999999694</v>
      </c>
      <c r="N882" t="s">
        <v>843</v>
      </c>
      <c r="O882" t="s">
        <v>952</v>
      </c>
      <c r="Q882" t="s">
        <v>2416</v>
      </c>
    </row>
    <row r="883" spans="2:17">
      <c r="B883" t="s">
        <v>839</v>
      </c>
      <c r="C883" t="s">
        <v>597</v>
      </c>
      <c r="D883">
        <v>2.8166619140606799E-4</v>
      </c>
      <c r="E883" t="s">
        <v>598</v>
      </c>
      <c r="H883" t="s">
        <v>588</v>
      </c>
      <c r="I883">
        <v>2.8166619140606799E-4</v>
      </c>
      <c r="J883">
        <v>1.0247973619913604</v>
      </c>
      <c r="N883" t="s">
        <v>840</v>
      </c>
      <c r="O883" t="s">
        <v>972</v>
      </c>
      <c r="Q883" t="s">
        <v>2419</v>
      </c>
    </row>
    <row r="884" spans="2:17">
      <c r="B884" t="s">
        <v>839</v>
      </c>
      <c r="C884" t="s">
        <v>597</v>
      </c>
      <c r="D884">
        <v>6.1443302949226903E-7</v>
      </c>
      <c r="E884" t="s">
        <v>598</v>
      </c>
      <c r="H884" t="s">
        <v>588</v>
      </c>
      <c r="I884">
        <v>6.1443302949226903E-7</v>
      </c>
      <c r="J884">
        <v>1</v>
      </c>
      <c r="N884" t="s">
        <v>843</v>
      </c>
      <c r="O884" t="s">
        <v>1999</v>
      </c>
      <c r="Q884" t="s">
        <v>2417</v>
      </c>
    </row>
    <row r="885" spans="2:17">
      <c r="B885" t="s">
        <v>839</v>
      </c>
      <c r="C885" t="s">
        <v>597</v>
      </c>
      <c r="D885">
        <v>2.2505864668908901E-6</v>
      </c>
      <c r="E885" t="s">
        <v>598</v>
      </c>
      <c r="H885" t="s">
        <v>588</v>
      </c>
      <c r="I885">
        <v>2.2505864668908901E-6</v>
      </c>
      <c r="J885">
        <v>1</v>
      </c>
      <c r="N885" t="s">
        <v>843</v>
      </c>
      <c r="O885" t="s">
        <v>1999</v>
      </c>
      <c r="Q885" t="s">
        <v>2417</v>
      </c>
    </row>
    <row r="886" spans="2:17">
      <c r="B886" t="s">
        <v>839</v>
      </c>
      <c r="C886" t="s">
        <v>597</v>
      </c>
      <c r="D886">
        <v>6.6052644892982701E-7</v>
      </c>
      <c r="E886" t="s">
        <v>598</v>
      </c>
      <c r="H886" t="s">
        <v>588</v>
      </c>
      <c r="I886">
        <v>6.6052644892982701E-7</v>
      </c>
      <c r="J886">
        <v>1</v>
      </c>
      <c r="N886" t="s">
        <v>843</v>
      </c>
      <c r="O886" t="s">
        <v>1999</v>
      </c>
      <c r="Q886" t="s">
        <v>2417</v>
      </c>
    </row>
    <row r="887" spans="2:17">
      <c r="B887" t="s">
        <v>839</v>
      </c>
      <c r="C887" t="s">
        <v>597</v>
      </c>
      <c r="D887">
        <v>4.9629697477346798E-7</v>
      </c>
      <c r="E887" t="s">
        <v>598</v>
      </c>
      <c r="H887" t="s">
        <v>588</v>
      </c>
      <c r="I887">
        <v>4.9629697477346798E-7</v>
      </c>
      <c r="J887">
        <v>1</v>
      </c>
      <c r="N887" t="s">
        <v>843</v>
      </c>
      <c r="O887" t="s">
        <v>1999</v>
      </c>
      <c r="Q887" t="s">
        <v>2417</v>
      </c>
    </row>
    <row r="888" spans="2:17">
      <c r="B888" t="s">
        <v>839</v>
      </c>
      <c r="C888" t="s">
        <v>597</v>
      </c>
      <c r="D888">
        <v>1.29231713219877E-5</v>
      </c>
      <c r="E888" t="s">
        <v>598</v>
      </c>
      <c r="H888" t="s">
        <v>588</v>
      </c>
      <c r="I888">
        <v>1.29231713219877E-5</v>
      </c>
      <c r="J888">
        <v>1.499999999999694</v>
      </c>
      <c r="N888" t="s">
        <v>843</v>
      </c>
      <c r="O888" t="s">
        <v>952</v>
      </c>
      <c r="Q888" t="s">
        <v>2416</v>
      </c>
    </row>
    <row r="889" spans="2:17">
      <c r="B889" t="s">
        <v>839</v>
      </c>
      <c r="C889" t="s">
        <v>597</v>
      </c>
      <c r="D889">
        <v>4.1472238637584299E-2</v>
      </c>
      <c r="E889" t="s">
        <v>598</v>
      </c>
      <c r="H889" t="s">
        <v>588</v>
      </c>
      <c r="I889">
        <v>4.1472238637584299E-2</v>
      </c>
      <c r="J889">
        <v>1.1891099436471448</v>
      </c>
      <c r="N889" t="s">
        <v>840</v>
      </c>
      <c r="O889" t="s">
        <v>2420</v>
      </c>
      <c r="Q889" t="s">
        <v>600</v>
      </c>
    </row>
    <row r="890" spans="2:17">
      <c r="B890" t="s">
        <v>839</v>
      </c>
      <c r="C890" t="s">
        <v>597</v>
      </c>
      <c r="D890">
        <v>1.4937900966133199E-7</v>
      </c>
      <c r="E890" t="s">
        <v>598</v>
      </c>
      <c r="H890" t="s">
        <v>588</v>
      </c>
      <c r="I890">
        <v>1.4937900966133199E-7</v>
      </c>
      <c r="J890">
        <v>1.499999999999694</v>
      </c>
      <c r="N890" t="s">
        <v>843</v>
      </c>
      <c r="O890" t="s">
        <v>952</v>
      </c>
      <c r="Q890" t="s">
        <v>2416</v>
      </c>
    </row>
    <row r="891" spans="2:17">
      <c r="B891" t="s">
        <v>839</v>
      </c>
      <c r="C891" t="s">
        <v>597</v>
      </c>
      <c r="D891">
        <v>1.3529299808283001E-6</v>
      </c>
      <c r="E891" t="s">
        <v>598</v>
      </c>
      <c r="H891" t="s">
        <v>588</v>
      </c>
      <c r="I891">
        <v>1.3529299808283001E-6</v>
      </c>
      <c r="J891">
        <v>1.499999999999694</v>
      </c>
      <c r="N891" t="s">
        <v>843</v>
      </c>
      <c r="O891" t="s">
        <v>952</v>
      </c>
      <c r="Q891" t="s">
        <v>2416</v>
      </c>
    </row>
    <row r="892" spans="2:17">
      <c r="B892" t="s">
        <v>839</v>
      </c>
      <c r="C892" t="s">
        <v>597</v>
      </c>
      <c r="D892">
        <v>5.5472983256684998E-8</v>
      </c>
      <c r="E892" t="s">
        <v>598</v>
      </c>
      <c r="H892" t="s">
        <v>588</v>
      </c>
      <c r="I892">
        <v>5.5472983256684998E-8</v>
      </c>
      <c r="J892">
        <v>1.499999999999694</v>
      </c>
      <c r="N892" t="s">
        <v>843</v>
      </c>
      <c r="O892" t="s">
        <v>952</v>
      </c>
      <c r="Q892" t="s">
        <v>2416</v>
      </c>
    </row>
    <row r="893" spans="2:17">
      <c r="B893" t="s">
        <v>839</v>
      </c>
      <c r="C893" t="s">
        <v>597</v>
      </c>
      <c r="D893">
        <v>2.36652492791602E-7</v>
      </c>
      <c r="E893" t="s">
        <v>598</v>
      </c>
      <c r="H893" t="s">
        <v>588</v>
      </c>
      <c r="I893">
        <v>2.36652492791602E-7</v>
      </c>
      <c r="J893">
        <v>1</v>
      </c>
      <c r="N893" t="s">
        <v>843</v>
      </c>
      <c r="O893" t="s">
        <v>1999</v>
      </c>
      <c r="Q893" t="s">
        <v>2417</v>
      </c>
    </row>
    <row r="894" spans="2:17">
      <c r="B894" t="s">
        <v>839</v>
      </c>
      <c r="C894" t="s">
        <v>597</v>
      </c>
      <c r="D894">
        <v>1.1159098064126001E-5</v>
      </c>
      <c r="E894" t="s">
        <v>598</v>
      </c>
      <c r="H894" t="s">
        <v>588</v>
      </c>
      <c r="I894">
        <v>1.1159098064126001E-5</v>
      </c>
      <c r="J894">
        <v>1</v>
      </c>
      <c r="N894" t="s">
        <v>843</v>
      </c>
      <c r="O894" t="s">
        <v>1999</v>
      </c>
      <c r="Q894" t="s">
        <v>2417</v>
      </c>
    </row>
    <row r="895" spans="2:17">
      <c r="B895" t="s">
        <v>839</v>
      </c>
      <c r="C895" t="s">
        <v>597</v>
      </c>
      <c r="D895">
        <v>6.6950416555608197E-7</v>
      </c>
      <c r="E895" t="s">
        <v>598</v>
      </c>
      <c r="H895" t="s">
        <v>588</v>
      </c>
      <c r="I895">
        <v>6.6950416555608197E-7</v>
      </c>
      <c r="J895">
        <v>1</v>
      </c>
      <c r="N895" t="s">
        <v>843</v>
      </c>
      <c r="O895" t="s">
        <v>1999</v>
      </c>
      <c r="Q895" t="s">
        <v>2417</v>
      </c>
    </row>
    <row r="896" spans="2:17">
      <c r="B896" t="s">
        <v>839</v>
      </c>
      <c r="C896" t="s">
        <v>597</v>
      </c>
      <c r="D896">
        <v>1.3099058524842099E-7</v>
      </c>
      <c r="E896" t="s">
        <v>598</v>
      </c>
      <c r="H896" t="s">
        <v>588</v>
      </c>
      <c r="I896">
        <v>1.3099058524842099E-7</v>
      </c>
      <c r="J896">
        <v>1.499999999999694</v>
      </c>
      <c r="N896" t="s">
        <v>843</v>
      </c>
      <c r="O896" t="s">
        <v>952</v>
      </c>
      <c r="Q896" t="s">
        <v>2416</v>
      </c>
    </row>
    <row r="897" spans="2:17">
      <c r="B897" t="s">
        <v>839</v>
      </c>
      <c r="C897" t="s">
        <v>597</v>
      </c>
      <c r="D897">
        <v>1.3931564578068601E-6</v>
      </c>
      <c r="E897" t="s">
        <v>598</v>
      </c>
      <c r="H897" t="s">
        <v>588</v>
      </c>
      <c r="I897">
        <v>1.3931564578068601E-6</v>
      </c>
      <c r="J897">
        <v>1.499999999999694</v>
      </c>
      <c r="N897" t="s">
        <v>843</v>
      </c>
      <c r="O897" t="s">
        <v>952</v>
      </c>
      <c r="Q897" t="s">
        <v>2416</v>
      </c>
    </row>
    <row r="898" spans="2:17">
      <c r="B898" t="s">
        <v>839</v>
      </c>
      <c r="C898" t="s">
        <v>597</v>
      </c>
      <c r="D898">
        <v>2.09079185685078E-4</v>
      </c>
      <c r="E898" t="s">
        <v>598</v>
      </c>
      <c r="H898" t="s">
        <v>588</v>
      </c>
      <c r="I898">
        <v>2.09079185685078E-4</v>
      </c>
      <c r="J898">
        <v>1.499999999999694</v>
      </c>
      <c r="N898" t="s">
        <v>843</v>
      </c>
      <c r="O898" t="s">
        <v>952</v>
      </c>
      <c r="Q898" t="s">
        <v>2416</v>
      </c>
    </row>
    <row r="899" spans="2:17">
      <c r="B899" t="s">
        <v>839</v>
      </c>
      <c r="C899" t="s">
        <v>597</v>
      </c>
      <c r="D899">
        <v>4.7733645825406602E-7</v>
      </c>
      <c r="E899" t="s">
        <v>598</v>
      </c>
      <c r="H899" t="s">
        <v>588</v>
      </c>
      <c r="I899">
        <v>4.7733645825406602E-7</v>
      </c>
      <c r="J899">
        <v>1.499999999999694</v>
      </c>
      <c r="N899" t="s">
        <v>843</v>
      </c>
      <c r="O899" t="s">
        <v>952</v>
      </c>
      <c r="Q899" t="s">
        <v>2416</v>
      </c>
    </row>
    <row r="900" spans="2:17">
      <c r="B900" t="s">
        <v>839</v>
      </c>
      <c r="C900" t="s">
        <v>597</v>
      </c>
      <c r="D900">
        <v>3.1936667826032499E-7</v>
      </c>
      <c r="E900" t="s">
        <v>598</v>
      </c>
      <c r="H900" t="s">
        <v>588</v>
      </c>
      <c r="I900">
        <v>3.1936667826032499E-7</v>
      </c>
      <c r="J900">
        <v>1</v>
      </c>
      <c r="N900" t="s">
        <v>843</v>
      </c>
      <c r="O900" t="s">
        <v>1999</v>
      </c>
      <c r="Q900" t="s">
        <v>2417</v>
      </c>
    </row>
    <row r="901" spans="2:17">
      <c r="B901" t="s">
        <v>839</v>
      </c>
      <c r="C901" t="s">
        <v>597</v>
      </c>
      <c r="D901">
        <v>2.04196705111866E-7</v>
      </c>
      <c r="E901" t="s">
        <v>598</v>
      </c>
      <c r="H901" t="s">
        <v>588</v>
      </c>
      <c r="I901">
        <v>2.04196705111866E-7</v>
      </c>
      <c r="J901">
        <v>1.499999999999694</v>
      </c>
      <c r="N901" t="s">
        <v>843</v>
      </c>
      <c r="O901" t="s">
        <v>952</v>
      </c>
      <c r="Q901" t="s">
        <v>2416</v>
      </c>
    </row>
    <row r="902" spans="2:17">
      <c r="B902" t="s">
        <v>839</v>
      </c>
      <c r="C902" t="s">
        <v>597</v>
      </c>
      <c r="D902">
        <v>1.13523623941425E-7</v>
      </c>
      <c r="E902" t="s">
        <v>598</v>
      </c>
      <c r="H902" t="s">
        <v>588</v>
      </c>
      <c r="I902">
        <v>1.13523623941425E-7</v>
      </c>
      <c r="J902">
        <v>1</v>
      </c>
      <c r="N902" t="s">
        <v>843</v>
      </c>
      <c r="O902" t="s">
        <v>1999</v>
      </c>
      <c r="Q902" t="s">
        <v>2417</v>
      </c>
    </row>
    <row r="903" spans="2:17">
      <c r="B903" t="s">
        <v>839</v>
      </c>
      <c r="C903" t="s">
        <v>597</v>
      </c>
      <c r="D903">
        <v>3.12188195575704E-7</v>
      </c>
      <c r="E903" t="s">
        <v>598</v>
      </c>
      <c r="H903" t="s">
        <v>588</v>
      </c>
      <c r="I903">
        <v>3.12188195575704E-7</v>
      </c>
      <c r="J903">
        <v>1</v>
      </c>
      <c r="N903" t="s">
        <v>843</v>
      </c>
      <c r="O903" t="s">
        <v>1999</v>
      </c>
      <c r="Q903" t="s">
        <v>2417</v>
      </c>
    </row>
    <row r="904" spans="2:17">
      <c r="B904" t="s">
        <v>839</v>
      </c>
      <c r="C904" t="s">
        <v>597</v>
      </c>
      <c r="D904">
        <v>9.2926271044114202E-8</v>
      </c>
      <c r="E904" t="s">
        <v>598</v>
      </c>
      <c r="H904" t="s">
        <v>588</v>
      </c>
      <c r="I904">
        <v>9.2926271044114202E-8</v>
      </c>
      <c r="J904">
        <v>1</v>
      </c>
      <c r="N904" t="s">
        <v>843</v>
      </c>
      <c r="O904" t="s">
        <v>1999</v>
      </c>
      <c r="Q904" t="s">
        <v>2417</v>
      </c>
    </row>
    <row r="905" spans="2:17">
      <c r="B905" t="s">
        <v>839</v>
      </c>
      <c r="C905" t="s">
        <v>597</v>
      </c>
      <c r="D905">
        <v>1.40057827095561E-6</v>
      </c>
      <c r="E905" t="s">
        <v>598</v>
      </c>
      <c r="H905" t="s">
        <v>588</v>
      </c>
      <c r="I905">
        <v>1.40057827095561E-6</v>
      </c>
      <c r="J905">
        <v>1.499999999999694</v>
      </c>
      <c r="N905" t="s">
        <v>843</v>
      </c>
      <c r="O905" t="s">
        <v>952</v>
      </c>
      <c r="Q905" t="s">
        <v>2416</v>
      </c>
    </row>
    <row r="906" spans="2:17">
      <c r="B906" t="s">
        <v>839</v>
      </c>
      <c r="C906" t="s">
        <v>597</v>
      </c>
      <c r="D906">
        <v>8.5923311246960699E-8</v>
      </c>
      <c r="E906" t="s">
        <v>598</v>
      </c>
      <c r="H906" t="s">
        <v>588</v>
      </c>
      <c r="I906">
        <v>8.5923311246960699E-8</v>
      </c>
      <c r="J906">
        <v>1.499999999999694</v>
      </c>
      <c r="N906" t="s">
        <v>843</v>
      </c>
      <c r="O906" t="s">
        <v>952</v>
      </c>
      <c r="Q906" t="s">
        <v>2416</v>
      </c>
    </row>
    <row r="907" spans="2:17">
      <c r="B907" t="s">
        <v>839</v>
      </c>
      <c r="C907" t="s">
        <v>597</v>
      </c>
      <c r="D907">
        <v>1.5176148231010799E-2</v>
      </c>
      <c r="E907" t="s">
        <v>598</v>
      </c>
      <c r="H907" t="s">
        <v>588</v>
      </c>
      <c r="I907">
        <v>1.5176148231010799E-2</v>
      </c>
      <c r="J907">
        <v>1.499999999999694</v>
      </c>
      <c r="N907" t="s">
        <v>840</v>
      </c>
      <c r="O907" t="s">
        <v>952</v>
      </c>
      <c r="Q907" t="s">
        <v>2416</v>
      </c>
    </row>
    <row r="908" spans="2:17">
      <c r="B908" t="s">
        <v>839</v>
      </c>
      <c r="C908" t="s">
        <v>597</v>
      </c>
      <c r="D908">
        <v>2.36670219307894E-4</v>
      </c>
      <c r="E908" t="s">
        <v>598</v>
      </c>
      <c r="H908" t="s">
        <v>588</v>
      </c>
      <c r="I908">
        <v>2.36670219307894E-4</v>
      </c>
      <c r="J908">
        <v>1</v>
      </c>
      <c r="N908" t="s">
        <v>843</v>
      </c>
      <c r="O908" t="s">
        <v>1082</v>
      </c>
      <c r="Q908" t="s">
        <v>2421</v>
      </c>
    </row>
    <row r="909" spans="2:17">
      <c r="B909" t="s">
        <v>839</v>
      </c>
      <c r="C909" t="s">
        <v>597</v>
      </c>
      <c r="D909">
        <v>4.2954266463577697E-6</v>
      </c>
      <c r="E909" t="s">
        <v>598</v>
      </c>
      <c r="H909" t="s">
        <v>588</v>
      </c>
      <c r="I909">
        <v>4.2954266463577697E-6</v>
      </c>
      <c r="J909">
        <v>1</v>
      </c>
      <c r="N909" t="s">
        <v>843</v>
      </c>
      <c r="O909" t="s">
        <v>1999</v>
      </c>
      <c r="Q909" t="s">
        <v>2417</v>
      </c>
    </row>
    <row r="910" spans="2:17">
      <c r="B910" t="s">
        <v>839</v>
      </c>
      <c r="C910" t="s">
        <v>597</v>
      </c>
      <c r="D910">
        <v>5.1458717434787499E-2</v>
      </c>
      <c r="E910" t="s">
        <v>598</v>
      </c>
      <c r="H910" t="s">
        <v>588</v>
      </c>
      <c r="I910">
        <v>5.1458717434787499E-2</v>
      </c>
      <c r="J910">
        <v>1.499999999999694</v>
      </c>
      <c r="N910" t="s">
        <v>843</v>
      </c>
      <c r="O910" t="s">
        <v>952</v>
      </c>
      <c r="Q910" t="s">
        <v>2416</v>
      </c>
    </row>
    <row r="911" spans="2:17">
      <c r="B911" t="s">
        <v>839</v>
      </c>
      <c r="C911" t="s">
        <v>597</v>
      </c>
      <c r="D911">
        <v>2.46344952022656E-7</v>
      </c>
      <c r="E911" t="s">
        <v>598</v>
      </c>
      <c r="H911" t="s">
        <v>588</v>
      </c>
      <c r="I911">
        <v>2.46344952022656E-7</v>
      </c>
      <c r="J911">
        <v>1</v>
      </c>
      <c r="N911" t="s">
        <v>843</v>
      </c>
      <c r="O911" t="s">
        <v>1999</v>
      </c>
      <c r="Q911" t="s">
        <v>2417</v>
      </c>
    </row>
    <row r="912" spans="2:17">
      <c r="B912" t="s">
        <v>839</v>
      </c>
      <c r="C912" t="s">
        <v>597</v>
      </c>
      <c r="D912">
        <v>5.3999825416318698E-3</v>
      </c>
      <c r="E912" t="s">
        <v>598</v>
      </c>
      <c r="H912" t="s">
        <v>588</v>
      </c>
      <c r="I912">
        <v>5.3999825416318698E-3</v>
      </c>
      <c r="J912">
        <v>1.499999999999694</v>
      </c>
      <c r="N912" t="s">
        <v>840</v>
      </c>
      <c r="O912" t="s">
        <v>952</v>
      </c>
      <c r="Q912" t="s">
        <v>2416</v>
      </c>
    </row>
    <row r="913" spans="2:17">
      <c r="B913" t="s">
        <v>839</v>
      </c>
      <c r="C913" t="s">
        <v>597</v>
      </c>
      <c r="D913">
        <v>3.3303912665826401E-7</v>
      </c>
      <c r="E913" t="s">
        <v>598</v>
      </c>
      <c r="H913" t="s">
        <v>588</v>
      </c>
      <c r="I913">
        <v>3.3303912665826401E-7</v>
      </c>
      <c r="J913">
        <v>1.499999999999694</v>
      </c>
      <c r="N913" t="s">
        <v>843</v>
      </c>
      <c r="O913" t="s">
        <v>952</v>
      </c>
      <c r="Q913" t="s">
        <v>2416</v>
      </c>
    </row>
    <row r="914" spans="2:17">
      <c r="B914" t="s">
        <v>839</v>
      </c>
      <c r="C914" t="s">
        <v>597</v>
      </c>
      <c r="D914">
        <v>6.4199038195875299E-7</v>
      </c>
      <c r="E914" t="s">
        <v>598</v>
      </c>
      <c r="H914" t="s">
        <v>588</v>
      </c>
      <c r="I914">
        <v>6.4199038195875299E-7</v>
      </c>
      <c r="J914">
        <v>1</v>
      </c>
      <c r="N914" t="s">
        <v>843</v>
      </c>
      <c r="O914" t="s">
        <v>1999</v>
      </c>
      <c r="Q914" t="s">
        <v>2417</v>
      </c>
    </row>
    <row r="915" spans="2:17">
      <c r="B915" t="s">
        <v>839</v>
      </c>
      <c r="C915" t="s">
        <v>597</v>
      </c>
      <c r="D915">
        <v>4.3370657897047102E-7</v>
      </c>
      <c r="E915" t="s">
        <v>598</v>
      </c>
      <c r="H915" t="s">
        <v>588</v>
      </c>
      <c r="I915">
        <v>4.3370657897047102E-7</v>
      </c>
      <c r="J915">
        <v>1</v>
      </c>
      <c r="N915" t="s">
        <v>843</v>
      </c>
      <c r="O915" t="s">
        <v>1999</v>
      </c>
      <c r="Q915" t="s">
        <v>2417</v>
      </c>
    </row>
    <row r="916" spans="2:17">
      <c r="B916" t="s">
        <v>839</v>
      </c>
      <c r="C916" t="s">
        <v>597</v>
      </c>
      <c r="D916">
        <v>9.3928681686817302E-8</v>
      </c>
      <c r="E916" t="s">
        <v>598</v>
      </c>
      <c r="H916" t="s">
        <v>588</v>
      </c>
      <c r="I916">
        <v>9.3928681686817302E-8</v>
      </c>
      <c r="J916">
        <v>1</v>
      </c>
      <c r="N916" t="s">
        <v>843</v>
      </c>
      <c r="O916" t="s">
        <v>1999</v>
      </c>
      <c r="Q916" t="s">
        <v>2417</v>
      </c>
    </row>
    <row r="917" spans="2:17">
      <c r="B917" t="s">
        <v>839</v>
      </c>
      <c r="C917" t="s">
        <v>597</v>
      </c>
      <c r="D917">
        <v>4.3981627847574101E-7</v>
      </c>
      <c r="E917" t="s">
        <v>598</v>
      </c>
      <c r="H917" t="s">
        <v>588</v>
      </c>
      <c r="I917">
        <v>4.3981627847574101E-7</v>
      </c>
      <c r="J917">
        <v>1.499999999999694</v>
      </c>
      <c r="N917" t="s">
        <v>843</v>
      </c>
      <c r="O917" t="s">
        <v>952</v>
      </c>
      <c r="Q917" t="s">
        <v>2416</v>
      </c>
    </row>
    <row r="918" spans="2:17">
      <c r="B918" t="s">
        <v>839</v>
      </c>
      <c r="C918" t="s">
        <v>597</v>
      </c>
      <c r="D918">
        <v>2.8605735160989298E-7</v>
      </c>
      <c r="E918" t="s">
        <v>598</v>
      </c>
      <c r="H918" t="s">
        <v>588</v>
      </c>
      <c r="I918">
        <v>2.8605735160989298E-7</v>
      </c>
      <c r="J918">
        <v>1.499999999999694</v>
      </c>
      <c r="N918" t="s">
        <v>843</v>
      </c>
      <c r="O918" t="s">
        <v>952</v>
      </c>
      <c r="Q918" t="s">
        <v>2416</v>
      </c>
    </row>
    <row r="919" spans="2:17">
      <c r="B919" t="s">
        <v>839</v>
      </c>
      <c r="C919" t="s">
        <v>597</v>
      </c>
      <c r="D919">
        <v>1.1284042926262099E-6</v>
      </c>
      <c r="E919" t="s">
        <v>598</v>
      </c>
      <c r="H919" t="s">
        <v>588</v>
      </c>
      <c r="I919">
        <v>1.1284042926262099E-6</v>
      </c>
      <c r="J919">
        <v>1</v>
      </c>
      <c r="N919" t="s">
        <v>843</v>
      </c>
      <c r="O919" t="s">
        <v>1999</v>
      </c>
      <c r="Q919" t="s">
        <v>2417</v>
      </c>
    </row>
    <row r="920" spans="2:17">
      <c r="B920" t="s">
        <v>839</v>
      </c>
      <c r="C920" t="s">
        <v>597</v>
      </c>
      <c r="D920">
        <v>5.06557004882183E-8</v>
      </c>
      <c r="E920" t="s">
        <v>598</v>
      </c>
      <c r="H920" t="s">
        <v>588</v>
      </c>
      <c r="I920">
        <v>5.06557004882183E-8</v>
      </c>
      <c r="J920">
        <v>1.499999999999694</v>
      </c>
      <c r="N920" t="s">
        <v>843</v>
      </c>
      <c r="O920" t="s">
        <v>952</v>
      </c>
      <c r="Q920" t="s">
        <v>2416</v>
      </c>
    </row>
    <row r="921" spans="2:17">
      <c r="B921" t="s">
        <v>839</v>
      </c>
      <c r="C921" t="s">
        <v>597</v>
      </c>
      <c r="D921">
        <v>3.4757106643168498E-7</v>
      </c>
      <c r="E921" t="s">
        <v>598</v>
      </c>
      <c r="H921" t="s">
        <v>588</v>
      </c>
      <c r="I921">
        <v>3.4757106643168498E-7</v>
      </c>
      <c r="J921">
        <v>1.499999999999694</v>
      </c>
      <c r="N921" t="s">
        <v>843</v>
      </c>
      <c r="O921" t="s">
        <v>952</v>
      </c>
      <c r="Q921" t="s">
        <v>2416</v>
      </c>
    </row>
    <row r="922" spans="2:17">
      <c r="B922" t="s">
        <v>839</v>
      </c>
      <c r="C922" t="s">
        <v>597</v>
      </c>
      <c r="D922">
        <v>3.2140708005997302E-7</v>
      </c>
      <c r="E922" t="s">
        <v>598</v>
      </c>
      <c r="H922" t="s">
        <v>588</v>
      </c>
      <c r="I922">
        <v>3.2140708005997302E-7</v>
      </c>
      <c r="J922">
        <v>1.499999999999694</v>
      </c>
      <c r="N922" t="s">
        <v>843</v>
      </c>
      <c r="O922" t="s">
        <v>952</v>
      </c>
      <c r="Q922" t="s">
        <v>2416</v>
      </c>
    </row>
    <row r="923" spans="2:17">
      <c r="B923" t="s">
        <v>839</v>
      </c>
      <c r="C923" t="s">
        <v>597</v>
      </c>
      <c r="D923">
        <v>9.0278681473927804E-4</v>
      </c>
      <c r="E923" t="s">
        <v>598</v>
      </c>
      <c r="H923" t="s">
        <v>588</v>
      </c>
      <c r="I923">
        <v>9.0278681473927804E-4</v>
      </c>
      <c r="J923">
        <v>1.0247973619913604</v>
      </c>
      <c r="N923" t="s">
        <v>840</v>
      </c>
      <c r="O923" t="s">
        <v>2422</v>
      </c>
    </row>
    <row r="924" spans="2:17">
      <c r="B924" t="s">
        <v>839</v>
      </c>
      <c r="C924" t="s">
        <v>597</v>
      </c>
      <c r="D924">
        <v>7.2962626037729297E-7</v>
      </c>
      <c r="E924" t="s">
        <v>598</v>
      </c>
      <c r="H924" t="s">
        <v>588</v>
      </c>
      <c r="I924">
        <v>7.2962626037729297E-7</v>
      </c>
      <c r="J924">
        <v>1.499999999999694</v>
      </c>
      <c r="N924" t="s">
        <v>843</v>
      </c>
      <c r="O924" t="s">
        <v>952</v>
      </c>
      <c r="Q924" t="s">
        <v>2416</v>
      </c>
    </row>
    <row r="925" spans="2:17">
      <c r="B925" t="s">
        <v>839</v>
      </c>
      <c r="C925" t="s">
        <v>597</v>
      </c>
      <c r="D925">
        <v>3.4531826080883201E-3</v>
      </c>
      <c r="E925" t="s">
        <v>598</v>
      </c>
      <c r="H925" t="s">
        <v>588</v>
      </c>
      <c r="I925">
        <v>3.4531826080883201E-3</v>
      </c>
      <c r="J925">
        <v>1.0247973619913604</v>
      </c>
      <c r="N925" t="s">
        <v>840</v>
      </c>
      <c r="O925" t="s">
        <v>798</v>
      </c>
    </row>
    <row r="926" spans="2:17">
      <c r="B926" t="s">
        <v>839</v>
      </c>
      <c r="C926" t="s">
        <v>597</v>
      </c>
      <c r="D926">
        <v>2.7183545862527299E-5</v>
      </c>
      <c r="E926" t="s">
        <v>598</v>
      </c>
      <c r="H926" t="s">
        <v>588</v>
      </c>
      <c r="I926">
        <v>2.7183545862527299E-5</v>
      </c>
      <c r="J926">
        <v>1.0247973619913604</v>
      </c>
      <c r="N926" t="s">
        <v>840</v>
      </c>
      <c r="O926" t="s">
        <v>1140</v>
      </c>
      <c r="Q926" t="s">
        <v>2423</v>
      </c>
    </row>
    <row r="927" spans="2:17">
      <c r="B927" t="s">
        <v>839</v>
      </c>
      <c r="C927" t="s">
        <v>597</v>
      </c>
      <c r="D927">
        <v>1.75392451849071E-3</v>
      </c>
      <c r="E927" t="s">
        <v>598</v>
      </c>
      <c r="H927" t="s">
        <v>588</v>
      </c>
      <c r="I927">
        <v>1.75392451849071E-3</v>
      </c>
      <c r="J927">
        <v>1</v>
      </c>
      <c r="N927" t="s">
        <v>843</v>
      </c>
      <c r="O927" t="s">
        <v>589</v>
      </c>
      <c r="Q927" t="s">
        <v>2417</v>
      </c>
    </row>
    <row r="928" spans="2:17">
      <c r="B928" t="s">
        <v>839</v>
      </c>
      <c r="C928" t="s">
        <v>597</v>
      </c>
      <c r="D928">
        <v>5.8995593079680701E-8</v>
      </c>
      <c r="E928" t="s">
        <v>598</v>
      </c>
      <c r="H928" t="s">
        <v>588</v>
      </c>
      <c r="I928">
        <v>5.8995593079680701E-8</v>
      </c>
      <c r="J928">
        <v>1.499999999999694</v>
      </c>
      <c r="N928" t="s">
        <v>843</v>
      </c>
      <c r="O928" t="s">
        <v>952</v>
      </c>
      <c r="Q928" t="s">
        <v>2416</v>
      </c>
    </row>
    <row r="929" spans="2:17">
      <c r="B929" t="s">
        <v>839</v>
      </c>
      <c r="C929" t="s">
        <v>597</v>
      </c>
      <c r="D929">
        <v>8.3490588470764902E-8</v>
      </c>
      <c r="E929" t="s">
        <v>598</v>
      </c>
      <c r="H929" t="s">
        <v>588</v>
      </c>
      <c r="I929">
        <v>8.3490588470764902E-8</v>
      </c>
      <c r="J929">
        <v>1.499999999999694</v>
      </c>
      <c r="N929" t="s">
        <v>843</v>
      </c>
      <c r="O929" t="s">
        <v>952</v>
      </c>
      <c r="Q929" t="s">
        <v>2416</v>
      </c>
    </row>
    <row r="930" spans="2:17">
      <c r="B930" t="s">
        <v>839</v>
      </c>
      <c r="C930" t="s">
        <v>597</v>
      </c>
      <c r="D930">
        <v>7.4390099218976397E-4</v>
      </c>
      <c r="E930" t="s">
        <v>598</v>
      </c>
      <c r="H930" t="s">
        <v>588</v>
      </c>
      <c r="I930">
        <v>7.4390099218976397E-4</v>
      </c>
      <c r="J930">
        <v>1.499999999999694</v>
      </c>
      <c r="N930" t="s">
        <v>843</v>
      </c>
      <c r="O930" t="s">
        <v>952</v>
      </c>
      <c r="Q930" t="s">
        <v>2416</v>
      </c>
    </row>
    <row r="931" spans="2:17">
      <c r="B931" t="s">
        <v>839</v>
      </c>
      <c r="C931" t="s">
        <v>597</v>
      </c>
      <c r="D931">
        <v>1.81352597321885E-7</v>
      </c>
      <c r="E931" t="s">
        <v>598</v>
      </c>
      <c r="H931" t="s">
        <v>588</v>
      </c>
      <c r="I931">
        <v>1.81352597321885E-7</v>
      </c>
      <c r="J931">
        <v>1.499999999999694</v>
      </c>
      <c r="N931" t="s">
        <v>843</v>
      </c>
      <c r="O931" t="s">
        <v>952</v>
      </c>
      <c r="Q931" t="s">
        <v>2416</v>
      </c>
    </row>
    <row r="932" spans="2:17">
      <c r="B932" t="s">
        <v>839</v>
      </c>
      <c r="C932" t="s">
        <v>597</v>
      </c>
      <c r="D932">
        <v>1.38899774603651E-4</v>
      </c>
      <c r="E932" t="s">
        <v>598</v>
      </c>
      <c r="H932" t="s">
        <v>588</v>
      </c>
      <c r="I932">
        <v>1.38899774603651E-4</v>
      </c>
      <c r="J932">
        <v>1</v>
      </c>
      <c r="N932" t="s">
        <v>843</v>
      </c>
      <c r="O932" t="s">
        <v>1157</v>
      </c>
      <c r="Q932" t="s">
        <v>2424</v>
      </c>
    </row>
    <row r="933" spans="2:17">
      <c r="B933" t="s">
        <v>839</v>
      </c>
      <c r="C933" t="s">
        <v>597</v>
      </c>
      <c r="D933">
        <v>9.9425173392849304E-7</v>
      </c>
      <c r="E933" t="s">
        <v>598</v>
      </c>
      <c r="H933" t="s">
        <v>588</v>
      </c>
      <c r="I933">
        <v>9.9425173392849304E-7</v>
      </c>
      <c r="J933">
        <v>1</v>
      </c>
      <c r="N933" t="s">
        <v>843</v>
      </c>
      <c r="O933" t="s">
        <v>1999</v>
      </c>
      <c r="Q933" t="s">
        <v>2417</v>
      </c>
    </row>
    <row r="934" spans="2:17">
      <c r="B934" t="s">
        <v>839</v>
      </c>
      <c r="C934" t="s">
        <v>597</v>
      </c>
      <c r="D934">
        <v>1.00965749287377E-6</v>
      </c>
      <c r="E934" t="s">
        <v>598</v>
      </c>
      <c r="H934" t="s">
        <v>588</v>
      </c>
      <c r="I934">
        <v>1.00965749287377E-6</v>
      </c>
      <c r="J934">
        <v>1.499999999999694</v>
      </c>
      <c r="N934" t="s">
        <v>843</v>
      </c>
      <c r="O934" t="s">
        <v>952</v>
      </c>
      <c r="Q934" t="s">
        <v>2416</v>
      </c>
    </row>
    <row r="935" spans="2:17">
      <c r="B935" t="s">
        <v>839</v>
      </c>
      <c r="C935" t="s">
        <v>597</v>
      </c>
      <c r="D935">
        <v>5.4487405328222902E-7</v>
      </c>
      <c r="E935" t="s">
        <v>598</v>
      </c>
      <c r="H935" t="s">
        <v>588</v>
      </c>
      <c r="I935">
        <v>5.4487405328222902E-7</v>
      </c>
      <c r="J935">
        <v>1.499999999999694</v>
      </c>
      <c r="N935" t="s">
        <v>843</v>
      </c>
      <c r="O935" t="s">
        <v>952</v>
      </c>
      <c r="Q935" t="s">
        <v>2416</v>
      </c>
    </row>
    <row r="936" spans="2:17">
      <c r="B936" t="s">
        <v>839</v>
      </c>
      <c r="C936" t="s">
        <v>597</v>
      </c>
      <c r="D936">
        <v>2.9869701670341899E-6</v>
      </c>
      <c r="E936" t="s">
        <v>598</v>
      </c>
      <c r="H936" t="s">
        <v>588</v>
      </c>
      <c r="I936">
        <v>2.9869701670341899E-6</v>
      </c>
      <c r="J936">
        <v>1.499999999999694</v>
      </c>
      <c r="N936" t="s">
        <v>843</v>
      </c>
      <c r="O936" t="s">
        <v>952</v>
      </c>
      <c r="Q936" t="s">
        <v>2416</v>
      </c>
    </row>
    <row r="937" spans="2:17">
      <c r="B937" t="s">
        <v>839</v>
      </c>
      <c r="C937" t="s">
        <v>597</v>
      </c>
      <c r="D937">
        <v>9.7136723243704704E-7</v>
      </c>
      <c r="E937" t="s">
        <v>598</v>
      </c>
      <c r="H937" t="s">
        <v>588</v>
      </c>
      <c r="I937">
        <v>9.7136723243704704E-7</v>
      </c>
      <c r="J937">
        <v>1</v>
      </c>
      <c r="N937" t="s">
        <v>843</v>
      </c>
      <c r="O937" t="s">
        <v>1999</v>
      </c>
      <c r="Q937" t="s">
        <v>2417</v>
      </c>
    </row>
    <row r="938" spans="2:17">
      <c r="B938" t="s">
        <v>839</v>
      </c>
      <c r="C938" t="s">
        <v>597</v>
      </c>
      <c r="D938">
        <v>2.9303429442373901E-8</v>
      </c>
      <c r="E938" t="s">
        <v>598</v>
      </c>
      <c r="H938" t="s">
        <v>588</v>
      </c>
      <c r="I938">
        <v>2.9303429442373901E-8</v>
      </c>
      <c r="J938">
        <v>1</v>
      </c>
      <c r="N938" t="s">
        <v>843</v>
      </c>
      <c r="O938" t="s">
        <v>1999</v>
      </c>
      <c r="Q938" t="s">
        <v>2417</v>
      </c>
    </row>
    <row r="939" spans="2:17">
      <c r="B939" t="s">
        <v>839</v>
      </c>
      <c r="C939" t="s">
        <v>597</v>
      </c>
      <c r="D939">
        <v>5.1092879323823204E-7</v>
      </c>
      <c r="E939" t="s">
        <v>598</v>
      </c>
      <c r="H939" t="s">
        <v>588</v>
      </c>
      <c r="I939">
        <v>5.1092879323823204E-7</v>
      </c>
      <c r="J939">
        <v>1.499999999999694</v>
      </c>
      <c r="N939" t="s">
        <v>843</v>
      </c>
      <c r="O939" t="s">
        <v>952</v>
      </c>
      <c r="Q939" t="s">
        <v>2416</v>
      </c>
    </row>
    <row r="940" spans="2:17">
      <c r="B940" t="s">
        <v>839</v>
      </c>
      <c r="C940" t="s">
        <v>597</v>
      </c>
      <c r="D940">
        <v>2.3083052183825699E-3</v>
      </c>
      <c r="E940" t="s">
        <v>598</v>
      </c>
      <c r="H940" t="s">
        <v>588</v>
      </c>
      <c r="I940">
        <v>2.3083052183825699E-3</v>
      </c>
      <c r="J940">
        <v>1.499999999999694</v>
      </c>
      <c r="N940" t="s">
        <v>843</v>
      </c>
      <c r="O940" t="s">
        <v>952</v>
      </c>
      <c r="Q940" t="s">
        <v>2416</v>
      </c>
    </row>
    <row r="941" spans="2:17">
      <c r="B941" t="s">
        <v>839</v>
      </c>
      <c r="C941" t="s">
        <v>597</v>
      </c>
      <c r="D941">
        <v>3.12194848199539E-6</v>
      </c>
      <c r="E941" t="s">
        <v>598</v>
      </c>
      <c r="H941" t="s">
        <v>588</v>
      </c>
      <c r="I941">
        <v>3.12194848199539E-6</v>
      </c>
      <c r="J941">
        <v>1.499999999999694</v>
      </c>
      <c r="N941" t="s">
        <v>843</v>
      </c>
      <c r="O941" t="s">
        <v>952</v>
      </c>
      <c r="Q941" t="s">
        <v>2416</v>
      </c>
    </row>
    <row r="942" spans="2:17">
      <c r="B942" t="s">
        <v>839</v>
      </c>
      <c r="C942" t="s">
        <v>597</v>
      </c>
      <c r="D942">
        <v>2.0313622962382801E-3</v>
      </c>
      <c r="E942" t="s">
        <v>598</v>
      </c>
      <c r="H942" t="s">
        <v>588</v>
      </c>
      <c r="I942">
        <v>2.0313622962382801E-3</v>
      </c>
      <c r="J942">
        <v>1.7293101253499219</v>
      </c>
      <c r="N942" t="s">
        <v>840</v>
      </c>
      <c r="O942" t="s">
        <v>1713</v>
      </c>
      <c r="Q942" t="s">
        <v>2425</v>
      </c>
    </row>
    <row r="943" spans="2:17">
      <c r="B943" t="s">
        <v>839</v>
      </c>
      <c r="C943" t="s">
        <v>597</v>
      </c>
      <c r="D943">
        <v>3.2235973051433303E-2</v>
      </c>
      <c r="E943" t="s">
        <v>598</v>
      </c>
      <c r="H943" t="s">
        <v>588</v>
      </c>
      <c r="I943">
        <v>3.2235973051433303E-2</v>
      </c>
      <c r="J943">
        <v>1.499999999999694</v>
      </c>
      <c r="N943" t="s">
        <v>840</v>
      </c>
      <c r="O943" t="s">
        <v>952</v>
      </c>
      <c r="Q943" t="s">
        <v>2416</v>
      </c>
    </row>
    <row r="944" spans="2:17">
      <c r="B944" t="s">
        <v>839</v>
      </c>
      <c r="C944" t="s">
        <v>597</v>
      </c>
      <c r="D944">
        <v>1.5178973062984101E-7</v>
      </c>
      <c r="E944" t="s">
        <v>598</v>
      </c>
      <c r="H944" t="s">
        <v>588</v>
      </c>
      <c r="I944">
        <v>1.5178973062984101E-7</v>
      </c>
      <c r="J944">
        <v>1</v>
      </c>
      <c r="N944" t="s">
        <v>843</v>
      </c>
      <c r="O944" t="s">
        <v>1999</v>
      </c>
      <c r="Q944" t="s">
        <v>2417</v>
      </c>
    </row>
    <row r="945" spans="2:17">
      <c r="B945" t="s">
        <v>839</v>
      </c>
      <c r="C945" t="s">
        <v>597</v>
      </c>
      <c r="D945">
        <v>8.0828130005306194E-8</v>
      </c>
      <c r="E945" t="s">
        <v>598</v>
      </c>
      <c r="H945" t="s">
        <v>588</v>
      </c>
      <c r="I945">
        <v>8.0828130005306194E-8</v>
      </c>
      <c r="J945">
        <v>1.499999999999694</v>
      </c>
      <c r="N945" t="s">
        <v>843</v>
      </c>
      <c r="O945" t="s">
        <v>952</v>
      </c>
      <c r="Q945" t="s">
        <v>2416</v>
      </c>
    </row>
    <row r="946" spans="2:17">
      <c r="B946" t="s">
        <v>839</v>
      </c>
      <c r="C946" t="s">
        <v>597</v>
      </c>
      <c r="D946">
        <v>7.1418875963117799E-3</v>
      </c>
      <c r="E946" t="s">
        <v>598</v>
      </c>
      <c r="H946" t="s">
        <v>588</v>
      </c>
      <c r="I946">
        <v>7.1418875963117799E-3</v>
      </c>
      <c r="J946">
        <v>1.1051709180756477</v>
      </c>
      <c r="N946" t="s">
        <v>840</v>
      </c>
      <c r="O946" t="s">
        <v>612</v>
      </c>
      <c r="Q946" t="s">
        <v>2426</v>
      </c>
    </row>
    <row r="947" spans="2:17">
      <c r="B947" t="s">
        <v>839</v>
      </c>
      <c r="C947" t="s">
        <v>597</v>
      </c>
      <c r="D947">
        <v>1.2628837524760301E-7</v>
      </c>
      <c r="E947" t="s">
        <v>598</v>
      </c>
      <c r="H947" t="s">
        <v>588</v>
      </c>
      <c r="I947">
        <v>1.2628837524760301E-7</v>
      </c>
      <c r="J947">
        <v>1.499999999999694</v>
      </c>
      <c r="N947" t="s">
        <v>843</v>
      </c>
      <c r="O947" t="s">
        <v>952</v>
      </c>
      <c r="Q947" t="s">
        <v>2416</v>
      </c>
    </row>
    <row r="948" spans="2:17">
      <c r="B948" t="s">
        <v>839</v>
      </c>
      <c r="C948" t="s">
        <v>597</v>
      </c>
      <c r="D948">
        <v>1.9262433720791401E-6</v>
      </c>
      <c r="E948" t="s">
        <v>598</v>
      </c>
      <c r="H948" t="s">
        <v>588</v>
      </c>
      <c r="I948">
        <v>1.9262433720791401E-6</v>
      </c>
      <c r="J948">
        <v>1</v>
      </c>
      <c r="N948" t="s">
        <v>843</v>
      </c>
      <c r="O948" t="s">
        <v>1999</v>
      </c>
      <c r="Q948" t="s">
        <v>2417</v>
      </c>
    </row>
    <row r="949" spans="2:17">
      <c r="B949" t="s">
        <v>596</v>
      </c>
      <c r="C949" t="s">
        <v>597</v>
      </c>
      <c r="D949">
        <v>2.24625573664238E-6</v>
      </c>
      <c r="E949" t="s">
        <v>598</v>
      </c>
      <c r="H949" t="s">
        <v>588</v>
      </c>
      <c r="I949">
        <v>2.24625573664238E-6</v>
      </c>
      <c r="J949">
        <v>1.0247973619913604</v>
      </c>
      <c r="N949" t="s">
        <v>797</v>
      </c>
      <c r="O949" t="s">
        <v>2427</v>
      </c>
    </row>
    <row r="950" spans="2:17">
      <c r="B950" t="s">
        <v>596</v>
      </c>
      <c r="C950" t="s">
        <v>597</v>
      </c>
      <c r="D950">
        <v>9.1119599038218702E-4</v>
      </c>
      <c r="E950" t="s">
        <v>598</v>
      </c>
      <c r="H950" t="s">
        <v>588</v>
      </c>
      <c r="I950">
        <v>9.1119599038218702E-4</v>
      </c>
      <c r="J950">
        <v>1.0247973619913604</v>
      </c>
      <c r="N950" t="s">
        <v>797</v>
      </c>
      <c r="O950" t="s">
        <v>1745</v>
      </c>
      <c r="Q950" t="s">
        <v>600</v>
      </c>
    </row>
    <row r="951" spans="2:17">
      <c r="B951" t="s">
        <v>596</v>
      </c>
      <c r="C951" t="s">
        <v>597</v>
      </c>
      <c r="D951">
        <v>7.9157522692002399E-7</v>
      </c>
      <c r="E951" t="s">
        <v>598</v>
      </c>
      <c r="H951" t="s">
        <v>588</v>
      </c>
      <c r="I951">
        <v>7.9157522692002399E-7</v>
      </c>
      <c r="J951">
        <v>1.0247973619913604</v>
      </c>
      <c r="N951" t="s">
        <v>797</v>
      </c>
      <c r="O951" t="s">
        <v>2427</v>
      </c>
    </row>
    <row r="952" spans="2:17">
      <c r="B952" t="s">
        <v>596</v>
      </c>
      <c r="C952" t="s">
        <v>597</v>
      </c>
      <c r="D952">
        <v>2.41860336961214E-4</v>
      </c>
      <c r="E952" t="s">
        <v>598</v>
      </c>
      <c r="H952" t="s">
        <v>588</v>
      </c>
      <c r="I952">
        <v>2.41860336961214E-4</v>
      </c>
      <c r="J952">
        <v>1.0247973619913604</v>
      </c>
      <c r="N952" t="s">
        <v>797</v>
      </c>
      <c r="O952" t="s">
        <v>2428</v>
      </c>
      <c r="Q952" t="s">
        <v>2429</v>
      </c>
    </row>
    <row r="953" spans="2:17">
      <c r="B953" t="s">
        <v>596</v>
      </c>
      <c r="C953" t="s">
        <v>597</v>
      </c>
      <c r="D953">
        <v>1.6847729047352899E-6</v>
      </c>
      <c r="E953" t="s">
        <v>598</v>
      </c>
      <c r="H953" t="s">
        <v>588</v>
      </c>
      <c r="I953">
        <v>1.6847729047352899E-6</v>
      </c>
      <c r="J953">
        <v>1.0247973619913604</v>
      </c>
      <c r="N953" t="s">
        <v>797</v>
      </c>
      <c r="O953" t="s">
        <v>2427</v>
      </c>
    </row>
    <row r="954" spans="2:17">
      <c r="B954" t="s">
        <v>596</v>
      </c>
      <c r="C954" t="s">
        <v>597</v>
      </c>
      <c r="D954">
        <v>1.6659149138798999E-6</v>
      </c>
      <c r="E954" t="s">
        <v>598</v>
      </c>
      <c r="H954" t="s">
        <v>588</v>
      </c>
      <c r="I954">
        <v>1.6659149138798999E-6</v>
      </c>
      <c r="J954">
        <v>1</v>
      </c>
      <c r="N954" t="s">
        <v>797</v>
      </c>
      <c r="O954" t="s">
        <v>841</v>
      </c>
      <c r="Q954" t="s">
        <v>2430</v>
      </c>
    </row>
    <row r="955" spans="2:17">
      <c r="B955" t="s">
        <v>596</v>
      </c>
      <c r="C955" t="s">
        <v>597</v>
      </c>
      <c r="D955">
        <v>3.5475683930122999E-3</v>
      </c>
      <c r="E955" t="s">
        <v>598</v>
      </c>
      <c r="H955" t="s">
        <v>588</v>
      </c>
      <c r="I955">
        <v>3.5475683930122999E-3</v>
      </c>
      <c r="J955">
        <v>1.0247973619913604</v>
      </c>
      <c r="N955" t="s">
        <v>797</v>
      </c>
      <c r="O955" t="s">
        <v>641</v>
      </c>
      <c r="Q955" t="s">
        <v>1643</v>
      </c>
    </row>
    <row r="956" spans="2:17">
      <c r="B956" t="s">
        <v>596</v>
      </c>
      <c r="C956" t="s">
        <v>597</v>
      </c>
      <c r="D956">
        <v>1.9039706217366601E-6</v>
      </c>
      <c r="E956" t="s">
        <v>598</v>
      </c>
      <c r="H956" t="s">
        <v>588</v>
      </c>
      <c r="I956">
        <v>1.9039706217366601E-6</v>
      </c>
      <c r="J956">
        <v>1.0247973619913604</v>
      </c>
      <c r="N956" t="s">
        <v>797</v>
      </c>
      <c r="O956" t="s">
        <v>2427</v>
      </c>
    </row>
    <row r="957" spans="2:17">
      <c r="B957" t="s">
        <v>596</v>
      </c>
      <c r="C957" t="s">
        <v>597</v>
      </c>
      <c r="D957">
        <v>1.07241408418801E-4</v>
      </c>
      <c r="E957" t="s">
        <v>598</v>
      </c>
      <c r="H957" t="s">
        <v>588</v>
      </c>
      <c r="I957">
        <v>1.07241408418801E-4</v>
      </c>
      <c r="J957">
        <v>1.0247973619913604</v>
      </c>
      <c r="N957" t="s">
        <v>797</v>
      </c>
      <c r="O957" t="s">
        <v>1745</v>
      </c>
      <c r="Q957" t="s">
        <v>600</v>
      </c>
    </row>
    <row r="958" spans="2:17">
      <c r="B958" t="s">
        <v>596</v>
      </c>
      <c r="C958" t="s">
        <v>597</v>
      </c>
      <c r="D958">
        <v>5.5503092196236602E-4</v>
      </c>
      <c r="E958" t="s">
        <v>598</v>
      </c>
      <c r="H958" t="s">
        <v>588</v>
      </c>
      <c r="I958">
        <v>5.5503092196236602E-4</v>
      </c>
      <c r="J958">
        <v>1.0247973619913604</v>
      </c>
      <c r="N958" t="s">
        <v>797</v>
      </c>
      <c r="O958" t="s">
        <v>2431</v>
      </c>
      <c r="Q958" t="s">
        <v>2432</v>
      </c>
    </row>
    <row r="959" spans="2:17">
      <c r="B959" t="s">
        <v>596</v>
      </c>
      <c r="C959" t="s">
        <v>597</v>
      </c>
      <c r="D959">
        <v>6.7116627966919801E-4</v>
      </c>
      <c r="E959" t="s">
        <v>598</v>
      </c>
      <c r="H959" t="s">
        <v>588</v>
      </c>
      <c r="I959">
        <v>6.7116627966919801E-4</v>
      </c>
      <c r="J959">
        <v>1.0247973619913604</v>
      </c>
      <c r="N959" t="s">
        <v>797</v>
      </c>
      <c r="O959" t="s">
        <v>1745</v>
      </c>
      <c r="Q959" t="s">
        <v>600</v>
      </c>
    </row>
    <row r="960" spans="2:17">
      <c r="B960" t="s">
        <v>596</v>
      </c>
      <c r="C960" t="s">
        <v>597</v>
      </c>
      <c r="D960">
        <v>5.0329576499596601E-7</v>
      </c>
      <c r="E960" t="s">
        <v>598</v>
      </c>
      <c r="H960" t="s">
        <v>588</v>
      </c>
      <c r="I960">
        <v>5.0329576499596601E-7</v>
      </c>
      <c r="J960">
        <v>1.0247973619913604</v>
      </c>
      <c r="N960" t="s">
        <v>797</v>
      </c>
      <c r="O960" t="s">
        <v>2427</v>
      </c>
    </row>
    <row r="961" spans="2:17">
      <c r="B961" t="s">
        <v>596</v>
      </c>
      <c r="C961" t="s">
        <v>597</v>
      </c>
      <c r="D961">
        <v>1.58917922288986E-6</v>
      </c>
      <c r="E961" t="s">
        <v>598</v>
      </c>
      <c r="H961" t="s">
        <v>588</v>
      </c>
      <c r="I961">
        <v>1.58917922288986E-6</v>
      </c>
      <c r="J961">
        <v>1.0247973619913604</v>
      </c>
      <c r="N961" t="s">
        <v>797</v>
      </c>
      <c r="O961" t="s">
        <v>2427</v>
      </c>
    </row>
    <row r="962" spans="2:17">
      <c r="B962" t="s">
        <v>596</v>
      </c>
      <c r="C962" t="s">
        <v>597</v>
      </c>
      <c r="D962">
        <v>1.00780780223753E-3</v>
      </c>
      <c r="E962" t="s">
        <v>598</v>
      </c>
      <c r="H962" t="s">
        <v>588</v>
      </c>
      <c r="I962">
        <v>1.00780780223753E-3</v>
      </c>
      <c r="J962">
        <v>1.0247973619913604</v>
      </c>
      <c r="N962" t="s">
        <v>797</v>
      </c>
      <c r="O962" t="s">
        <v>1745</v>
      </c>
      <c r="Q962" t="s">
        <v>600</v>
      </c>
    </row>
    <row r="963" spans="2:17">
      <c r="B963" t="s">
        <v>596</v>
      </c>
      <c r="C963" t="s">
        <v>597</v>
      </c>
      <c r="D963">
        <v>2.7933051703998201E-5</v>
      </c>
      <c r="E963" t="s">
        <v>598</v>
      </c>
      <c r="H963" t="s">
        <v>588</v>
      </c>
      <c r="I963">
        <v>2.7933051703998201E-5</v>
      </c>
      <c r="J963">
        <v>1.0247973619913604</v>
      </c>
      <c r="N963" t="s">
        <v>797</v>
      </c>
      <c r="O963" t="s">
        <v>1745</v>
      </c>
      <c r="Q963" t="s">
        <v>600</v>
      </c>
    </row>
    <row r="964" spans="2:17">
      <c r="B964" t="s">
        <v>596</v>
      </c>
      <c r="C964" t="s">
        <v>597</v>
      </c>
      <c r="D964">
        <v>3.2497658075103398E-3</v>
      </c>
      <c r="E964" t="s">
        <v>598</v>
      </c>
      <c r="H964" t="s">
        <v>588</v>
      </c>
      <c r="I964">
        <v>3.2497658075103398E-3</v>
      </c>
      <c r="J964">
        <v>1.0247973619913604</v>
      </c>
      <c r="N964" t="s">
        <v>797</v>
      </c>
      <c r="O964" t="s">
        <v>641</v>
      </c>
      <c r="Q964" t="s">
        <v>1643</v>
      </c>
    </row>
    <row r="965" spans="2:17">
      <c r="B965" t="s">
        <v>596</v>
      </c>
      <c r="C965" t="s">
        <v>597</v>
      </c>
      <c r="D965">
        <v>8.55108703565149E-5</v>
      </c>
      <c r="E965" t="s">
        <v>598</v>
      </c>
      <c r="H965" t="s">
        <v>588</v>
      </c>
      <c r="I965">
        <v>8.55108703565149E-5</v>
      </c>
      <c r="J965">
        <v>1.0247973619913604</v>
      </c>
      <c r="N965" t="s">
        <v>599</v>
      </c>
      <c r="O965" t="s">
        <v>2427</v>
      </c>
    </row>
    <row r="966" spans="2:17">
      <c r="B966" t="s">
        <v>596</v>
      </c>
      <c r="C966" t="s">
        <v>597</v>
      </c>
      <c r="D966">
        <v>1.32812789339081E-5</v>
      </c>
      <c r="E966" t="s">
        <v>598</v>
      </c>
      <c r="H966" t="s">
        <v>1733</v>
      </c>
      <c r="I966">
        <v>1.32812789339081E-5</v>
      </c>
      <c r="K966">
        <v>1.32812789339081E-5</v>
      </c>
      <c r="L966">
        <v>1.32812789339081E-5</v>
      </c>
      <c r="N966" t="s">
        <v>797</v>
      </c>
      <c r="O966" t="s">
        <v>2045</v>
      </c>
      <c r="Q966" t="s">
        <v>2433</v>
      </c>
    </row>
    <row r="967" spans="2:17">
      <c r="B967" t="s">
        <v>596</v>
      </c>
      <c r="C967" t="s">
        <v>597</v>
      </c>
      <c r="D967">
        <v>1.82850420817588E-6</v>
      </c>
      <c r="E967" t="s">
        <v>598</v>
      </c>
      <c r="H967" t="s">
        <v>1733</v>
      </c>
      <c r="I967">
        <v>1.82850420817588E-6</v>
      </c>
      <c r="K967">
        <v>1.82850420817588E-6</v>
      </c>
      <c r="L967">
        <v>1.82850420817588E-6</v>
      </c>
      <c r="N967" t="s">
        <v>797</v>
      </c>
      <c r="O967" t="s">
        <v>2045</v>
      </c>
      <c r="Q967" t="s">
        <v>2433</v>
      </c>
    </row>
    <row r="968" spans="2:17">
      <c r="B968" t="s">
        <v>596</v>
      </c>
      <c r="C968" t="s">
        <v>597</v>
      </c>
      <c r="D968">
        <v>1.0259038569212701E-6</v>
      </c>
      <c r="E968" t="s">
        <v>598</v>
      </c>
      <c r="H968" t="s">
        <v>1733</v>
      </c>
      <c r="I968">
        <v>1.0259038569212701E-6</v>
      </c>
      <c r="K968">
        <v>1.0259038569212701E-6</v>
      </c>
      <c r="L968">
        <v>1.0259038569212701E-6</v>
      </c>
      <c r="N968" t="s">
        <v>797</v>
      </c>
      <c r="O968" t="s">
        <v>2045</v>
      </c>
      <c r="Q968" t="s">
        <v>2433</v>
      </c>
    </row>
    <row r="969" spans="2:17">
      <c r="B969" t="s">
        <v>596</v>
      </c>
      <c r="C969" t="s">
        <v>597</v>
      </c>
      <c r="D969">
        <v>3.2227041052269899E-4</v>
      </c>
      <c r="E969" t="s">
        <v>598</v>
      </c>
      <c r="H969" t="s">
        <v>588</v>
      </c>
      <c r="I969">
        <v>3.2227041052269899E-4</v>
      </c>
      <c r="J969">
        <v>1.0247973619913604</v>
      </c>
      <c r="N969" t="s">
        <v>797</v>
      </c>
      <c r="O969" t="s">
        <v>1745</v>
      </c>
      <c r="Q969" t="s">
        <v>600</v>
      </c>
    </row>
    <row r="970" spans="2:17">
      <c r="B970" t="s">
        <v>596</v>
      </c>
      <c r="C970" t="s">
        <v>597</v>
      </c>
      <c r="D970">
        <v>3.2071947985741901E-2</v>
      </c>
      <c r="E970" t="s">
        <v>598</v>
      </c>
      <c r="H970" t="s">
        <v>588</v>
      </c>
      <c r="I970">
        <v>3.2071947985741901E-2</v>
      </c>
      <c r="J970">
        <v>1.0247973619913604</v>
      </c>
      <c r="N970" t="s">
        <v>599</v>
      </c>
      <c r="O970" t="s">
        <v>1002</v>
      </c>
    </row>
    <row r="971" spans="2:17">
      <c r="B971" t="s">
        <v>596</v>
      </c>
      <c r="C971" t="s">
        <v>597</v>
      </c>
      <c r="D971">
        <v>1.77271341720453E-2</v>
      </c>
      <c r="E971" t="s">
        <v>598</v>
      </c>
      <c r="H971" t="s">
        <v>588</v>
      </c>
      <c r="I971">
        <v>1.77271341720453E-2</v>
      </c>
      <c r="J971">
        <v>1.0247973619913604</v>
      </c>
      <c r="N971" t="s">
        <v>797</v>
      </c>
      <c r="O971" t="s">
        <v>1745</v>
      </c>
      <c r="Q971" t="s">
        <v>600</v>
      </c>
    </row>
    <row r="972" spans="2:17">
      <c r="B972" t="s">
        <v>596</v>
      </c>
      <c r="C972" t="s">
        <v>597</v>
      </c>
      <c r="D972">
        <v>5.5950050386792799E-5</v>
      </c>
      <c r="E972" t="s">
        <v>598</v>
      </c>
      <c r="H972" t="s">
        <v>588</v>
      </c>
      <c r="I972">
        <v>5.5950050386792799E-5</v>
      </c>
      <c r="J972">
        <v>1.0247973619913604</v>
      </c>
      <c r="N972" t="s">
        <v>797</v>
      </c>
      <c r="O972" t="s">
        <v>1745</v>
      </c>
      <c r="Q972" t="s">
        <v>600</v>
      </c>
    </row>
    <row r="973" spans="2:17">
      <c r="B973" t="s">
        <v>596</v>
      </c>
      <c r="C973" t="s">
        <v>597</v>
      </c>
      <c r="D973">
        <v>7.5399557440689199E-4</v>
      </c>
      <c r="E973" t="s">
        <v>598</v>
      </c>
      <c r="H973" t="s">
        <v>588</v>
      </c>
      <c r="I973">
        <v>7.5399557440689199E-4</v>
      </c>
      <c r="J973">
        <v>1.0247973619913604</v>
      </c>
      <c r="N973" t="s">
        <v>797</v>
      </c>
      <c r="O973" t="s">
        <v>641</v>
      </c>
      <c r="Q973" t="s">
        <v>1643</v>
      </c>
    </row>
    <row r="974" spans="2:17">
      <c r="B974" t="s">
        <v>596</v>
      </c>
      <c r="C974" t="s">
        <v>597</v>
      </c>
      <c r="D974">
        <v>1.40058916270019E-2</v>
      </c>
      <c r="E974" t="s">
        <v>598</v>
      </c>
      <c r="H974" t="s">
        <v>588</v>
      </c>
      <c r="I974">
        <v>1.40058916270019E-2</v>
      </c>
      <c r="J974">
        <v>1.0247973619913604</v>
      </c>
      <c r="N974" t="s">
        <v>797</v>
      </c>
      <c r="O974" t="s">
        <v>1745</v>
      </c>
      <c r="Q974" t="s">
        <v>600</v>
      </c>
    </row>
    <row r="975" spans="2:17">
      <c r="B975" t="s">
        <v>596</v>
      </c>
      <c r="C975" t="s">
        <v>597</v>
      </c>
      <c r="D975">
        <v>1.6643518445451399E-7</v>
      </c>
      <c r="E975" t="s">
        <v>598</v>
      </c>
      <c r="H975" t="s">
        <v>588</v>
      </c>
      <c r="I975">
        <v>1.6643518445451399E-7</v>
      </c>
      <c r="J975">
        <v>1</v>
      </c>
      <c r="N975" t="s">
        <v>797</v>
      </c>
      <c r="O975" t="s">
        <v>841</v>
      </c>
      <c r="Q975" t="s">
        <v>2430</v>
      </c>
    </row>
    <row r="976" spans="2:17">
      <c r="B976" t="s">
        <v>596</v>
      </c>
      <c r="C976" t="s">
        <v>597</v>
      </c>
      <c r="D976">
        <v>6.3705972637755797E-7</v>
      </c>
      <c r="E976" t="s">
        <v>598</v>
      </c>
      <c r="H976" t="s">
        <v>588</v>
      </c>
      <c r="I976">
        <v>6.3705972637755797E-7</v>
      </c>
      <c r="J976">
        <v>1.0247973619913604</v>
      </c>
      <c r="N976" t="s">
        <v>797</v>
      </c>
      <c r="O976" t="s">
        <v>1745</v>
      </c>
      <c r="Q976" t="s">
        <v>600</v>
      </c>
    </row>
    <row r="977" spans="2:17">
      <c r="B977" t="s">
        <v>596</v>
      </c>
      <c r="C977" t="s">
        <v>597</v>
      </c>
      <c r="D977">
        <v>2.3768927728746001E-9</v>
      </c>
      <c r="E977" t="s">
        <v>598</v>
      </c>
      <c r="H977" t="s">
        <v>588</v>
      </c>
      <c r="I977">
        <v>2.3768927728746001E-9</v>
      </c>
      <c r="J977">
        <v>1</v>
      </c>
      <c r="N977" t="s">
        <v>797</v>
      </c>
      <c r="O977" t="s">
        <v>841</v>
      </c>
      <c r="Q977" t="s">
        <v>2430</v>
      </c>
    </row>
    <row r="978" spans="2:17">
      <c r="B978" t="s">
        <v>596</v>
      </c>
      <c r="C978" t="s">
        <v>597</v>
      </c>
      <c r="D978">
        <v>6.2831959294896696E-4</v>
      </c>
      <c r="E978" t="s">
        <v>598</v>
      </c>
      <c r="H978" t="s">
        <v>588</v>
      </c>
      <c r="I978">
        <v>6.2831959294896696E-4</v>
      </c>
      <c r="J978">
        <v>1.0247973619913604</v>
      </c>
      <c r="N978" t="s">
        <v>599</v>
      </c>
      <c r="O978" t="s">
        <v>641</v>
      </c>
      <c r="Q978" t="s">
        <v>1643</v>
      </c>
    </row>
    <row r="979" spans="2:17">
      <c r="B979" t="s">
        <v>596</v>
      </c>
      <c r="C979" t="s">
        <v>597</v>
      </c>
      <c r="D979">
        <v>1.21314978981034E-4</v>
      </c>
      <c r="E979" t="s">
        <v>598</v>
      </c>
      <c r="H979" t="s">
        <v>588</v>
      </c>
      <c r="I979">
        <v>1.21314978981034E-4</v>
      </c>
      <c r="J979">
        <v>1.0247973619913604</v>
      </c>
      <c r="N979" t="s">
        <v>797</v>
      </c>
      <c r="O979" t="s">
        <v>1745</v>
      </c>
      <c r="Q979" t="s">
        <v>600</v>
      </c>
    </row>
    <row r="980" spans="2:17">
      <c r="B980" t="s">
        <v>596</v>
      </c>
      <c r="C980" t="s">
        <v>597</v>
      </c>
      <c r="D980">
        <v>2.3487169249278899E-5</v>
      </c>
      <c r="E980" t="s">
        <v>598</v>
      </c>
      <c r="H980" t="s">
        <v>588</v>
      </c>
      <c r="I980">
        <v>2.3487169249278899E-5</v>
      </c>
      <c r="J980">
        <v>1.0247973619913604</v>
      </c>
      <c r="N980" t="s">
        <v>797</v>
      </c>
      <c r="O980" t="s">
        <v>1745</v>
      </c>
      <c r="Q980" t="s">
        <v>600</v>
      </c>
    </row>
    <row r="981" spans="2:17">
      <c r="B981" t="s">
        <v>596</v>
      </c>
      <c r="C981" t="s">
        <v>597</v>
      </c>
      <c r="D981">
        <v>2.3320101520392901E-4</v>
      </c>
      <c r="E981" t="s">
        <v>598</v>
      </c>
      <c r="H981" t="s">
        <v>588</v>
      </c>
      <c r="I981">
        <v>2.3320101520392901E-4</v>
      </c>
      <c r="J981">
        <v>1.0247973619913604</v>
      </c>
      <c r="N981" t="s">
        <v>797</v>
      </c>
      <c r="O981" t="s">
        <v>1745</v>
      </c>
      <c r="Q981" t="s">
        <v>600</v>
      </c>
    </row>
    <row r="982" spans="2:17">
      <c r="B982" t="s">
        <v>596</v>
      </c>
      <c r="C982" t="s">
        <v>597</v>
      </c>
      <c r="D982">
        <v>1.5950273240800301E-2</v>
      </c>
      <c r="E982" t="s">
        <v>598</v>
      </c>
      <c r="H982" t="s">
        <v>588</v>
      </c>
      <c r="I982">
        <v>1.5950273240800301E-2</v>
      </c>
      <c r="J982">
        <v>1.1051709180756477</v>
      </c>
      <c r="N982" t="s">
        <v>599</v>
      </c>
      <c r="O982" t="s">
        <v>1263</v>
      </c>
      <c r="Q982" t="s">
        <v>2434</v>
      </c>
    </row>
    <row r="983" spans="2:17">
      <c r="B983" t="s">
        <v>596</v>
      </c>
      <c r="C983" t="s">
        <v>597</v>
      </c>
      <c r="D983">
        <v>1.54574056836311E-6</v>
      </c>
      <c r="E983" t="s">
        <v>598</v>
      </c>
      <c r="H983" t="s">
        <v>1733</v>
      </c>
      <c r="I983">
        <v>1.54574056836311E-6</v>
      </c>
      <c r="K983">
        <v>1.54574056836311E-6</v>
      </c>
      <c r="L983">
        <v>1.54574056836311E-6</v>
      </c>
      <c r="N983" t="s">
        <v>797</v>
      </c>
      <c r="O983" t="s">
        <v>2045</v>
      </c>
      <c r="Q983" t="s">
        <v>2433</v>
      </c>
    </row>
    <row r="984" spans="2:17">
      <c r="B984" t="s">
        <v>596</v>
      </c>
      <c r="C984" t="s">
        <v>597</v>
      </c>
      <c r="D984">
        <v>1.3946520284089199E-7</v>
      </c>
      <c r="E984" t="s">
        <v>598</v>
      </c>
      <c r="H984" t="s">
        <v>588</v>
      </c>
      <c r="I984">
        <v>1.3946520284089199E-7</v>
      </c>
      <c r="J984">
        <v>1</v>
      </c>
      <c r="N984" t="s">
        <v>797</v>
      </c>
      <c r="O984" t="s">
        <v>841</v>
      </c>
      <c r="Q984" t="s">
        <v>2430</v>
      </c>
    </row>
    <row r="985" spans="2:17">
      <c r="B985" t="s">
        <v>596</v>
      </c>
      <c r="C985" t="s">
        <v>597</v>
      </c>
      <c r="D985">
        <v>1.0969383365247E-6</v>
      </c>
      <c r="E985" t="s">
        <v>598</v>
      </c>
      <c r="H985" t="s">
        <v>1733</v>
      </c>
      <c r="I985">
        <v>1.0969383365247E-6</v>
      </c>
      <c r="K985">
        <v>1.0969383365247E-6</v>
      </c>
      <c r="L985">
        <v>1.0969383365247E-6</v>
      </c>
      <c r="N985" t="s">
        <v>797</v>
      </c>
      <c r="O985" t="s">
        <v>2045</v>
      </c>
      <c r="Q985" t="s">
        <v>2433</v>
      </c>
    </row>
    <row r="986" spans="2:17">
      <c r="B986" t="s">
        <v>596</v>
      </c>
      <c r="C986" t="s">
        <v>597</v>
      </c>
      <c r="D986">
        <v>8.9033919852881301E-7</v>
      </c>
      <c r="E986" t="s">
        <v>598</v>
      </c>
      <c r="H986" t="s">
        <v>1733</v>
      </c>
      <c r="I986">
        <v>8.9033919852881301E-7</v>
      </c>
      <c r="K986">
        <v>8.9033919852881301E-7</v>
      </c>
      <c r="L986">
        <v>8.9033919852881301E-7</v>
      </c>
      <c r="N986" t="s">
        <v>797</v>
      </c>
      <c r="O986" t="s">
        <v>2045</v>
      </c>
      <c r="Q986" t="s">
        <v>2433</v>
      </c>
    </row>
    <row r="987" spans="2:17">
      <c r="B987" t="s">
        <v>596</v>
      </c>
      <c r="C987" t="s">
        <v>597</v>
      </c>
      <c r="D987">
        <v>2.5360476639405601E-4</v>
      </c>
      <c r="E987" t="s">
        <v>598</v>
      </c>
      <c r="H987" t="s">
        <v>588</v>
      </c>
      <c r="I987">
        <v>2.5360476639405601E-4</v>
      </c>
      <c r="J987">
        <v>1.0247973619913604</v>
      </c>
      <c r="N987" t="s">
        <v>599</v>
      </c>
      <c r="O987" t="s">
        <v>609</v>
      </c>
      <c r="Q987" t="s">
        <v>2435</v>
      </c>
    </row>
    <row r="988" spans="2:17">
      <c r="B988" t="s">
        <v>596</v>
      </c>
      <c r="C988" t="s">
        <v>597</v>
      </c>
      <c r="D988">
        <v>4.5348467942877303E-9</v>
      </c>
      <c r="E988" t="s">
        <v>598</v>
      </c>
      <c r="H988" t="s">
        <v>588</v>
      </c>
      <c r="I988">
        <v>4.5348467942877303E-9</v>
      </c>
      <c r="J988">
        <v>1</v>
      </c>
      <c r="N988" t="s">
        <v>797</v>
      </c>
      <c r="O988" t="s">
        <v>841</v>
      </c>
      <c r="Q988" t="s">
        <v>2430</v>
      </c>
    </row>
    <row r="989" spans="2:17">
      <c r="B989" t="s">
        <v>596</v>
      </c>
      <c r="C989" t="s">
        <v>597</v>
      </c>
      <c r="D989">
        <v>9.9681485228925507E-6</v>
      </c>
      <c r="E989" t="s">
        <v>598</v>
      </c>
      <c r="H989" t="s">
        <v>588</v>
      </c>
      <c r="I989">
        <v>9.9681485228925507E-6</v>
      </c>
      <c r="J989">
        <v>1.0247973619913604</v>
      </c>
      <c r="N989" t="s">
        <v>797</v>
      </c>
      <c r="O989" t="s">
        <v>2427</v>
      </c>
    </row>
    <row r="990" spans="2:17">
      <c r="B990" t="s">
        <v>596</v>
      </c>
      <c r="C990" t="s">
        <v>597</v>
      </c>
      <c r="D990">
        <v>2.6738425286395399E-7</v>
      </c>
      <c r="E990" t="s">
        <v>598</v>
      </c>
      <c r="H990" t="s">
        <v>588</v>
      </c>
      <c r="I990">
        <v>2.6738425286395399E-7</v>
      </c>
      <c r="J990">
        <v>1.0247973619913604</v>
      </c>
      <c r="N990" t="s">
        <v>797</v>
      </c>
      <c r="O990" t="s">
        <v>2427</v>
      </c>
    </row>
    <row r="991" spans="2:17">
      <c r="B991" t="s">
        <v>596</v>
      </c>
      <c r="C991" t="s">
        <v>597</v>
      </c>
      <c r="D991">
        <v>2.50127788638944E-7</v>
      </c>
      <c r="E991" t="s">
        <v>598</v>
      </c>
      <c r="H991" t="s">
        <v>1733</v>
      </c>
      <c r="I991">
        <v>2.50127788638944E-7</v>
      </c>
      <c r="K991">
        <v>2.50127788638944E-7</v>
      </c>
      <c r="L991">
        <v>2.50127788638944E-7</v>
      </c>
      <c r="N991" t="s">
        <v>797</v>
      </c>
      <c r="O991" t="s">
        <v>2045</v>
      </c>
      <c r="Q991" t="s">
        <v>2433</v>
      </c>
    </row>
    <row r="992" spans="2:17">
      <c r="B992" t="s">
        <v>596</v>
      </c>
      <c r="C992" t="s">
        <v>597</v>
      </c>
      <c r="D992">
        <v>5.8254929944619698E-7</v>
      </c>
      <c r="E992" t="s">
        <v>598</v>
      </c>
      <c r="H992" t="s">
        <v>1733</v>
      </c>
      <c r="I992">
        <v>5.8254929944619698E-7</v>
      </c>
      <c r="K992">
        <v>5.8254929944619698E-7</v>
      </c>
      <c r="L992">
        <v>5.8254929944619698E-7</v>
      </c>
      <c r="N992" t="s">
        <v>797</v>
      </c>
      <c r="O992" t="s">
        <v>2045</v>
      </c>
      <c r="Q992" t="s">
        <v>2433</v>
      </c>
    </row>
    <row r="993" spans="2:17">
      <c r="B993" t="s">
        <v>596</v>
      </c>
      <c r="C993" t="s">
        <v>597</v>
      </c>
      <c r="D993">
        <v>1.04161074645394E-5</v>
      </c>
      <c r="E993" t="s">
        <v>598</v>
      </c>
      <c r="H993" t="s">
        <v>588</v>
      </c>
      <c r="I993">
        <v>1.04161074645394E-5</v>
      </c>
      <c r="J993">
        <v>1.0247973619913604</v>
      </c>
      <c r="N993" t="s">
        <v>797</v>
      </c>
      <c r="O993" t="s">
        <v>2427</v>
      </c>
    </row>
    <row r="994" spans="2:17">
      <c r="B994" t="s">
        <v>596</v>
      </c>
      <c r="C994" t="s">
        <v>597</v>
      </c>
      <c r="D994">
        <v>3.7231551932752899E-7</v>
      </c>
      <c r="E994" t="s">
        <v>598</v>
      </c>
      <c r="H994" t="s">
        <v>1733</v>
      </c>
      <c r="I994">
        <v>3.7231551932752899E-7</v>
      </c>
      <c r="K994">
        <v>3.7231551932752899E-7</v>
      </c>
      <c r="L994">
        <v>3.7231551932752899E-7</v>
      </c>
      <c r="N994" t="s">
        <v>797</v>
      </c>
      <c r="O994" t="s">
        <v>2045</v>
      </c>
      <c r="Q994" t="s">
        <v>2433</v>
      </c>
    </row>
    <row r="995" spans="2:17">
      <c r="B995" t="s">
        <v>596</v>
      </c>
      <c r="C995" t="s">
        <v>597</v>
      </c>
      <c r="D995">
        <v>3.4753432045312199E-2</v>
      </c>
      <c r="E995" t="s">
        <v>598</v>
      </c>
      <c r="H995" t="s">
        <v>588</v>
      </c>
      <c r="I995">
        <v>3.4753432045312199E-2</v>
      </c>
      <c r="J995">
        <v>1.0247973619913604</v>
      </c>
      <c r="N995" t="s">
        <v>599</v>
      </c>
      <c r="O995" t="s">
        <v>641</v>
      </c>
      <c r="Q995" t="s">
        <v>1643</v>
      </c>
    </row>
    <row r="996" spans="2:17">
      <c r="B996" t="s">
        <v>596</v>
      </c>
      <c r="C996" t="s">
        <v>597</v>
      </c>
      <c r="D996">
        <v>2.8326541704465997E-4</v>
      </c>
      <c r="E996" t="s">
        <v>598</v>
      </c>
      <c r="H996" t="s">
        <v>588</v>
      </c>
      <c r="I996">
        <v>2.8326541704465997E-4</v>
      </c>
      <c r="J996">
        <v>1.0247973619913604</v>
      </c>
      <c r="N996" t="s">
        <v>797</v>
      </c>
      <c r="O996" t="s">
        <v>1745</v>
      </c>
      <c r="Q996" t="s">
        <v>600</v>
      </c>
    </row>
    <row r="997" spans="2:17">
      <c r="B997" t="s">
        <v>596</v>
      </c>
      <c r="C997" t="s">
        <v>597</v>
      </c>
      <c r="D997">
        <v>2.9692289535624798E-3</v>
      </c>
      <c r="E997" t="s">
        <v>598</v>
      </c>
      <c r="H997" t="s">
        <v>588</v>
      </c>
      <c r="I997">
        <v>2.9692289535624798E-3</v>
      </c>
      <c r="J997">
        <v>1.2214027581601699</v>
      </c>
      <c r="N997" t="s">
        <v>797</v>
      </c>
      <c r="O997" t="s">
        <v>2436</v>
      </c>
      <c r="Q997" t="s">
        <v>1790</v>
      </c>
    </row>
    <row r="998" spans="2:17">
      <c r="B998" t="s">
        <v>596</v>
      </c>
      <c r="C998" t="s">
        <v>597</v>
      </c>
      <c r="D998">
        <v>2.6063965834050999E-4</v>
      </c>
      <c r="E998" t="s">
        <v>598</v>
      </c>
      <c r="H998" t="s">
        <v>588</v>
      </c>
      <c r="I998">
        <v>2.6063965834050999E-4</v>
      </c>
      <c r="J998">
        <v>1.0247973619913604</v>
      </c>
      <c r="N998" t="s">
        <v>797</v>
      </c>
      <c r="O998" t="s">
        <v>1745</v>
      </c>
      <c r="Q998" t="s">
        <v>600</v>
      </c>
    </row>
    <row r="999" spans="2:17">
      <c r="B999" t="s">
        <v>596</v>
      </c>
      <c r="C999" t="s">
        <v>597</v>
      </c>
      <c r="D999">
        <v>1.11270438983619E-6</v>
      </c>
      <c r="E999" t="s">
        <v>598</v>
      </c>
      <c r="H999" t="s">
        <v>1733</v>
      </c>
      <c r="I999">
        <v>1.11270438983619E-6</v>
      </c>
      <c r="K999">
        <v>1.11270438983619E-6</v>
      </c>
      <c r="L999">
        <v>1.11270438983619E-6</v>
      </c>
      <c r="N999" t="s">
        <v>797</v>
      </c>
      <c r="O999" t="s">
        <v>2045</v>
      </c>
      <c r="Q999" t="s">
        <v>2433</v>
      </c>
    </row>
    <row r="1000" spans="2:17">
      <c r="B1000" t="s">
        <v>596</v>
      </c>
      <c r="C1000" t="s">
        <v>597</v>
      </c>
      <c r="D1000">
        <v>1.19696517418555E-5</v>
      </c>
      <c r="E1000" t="s">
        <v>598</v>
      </c>
      <c r="H1000" t="s">
        <v>588</v>
      </c>
      <c r="I1000">
        <v>1.19696517418555E-5</v>
      </c>
      <c r="J1000">
        <v>1.0247973619913604</v>
      </c>
      <c r="N1000" t="s">
        <v>797</v>
      </c>
      <c r="O1000" t="s">
        <v>2427</v>
      </c>
    </row>
    <row r="1001" spans="2:17">
      <c r="B1001" t="s">
        <v>596</v>
      </c>
      <c r="C1001" t="s">
        <v>597</v>
      </c>
      <c r="D1001">
        <v>4.1822941030823198E-5</v>
      </c>
      <c r="E1001" t="s">
        <v>598</v>
      </c>
      <c r="H1001" t="s">
        <v>588</v>
      </c>
      <c r="I1001">
        <v>4.1822941030823198E-5</v>
      </c>
      <c r="J1001">
        <v>1.0247973619913604</v>
      </c>
      <c r="N1001" t="s">
        <v>797</v>
      </c>
      <c r="O1001" t="s">
        <v>1745</v>
      </c>
      <c r="Q1001" t="s">
        <v>600</v>
      </c>
    </row>
    <row r="1002" spans="2:17">
      <c r="B1002" t="s">
        <v>596</v>
      </c>
      <c r="C1002" t="s">
        <v>597</v>
      </c>
      <c r="D1002">
        <v>3.3194800361415502E-4</v>
      </c>
      <c r="E1002" t="s">
        <v>598</v>
      </c>
      <c r="H1002" t="s">
        <v>588</v>
      </c>
      <c r="I1002">
        <v>3.3194800361415502E-4</v>
      </c>
      <c r="J1002">
        <v>1.0247973619913604</v>
      </c>
      <c r="N1002" t="s">
        <v>797</v>
      </c>
      <c r="O1002" t="s">
        <v>1752</v>
      </c>
      <c r="Q1002" t="s">
        <v>1753</v>
      </c>
    </row>
    <row r="1003" spans="2:17">
      <c r="B1003" t="s">
        <v>596</v>
      </c>
      <c r="C1003" t="s">
        <v>597</v>
      </c>
      <c r="D1003">
        <v>4.8007689410834603E-4</v>
      </c>
      <c r="E1003" t="s">
        <v>598</v>
      </c>
      <c r="H1003" t="s">
        <v>588</v>
      </c>
      <c r="I1003">
        <v>4.8007689410834603E-4</v>
      </c>
      <c r="J1003">
        <v>1.1051709180756477</v>
      </c>
      <c r="N1003" t="s">
        <v>797</v>
      </c>
      <c r="O1003" t="s">
        <v>1263</v>
      </c>
      <c r="Q1003" t="s">
        <v>2434</v>
      </c>
    </row>
    <row r="1004" spans="2:17">
      <c r="B1004" t="s">
        <v>596</v>
      </c>
      <c r="C1004" t="s">
        <v>597</v>
      </c>
      <c r="D1004">
        <v>9.8528549390622597E-5</v>
      </c>
      <c r="E1004" t="s">
        <v>598</v>
      </c>
      <c r="H1004" t="s">
        <v>588</v>
      </c>
      <c r="I1004">
        <v>9.8528549390622597E-5</v>
      </c>
      <c r="J1004">
        <v>1.0247973619913604</v>
      </c>
      <c r="N1004" t="s">
        <v>797</v>
      </c>
      <c r="O1004" t="s">
        <v>641</v>
      </c>
      <c r="Q1004" t="s">
        <v>1643</v>
      </c>
    </row>
    <row r="1005" spans="2:17">
      <c r="B1005" t="s">
        <v>596</v>
      </c>
      <c r="C1005" t="s">
        <v>597</v>
      </c>
      <c r="D1005">
        <v>3.8448948601751899E-5</v>
      </c>
      <c r="E1005" t="s">
        <v>598</v>
      </c>
      <c r="H1005" t="s">
        <v>588</v>
      </c>
      <c r="I1005">
        <v>3.8448948601751899E-5</v>
      </c>
      <c r="J1005">
        <v>1.0247973619913604</v>
      </c>
      <c r="N1005" t="s">
        <v>797</v>
      </c>
      <c r="O1005" t="s">
        <v>1745</v>
      </c>
      <c r="Q1005" t="s">
        <v>600</v>
      </c>
    </row>
    <row r="1006" spans="2:17">
      <c r="B1006" t="s">
        <v>596</v>
      </c>
      <c r="C1006" t="s">
        <v>597</v>
      </c>
      <c r="D1006">
        <v>4.0531403680838603E-5</v>
      </c>
      <c r="E1006" t="s">
        <v>598</v>
      </c>
      <c r="H1006" t="s">
        <v>588</v>
      </c>
      <c r="I1006">
        <v>4.0531403680838603E-5</v>
      </c>
      <c r="J1006">
        <v>1.0247973619913604</v>
      </c>
      <c r="N1006" t="s">
        <v>797</v>
      </c>
      <c r="O1006" t="s">
        <v>1745</v>
      </c>
      <c r="Q1006" t="s">
        <v>600</v>
      </c>
    </row>
    <row r="1007" spans="2:17">
      <c r="B1007" t="s">
        <v>596</v>
      </c>
      <c r="C1007" t="s">
        <v>597</v>
      </c>
      <c r="D1007">
        <v>1.5599116913514401E-4</v>
      </c>
      <c r="E1007" t="s">
        <v>598</v>
      </c>
      <c r="H1007" t="s">
        <v>588</v>
      </c>
      <c r="I1007">
        <v>1.5599116913514401E-4</v>
      </c>
      <c r="J1007">
        <v>1.0247973619913604</v>
      </c>
      <c r="N1007" t="s">
        <v>797</v>
      </c>
      <c r="O1007" t="s">
        <v>1745</v>
      </c>
      <c r="Q1007" t="s">
        <v>600</v>
      </c>
    </row>
    <row r="1008" spans="2:17">
      <c r="B1008" t="s">
        <v>596</v>
      </c>
      <c r="C1008" t="s">
        <v>597</v>
      </c>
      <c r="D1008">
        <v>8.3411838078446501E-7</v>
      </c>
      <c r="E1008" t="s">
        <v>598</v>
      </c>
      <c r="H1008" t="s">
        <v>588</v>
      </c>
      <c r="I1008">
        <v>8.3411838078446501E-7</v>
      </c>
      <c r="J1008">
        <v>1.0247973619913604</v>
      </c>
      <c r="N1008" t="s">
        <v>797</v>
      </c>
      <c r="O1008" t="s">
        <v>2427</v>
      </c>
    </row>
    <row r="1009" spans="2:17">
      <c r="B1009" t="s">
        <v>596</v>
      </c>
      <c r="C1009" t="s">
        <v>597</v>
      </c>
      <c r="D1009">
        <v>1.9169636793326101E-8</v>
      </c>
      <c r="E1009" t="s">
        <v>598</v>
      </c>
      <c r="H1009" t="s">
        <v>588</v>
      </c>
      <c r="I1009">
        <v>1.9169636793326101E-8</v>
      </c>
      <c r="J1009">
        <v>1</v>
      </c>
      <c r="N1009" t="s">
        <v>797</v>
      </c>
      <c r="O1009" t="s">
        <v>841</v>
      </c>
      <c r="Q1009" t="s">
        <v>2430</v>
      </c>
    </row>
    <row r="1010" spans="2:17">
      <c r="B1010" t="s">
        <v>596</v>
      </c>
      <c r="C1010" t="s">
        <v>597</v>
      </c>
      <c r="D1010">
        <v>8.4432431399975801E-6</v>
      </c>
      <c r="E1010" t="s">
        <v>598</v>
      </c>
      <c r="H1010" t="s">
        <v>1733</v>
      </c>
      <c r="I1010">
        <v>8.4432431399975801E-6</v>
      </c>
      <c r="K1010">
        <v>8.4432431399975801E-6</v>
      </c>
      <c r="L1010">
        <v>8.4432431399975801E-6</v>
      </c>
      <c r="N1010" t="s">
        <v>797</v>
      </c>
      <c r="O1010" t="s">
        <v>2045</v>
      </c>
      <c r="Q1010" t="s">
        <v>2433</v>
      </c>
    </row>
    <row r="1011" spans="2:17">
      <c r="B1011" t="s">
        <v>596</v>
      </c>
      <c r="C1011" t="s">
        <v>597</v>
      </c>
      <c r="D1011">
        <v>1.8474341012477599E-6</v>
      </c>
      <c r="E1011" t="s">
        <v>598</v>
      </c>
      <c r="H1011" t="s">
        <v>588</v>
      </c>
      <c r="I1011">
        <v>1.8474341012477599E-6</v>
      </c>
      <c r="J1011">
        <v>1.0247973619913604</v>
      </c>
      <c r="N1011" t="s">
        <v>797</v>
      </c>
      <c r="O1011" t="s">
        <v>2427</v>
      </c>
    </row>
    <row r="1012" spans="2:17">
      <c r="B1012" t="s">
        <v>596</v>
      </c>
      <c r="C1012" t="s">
        <v>597</v>
      </c>
      <c r="D1012">
        <v>1.2097766833571401E-3</v>
      </c>
      <c r="E1012" t="s">
        <v>598</v>
      </c>
      <c r="H1012" t="s">
        <v>588</v>
      </c>
      <c r="I1012">
        <v>1.2097766833571401E-3</v>
      </c>
      <c r="J1012">
        <v>1.0247973619913604</v>
      </c>
      <c r="N1012" t="s">
        <v>797</v>
      </c>
      <c r="O1012" t="s">
        <v>1745</v>
      </c>
      <c r="Q1012" t="s">
        <v>600</v>
      </c>
    </row>
    <row r="1013" spans="2:17">
      <c r="B1013" t="s">
        <v>596</v>
      </c>
      <c r="C1013" t="s">
        <v>597</v>
      </c>
      <c r="D1013">
        <v>1.0926533613693899E-4</v>
      </c>
      <c r="E1013" t="s">
        <v>598</v>
      </c>
      <c r="H1013" t="s">
        <v>588</v>
      </c>
      <c r="I1013">
        <v>1.0926533613693899E-4</v>
      </c>
      <c r="J1013">
        <v>1.0247973619913604</v>
      </c>
      <c r="N1013" t="s">
        <v>797</v>
      </c>
      <c r="O1013" t="s">
        <v>1745</v>
      </c>
      <c r="Q1013" t="s">
        <v>600</v>
      </c>
    </row>
    <row r="1014" spans="2:17">
      <c r="B1014" t="s">
        <v>596</v>
      </c>
      <c r="C1014" t="s">
        <v>597</v>
      </c>
      <c r="D1014">
        <v>8.0739824506641795E-5</v>
      </c>
      <c r="E1014" t="s">
        <v>598</v>
      </c>
      <c r="H1014" t="s">
        <v>588</v>
      </c>
      <c r="I1014">
        <v>8.0739824506641795E-5</v>
      </c>
      <c r="J1014">
        <v>1.0247973619913604</v>
      </c>
      <c r="N1014" t="s">
        <v>797</v>
      </c>
      <c r="O1014" t="s">
        <v>1745</v>
      </c>
      <c r="Q1014" t="s">
        <v>600</v>
      </c>
    </row>
    <row r="1015" spans="2:17">
      <c r="B1015" t="s">
        <v>596</v>
      </c>
      <c r="C1015" t="s">
        <v>597</v>
      </c>
      <c r="D1015">
        <v>2.0759116390065501E-4</v>
      </c>
      <c r="E1015" t="s">
        <v>598</v>
      </c>
      <c r="H1015" t="s">
        <v>588</v>
      </c>
      <c r="I1015">
        <v>2.0759116390065501E-4</v>
      </c>
      <c r="J1015">
        <v>1.0247973619913604</v>
      </c>
      <c r="N1015" t="s">
        <v>797</v>
      </c>
      <c r="O1015" t="s">
        <v>641</v>
      </c>
      <c r="Q1015" t="s">
        <v>1643</v>
      </c>
    </row>
    <row r="1016" spans="2:17">
      <c r="B1016" t="s">
        <v>596</v>
      </c>
      <c r="C1016" t="s">
        <v>597</v>
      </c>
      <c r="D1016">
        <v>6.4809067676738405E-7</v>
      </c>
      <c r="E1016" t="s">
        <v>598</v>
      </c>
      <c r="H1016" t="s">
        <v>588</v>
      </c>
      <c r="I1016">
        <v>6.4809067676738405E-7</v>
      </c>
      <c r="J1016">
        <v>1.0247973619913604</v>
      </c>
      <c r="N1016" t="s">
        <v>797</v>
      </c>
      <c r="O1016" t="s">
        <v>2427</v>
      </c>
    </row>
    <row r="1017" spans="2:17">
      <c r="B1017" t="s">
        <v>596</v>
      </c>
      <c r="C1017" t="s">
        <v>597</v>
      </c>
      <c r="D1017">
        <v>6.39333476533583E-6</v>
      </c>
      <c r="E1017" t="s">
        <v>598</v>
      </c>
      <c r="H1017" t="s">
        <v>588</v>
      </c>
      <c r="I1017">
        <v>6.39333476533583E-6</v>
      </c>
      <c r="J1017">
        <v>1.0247973619913604</v>
      </c>
      <c r="N1017" t="s">
        <v>797</v>
      </c>
      <c r="O1017" t="s">
        <v>2427</v>
      </c>
    </row>
    <row r="1018" spans="2:17">
      <c r="B1018" t="s">
        <v>596</v>
      </c>
      <c r="C1018" t="s">
        <v>597</v>
      </c>
      <c r="D1018">
        <v>6.2374560826597698E-6</v>
      </c>
      <c r="E1018" t="s">
        <v>598</v>
      </c>
      <c r="H1018" t="s">
        <v>588</v>
      </c>
      <c r="I1018">
        <v>6.2374560826597698E-6</v>
      </c>
      <c r="J1018">
        <v>1.0247973619913604</v>
      </c>
      <c r="N1018" t="s">
        <v>797</v>
      </c>
      <c r="O1018" t="s">
        <v>2427</v>
      </c>
    </row>
    <row r="1019" spans="2:17">
      <c r="B1019" t="s">
        <v>596</v>
      </c>
      <c r="C1019" t="s">
        <v>597</v>
      </c>
      <c r="D1019">
        <v>6.9272782604248896E-7</v>
      </c>
      <c r="E1019" t="s">
        <v>598</v>
      </c>
      <c r="H1019" t="s">
        <v>588</v>
      </c>
      <c r="I1019">
        <v>6.9272782604248896E-7</v>
      </c>
      <c r="J1019">
        <v>1</v>
      </c>
      <c r="N1019" t="s">
        <v>797</v>
      </c>
      <c r="O1019" t="s">
        <v>841</v>
      </c>
      <c r="Q1019" t="s">
        <v>2430</v>
      </c>
    </row>
    <row r="1020" spans="2:17">
      <c r="B1020" t="s">
        <v>596</v>
      </c>
      <c r="C1020" t="s">
        <v>597</v>
      </c>
      <c r="D1020">
        <v>2.7771314588184599E-5</v>
      </c>
      <c r="E1020" t="s">
        <v>598</v>
      </c>
      <c r="H1020" t="s">
        <v>588</v>
      </c>
      <c r="I1020">
        <v>2.7771314588184599E-5</v>
      </c>
      <c r="J1020">
        <v>1.0247973619913604</v>
      </c>
      <c r="N1020" t="s">
        <v>797</v>
      </c>
      <c r="O1020" t="s">
        <v>1745</v>
      </c>
      <c r="Q1020" t="s">
        <v>600</v>
      </c>
    </row>
    <row r="1021" spans="2:17">
      <c r="B1021" t="s">
        <v>596</v>
      </c>
      <c r="C1021" t="s">
        <v>597</v>
      </c>
      <c r="D1021">
        <v>2.2073251842589599E-6</v>
      </c>
      <c r="E1021" t="s">
        <v>598</v>
      </c>
      <c r="H1021" t="s">
        <v>588</v>
      </c>
      <c r="I1021">
        <v>2.2073251842589599E-6</v>
      </c>
      <c r="J1021">
        <v>1.0247973619913604</v>
      </c>
      <c r="N1021" t="s">
        <v>797</v>
      </c>
      <c r="O1021" t="s">
        <v>2427</v>
      </c>
    </row>
    <row r="1022" spans="2:17">
      <c r="B1022" t="s">
        <v>596</v>
      </c>
      <c r="C1022" t="s">
        <v>597</v>
      </c>
      <c r="D1022">
        <v>2.86403852885337E-5</v>
      </c>
      <c r="E1022" t="s">
        <v>598</v>
      </c>
      <c r="H1022" t="s">
        <v>588</v>
      </c>
      <c r="I1022">
        <v>2.86403852885337E-5</v>
      </c>
      <c r="J1022">
        <v>1.0247973619913604</v>
      </c>
      <c r="N1022" t="s">
        <v>797</v>
      </c>
      <c r="O1022" t="s">
        <v>2427</v>
      </c>
    </row>
    <row r="1023" spans="2:17">
      <c r="B1023" t="s">
        <v>596</v>
      </c>
      <c r="C1023" t="s">
        <v>597</v>
      </c>
      <c r="D1023">
        <v>5.18823607459432E-4</v>
      </c>
      <c r="E1023" t="s">
        <v>598</v>
      </c>
      <c r="H1023" t="s">
        <v>588</v>
      </c>
      <c r="I1023">
        <v>5.18823607459432E-4</v>
      </c>
      <c r="J1023">
        <v>1.0247973619913604</v>
      </c>
      <c r="N1023" t="s">
        <v>797</v>
      </c>
      <c r="O1023" t="s">
        <v>1745</v>
      </c>
      <c r="Q1023" t="s">
        <v>600</v>
      </c>
    </row>
    <row r="1024" spans="2:17">
      <c r="B1024" t="s">
        <v>596</v>
      </c>
      <c r="C1024" t="s">
        <v>597</v>
      </c>
      <c r="D1024">
        <v>4.7452909799247601E-4</v>
      </c>
      <c r="E1024" t="s">
        <v>598</v>
      </c>
      <c r="H1024" t="s">
        <v>588</v>
      </c>
      <c r="I1024">
        <v>4.7452909799247601E-4</v>
      </c>
      <c r="J1024">
        <v>1.0247973619913604</v>
      </c>
      <c r="N1024" t="s">
        <v>797</v>
      </c>
      <c r="O1024" t="s">
        <v>1745</v>
      </c>
      <c r="Q1024" t="s">
        <v>600</v>
      </c>
    </row>
    <row r="1025" spans="2:17">
      <c r="B1025" t="s">
        <v>596</v>
      </c>
      <c r="C1025" t="s">
        <v>597</v>
      </c>
      <c r="D1025">
        <v>1.8746865966826301E-6</v>
      </c>
      <c r="E1025" t="s">
        <v>598</v>
      </c>
      <c r="H1025" t="s">
        <v>588</v>
      </c>
      <c r="I1025">
        <v>1.8746865966826301E-6</v>
      </c>
      <c r="J1025">
        <v>1.0247973619913604</v>
      </c>
      <c r="N1025" t="s">
        <v>797</v>
      </c>
      <c r="O1025" t="s">
        <v>2427</v>
      </c>
    </row>
    <row r="1026" spans="2:17">
      <c r="B1026" t="s">
        <v>596</v>
      </c>
      <c r="C1026" t="s">
        <v>597</v>
      </c>
      <c r="D1026">
        <v>1.6601287573340001E-5</v>
      </c>
      <c r="E1026" t="s">
        <v>598</v>
      </c>
      <c r="H1026" t="s">
        <v>588</v>
      </c>
      <c r="I1026">
        <v>1.6601287573340001E-5</v>
      </c>
      <c r="J1026">
        <v>1.0247973619913604</v>
      </c>
      <c r="N1026" t="s">
        <v>797</v>
      </c>
      <c r="O1026" t="s">
        <v>1745</v>
      </c>
      <c r="Q1026" t="s">
        <v>600</v>
      </c>
    </row>
    <row r="1027" spans="2:17">
      <c r="B1027" t="s">
        <v>596</v>
      </c>
      <c r="C1027" t="s">
        <v>597</v>
      </c>
      <c r="D1027">
        <v>4.8359055472011098E-6</v>
      </c>
      <c r="E1027" t="s">
        <v>598</v>
      </c>
      <c r="H1027" t="s">
        <v>588</v>
      </c>
      <c r="I1027">
        <v>4.8359055472011098E-6</v>
      </c>
      <c r="J1027">
        <v>1.0247973619913604</v>
      </c>
      <c r="N1027" t="s">
        <v>797</v>
      </c>
      <c r="O1027" t="s">
        <v>2427</v>
      </c>
    </row>
    <row r="1028" spans="2:17">
      <c r="B1028" t="s">
        <v>596</v>
      </c>
      <c r="C1028" t="s">
        <v>597</v>
      </c>
      <c r="D1028">
        <v>1.46148474067307E-6</v>
      </c>
      <c r="E1028" t="s">
        <v>598</v>
      </c>
      <c r="H1028" t="s">
        <v>588</v>
      </c>
      <c r="I1028">
        <v>1.46148474067307E-6</v>
      </c>
      <c r="J1028">
        <v>1.0247973619913604</v>
      </c>
      <c r="N1028" t="s">
        <v>797</v>
      </c>
      <c r="O1028" t="s">
        <v>2427</v>
      </c>
    </row>
    <row r="1029" spans="2:17">
      <c r="B1029" t="s">
        <v>596</v>
      </c>
      <c r="C1029" t="s">
        <v>597</v>
      </c>
      <c r="D1029">
        <v>3.9601754945030603E-4</v>
      </c>
      <c r="E1029" t="s">
        <v>598</v>
      </c>
      <c r="H1029" t="s">
        <v>588</v>
      </c>
      <c r="I1029">
        <v>3.9601754945030603E-4</v>
      </c>
      <c r="J1029">
        <v>1.0247973619913604</v>
      </c>
      <c r="N1029" t="s">
        <v>797</v>
      </c>
      <c r="O1029" t="s">
        <v>641</v>
      </c>
      <c r="Q1029" t="s">
        <v>1643</v>
      </c>
    </row>
    <row r="1030" spans="2:17">
      <c r="B1030" t="s">
        <v>596</v>
      </c>
      <c r="C1030" t="s">
        <v>597</v>
      </c>
      <c r="D1030">
        <v>1.7889960407423299E-6</v>
      </c>
      <c r="E1030" t="s">
        <v>598</v>
      </c>
      <c r="H1030" t="s">
        <v>588</v>
      </c>
      <c r="I1030">
        <v>1.7889960407423299E-6</v>
      </c>
      <c r="J1030">
        <v>1.0247973619913604</v>
      </c>
      <c r="N1030" t="s">
        <v>797</v>
      </c>
      <c r="O1030" t="s">
        <v>2427</v>
      </c>
    </row>
    <row r="1031" spans="2:17">
      <c r="B1031" t="s">
        <v>596</v>
      </c>
      <c r="C1031" t="s">
        <v>597</v>
      </c>
      <c r="D1031">
        <v>2.1774136301938099E-3</v>
      </c>
      <c r="E1031" t="s">
        <v>598</v>
      </c>
      <c r="H1031" t="s">
        <v>588</v>
      </c>
      <c r="I1031">
        <v>2.1774136301938099E-3</v>
      </c>
      <c r="J1031">
        <v>1.1051709180756477</v>
      </c>
      <c r="N1031" t="s">
        <v>599</v>
      </c>
      <c r="O1031" t="s">
        <v>921</v>
      </c>
      <c r="Q1031" t="s">
        <v>2437</v>
      </c>
    </row>
    <row r="1032" spans="2:17">
      <c r="B1032" t="s">
        <v>596</v>
      </c>
      <c r="C1032" t="s">
        <v>597</v>
      </c>
      <c r="D1032">
        <v>2.4826755675903501E-5</v>
      </c>
      <c r="E1032" t="s">
        <v>598</v>
      </c>
      <c r="H1032" t="s">
        <v>588</v>
      </c>
      <c r="I1032">
        <v>2.4826755675903501E-5</v>
      </c>
      <c r="J1032">
        <v>1.0247973619913604</v>
      </c>
      <c r="N1032" t="s">
        <v>797</v>
      </c>
      <c r="O1032" t="s">
        <v>2427</v>
      </c>
    </row>
    <row r="1033" spans="2:17">
      <c r="B1033" t="s">
        <v>596</v>
      </c>
      <c r="C1033" t="s">
        <v>597</v>
      </c>
      <c r="D1033">
        <v>1.5348686258648801E-6</v>
      </c>
      <c r="E1033" t="s">
        <v>598</v>
      </c>
      <c r="H1033" t="s">
        <v>588</v>
      </c>
      <c r="I1033">
        <v>1.5348686258648801E-6</v>
      </c>
      <c r="J1033">
        <v>1.0247973619913604</v>
      </c>
      <c r="N1033" t="s">
        <v>797</v>
      </c>
      <c r="O1033" t="s">
        <v>2427</v>
      </c>
    </row>
    <row r="1034" spans="2:17">
      <c r="B1034" t="s">
        <v>596</v>
      </c>
      <c r="C1034" t="s">
        <v>597</v>
      </c>
      <c r="D1034">
        <v>1.25328396487386E-6</v>
      </c>
      <c r="E1034" t="s">
        <v>598</v>
      </c>
      <c r="H1034" t="s">
        <v>588</v>
      </c>
      <c r="I1034">
        <v>1.25328396487386E-6</v>
      </c>
      <c r="J1034">
        <v>1.0247973619913604</v>
      </c>
      <c r="N1034" t="s">
        <v>797</v>
      </c>
      <c r="O1034" t="s">
        <v>2427</v>
      </c>
    </row>
    <row r="1035" spans="2:17">
      <c r="B1035" t="s">
        <v>596</v>
      </c>
      <c r="C1035" t="s">
        <v>597</v>
      </c>
      <c r="D1035">
        <v>3.4526383319601398E-4</v>
      </c>
      <c r="E1035" t="s">
        <v>598</v>
      </c>
      <c r="H1035" t="s">
        <v>588</v>
      </c>
      <c r="I1035">
        <v>3.4526383319601398E-4</v>
      </c>
      <c r="J1035">
        <v>1.0247973619913604</v>
      </c>
      <c r="N1035" t="s">
        <v>599</v>
      </c>
      <c r="O1035" t="s">
        <v>2438</v>
      </c>
      <c r="Q1035" t="s">
        <v>2439</v>
      </c>
    </row>
    <row r="1036" spans="2:17">
      <c r="B1036" t="s">
        <v>596</v>
      </c>
      <c r="C1036" t="s">
        <v>597</v>
      </c>
      <c r="D1036">
        <v>8.9926782349202097E-7</v>
      </c>
      <c r="E1036" t="s">
        <v>598</v>
      </c>
      <c r="H1036" t="s">
        <v>1733</v>
      </c>
      <c r="I1036">
        <v>8.9926782349202097E-7</v>
      </c>
      <c r="K1036">
        <v>8.9926782349202097E-7</v>
      </c>
      <c r="L1036">
        <v>8.9926782349202097E-7</v>
      </c>
      <c r="N1036" t="s">
        <v>797</v>
      </c>
      <c r="O1036" t="s">
        <v>2045</v>
      </c>
      <c r="Q1036" t="s">
        <v>2433</v>
      </c>
    </row>
    <row r="1037" spans="2:17">
      <c r="B1037" t="s">
        <v>596</v>
      </c>
      <c r="C1037" t="s">
        <v>597</v>
      </c>
      <c r="D1037">
        <v>1.0179206394044699E-6</v>
      </c>
      <c r="E1037" t="s">
        <v>598</v>
      </c>
      <c r="H1037" t="s">
        <v>588</v>
      </c>
      <c r="I1037">
        <v>1.0179206394044699E-6</v>
      </c>
      <c r="J1037">
        <v>1.0247973619913604</v>
      </c>
      <c r="N1037" t="s">
        <v>797</v>
      </c>
      <c r="O1037" t="s">
        <v>2427</v>
      </c>
    </row>
    <row r="1038" spans="2:17">
      <c r="B1038" t="s">
        <v>596</v>
      </c>
      <c r="C1038" t="s">
        <v>597</v>
      </c>
      <c r="D1038">
        <v>4.3032171622528903E-5</v>
      </c>
      <c r="E1038" t="s">
        <v>598</v>
      </c>
      <c r="H1038" t="s">
        <v>588</v>
      </c>
      <c r="I1038">
        <v>4.3032171622528903E-5</v>
      </c>
      <c r="J1038">
        <v>1.0247973619913604</v>
      </c>
      <c r="N1038" t="s">
        <v>797</v>
      </c>
      <c r="O1038" t="s">
        <v>641</v>
      </c>
      <c r="Q1038" t="s">
        <v>1643</v>
      </c>
    </row>
    <row r="1039" spans="2:17">
      <c r="B1039" t="s">
        <v>596</v>
      </c>
      <c r="C1039" t="s">
        <v>597</v>
      </c>
      <c r="D1039">
        <v>1.49928899627307E-6</v>
      </c>
      <c r="E1039" t="s">
        <v>598</v>
      </c>
      <c r="H1039" t="s">
        <v>588</v>
      </c>
      <c r="I1039">
        <v>1.49928899627307E-6</v>
      </c>
      <c r="J1039">
        <v>1.0247973619913604</v>
      </c>
      <c r="N1039" t="s">
        <v>797</v>
      </c>
      <c r="O1039" t="s">
        <v>2427</v>
      </c>
    </row>
    <row r="1040" spans="2:17">
      <c r="B1040" t="s">
        <v>596</v>
      </c>
      <c r="C1040" t="s">
        <v>597</v>
      </c>
      <c r="D1040">
        <v>6.6608659962924896E-5</v>
      </c>
      <c r="E1040" t="s">
        <v>598</v>
      </c>
      <c r="H1040" t="s">
        <v>588</v>
      </c>
      <c r="I1040">
        <v>6.6608659962924896E-5</v>
      </c>
      <c r="J1040">
        <v>1.0247973619913604</v>
      </c>
      <c r="N1040" t="s">
        <v>797</v>
      </c>
      <c r="O1040" t="s">
        <v>1745</v>
      </c>
      <c r="Q1040" t="s">
        <v>600</v>
      </c>
    </row>
    <row r="1041" spans="2:17">
      <c r="B1041" t="s">
        <v>596</v>
      </c>
      <c r="C1041" t="s">
        <v>597</v>
      </c>
      <c r="D1041">
        <v>2.3391252399731998E-3</v>
      </c>
      <c r="E1041" t="s">
        <v>598</v>
      </c>
      <c r="H1041" t="s">
        <v>1733</v>
      </c>
      <c r="I1041">
        <v>2.3391252399731998E-3</v>
      </c>
      <c r="K1041">
        <v>2.3391252399731998E-3</v>
      </c>
      <c r="L1041">
        <v>2.3391252399731998E-3</v>
      </c>
      <c r="N1041" t="s">
        <v>797</v>
      </c>
      <c r="O1041" t="s">
        <v>2045</v>
      </c>
      <c r="Q1041" t="s">
        <v>2433</v>
      </c>
    </row>
    <row r="1042" spans="2:17">
      <c r="B1042" t="s">
        <v>596</v>
      </c>
      <c r="C1042" t="s">
        <v>597</v>
      </c>
      <c r="D1042">
        <v>1.10314224601319E-6</v>
      </c>
      <c r="E1042" t="s">
        <v>598</v>
      </c>
      <c r="H1042" t="s">
        <v>1733</v>
      </c>
      <c r="I1042">
        <v>1.10314224601319E-6</v>
      </c>
      <c r="K1042">
        <v>1.10314224601319E-6</v>
      </c>
      <c r="L1042">
        <v>1.10314224601319E-6</v>
      </c>
      <c r="N1042" t="s">
        <v>797</v>
      </c>
      <c r="O1042" t="s">
        <v>2045</v>
      </c>
      <c r="Q1042" t="s">
        <v>2433</v>
      </c>
    </row>
    <row r="1043" spans="2:17">
      <c r="B1043" t="s">
        <v>596</v>
      </c>
      <c r="C1043" t="s">
        <v>597</v>
      </c>
      <c r="D1043">
        <v>5.8080771491517904E-9</v>
      </c>
      <c r="E1043" t="s">
        <v>598</v>
      </c>
      <c r="H1043" t="s">
        <v>588</v>
      </c>
      <c r="I1043">
        <v>5.8080771491517904E-9</v>
      </c>
      <c r="J1043">
        <v>1</v>
      </c>
      <c r="N1043" t="s">
        <v>797</v>
      </c>
      <c r="O1043" t="s">
        <v>841</v>
      </c>
      <c r="Q1043" t="s">
        <v>2430</v>
      </c>
    </row>
    <row r="1044" spans="2:17">
      <c r="B1044" t="s">
        <v>596</v>
      </c>
      <c r="C1044" t="s">
        <v>597</v>
      </c>
      <c r="D1044">
        <v>3.80838727661923E-6</v>
      </c>
      <c r="E1044" t="s">
        <v>598</v>
      </c>
      <c r="H1044" t="s">
        <v>588</v>
      </c>
      <c r="I1044">
        <v>3.80838727661923E-6</v>
      </c>
      <c r="J1044">
        <v>1.0247973619913604</v>
      </c>
      <c r="N1044" t="s">
        <v>797</v>
      </c>
      <c r="O1044" t="s">
        <v>2427</v>
      </c>
    </row>
    <row r="1045" spans="2:17">
      <c r="B1045" t="s">
        <v>596</v>
      </c>
      <c r="C1045" t="s">
        <v>597</v>
      </c>
      <c r="D1045">
        <v>1.06928641815768E-4</v>
      </c>
      <c r="E1045" t="s">
        <v>598</v>
      </c>
      <c r="H1045" t="s">
        <v>588</v>
      </c>
      <c r="I1045">
        <v>1.06928641815768E-4</v>
      </c>
      <c r="J1045">
        <v>1.0247973619913604</v>
      </c>
      <c r="N1045" t="s">
        <v>797</v>
      </c>
      <c r="O1045" t="s">
        <v>1745</v>
      </c>
      <c r="Q1045" t="s">
        <v>600</v>
      </c>
    </row>
    <row r="1046" spans="2:17">
      <c r="B1046" t="s">
        <v>596</v>
      </c>
      <c r="C1046" t="s">
        <v>597</v>
      </c>
      <c r="D1046">
        <v>1.8495334320552699E-5</v>
      </c>
      <c r="E1046" t="s">
        <v>598</v>
      </c>
      <c r="H1046" t="s">
        <v>588</v>
      </c>
      <c r="I1046">
        <v>1.8495334320552699E-5</v>
      </c>
      <c r="J1046">
        <v>1.0247973619913604</v>
      </c>
      <c r="N1046" t="s">
        <v>797</v>
      </c>
      <c r="O1046" t="s">
        <v>2427</v>
      </c>
    </row>
    <row r="1047" spans="2:17">
      <c r="B1047" t="s">
        <v>596</v>
      </c>
      <c r="C1047" t="s">
        <v>597</v>
      </c>
      <c r="D1047">
        <v>1.2534207607177201E-7</v>
      </c>
      <c r="E1047" t="s">
        <v>598</v>
      </c>
      <c r="H1047" t="s">
        <v>588</v>
      </c>
      <c r="I1047">
        <v>1.2534207607177201E-7</v>
      </c>
      <c r="J1047">
        <v>1</v>
      </c>
      <c r="N1047" t="s">
        <v>797</v>
      </c>
      <c r="O1047" t="s">
        <v>841</v>
      </c>
      <c r="Q1047" t="s">
        <v>2430</v>
      </c>
    </row>
    <row r="1048" spans="2:17">
      <c r="B1048" t="s">
        <v>596</v>
      </c>
      <c r="C1048" t="s">
        <v>597</v>
      </c>
      <c r="D1048">
        <v>2.7889784354913999E-5</v>
      </c>
      <c r="E1048" t="s">
        <v>598</v>
      </c>
      <c r="H1048" t="s">
        <v>588</v>
      </c>
      <c r="I1048">
        <v>2.7889784354913999E-5</v>
      </c>
      <c r="J1048">
        <v>1.0247973619913604</v>
      </c>
      <c r="N1048" t="s">
        <v>797</v>
      </c>
      <c r="O1048" t="s">
        <v>1745</v>
      </c>
      <c r="Q1048" t="s">
        <v>600</v>
      </c>
    </row>
    <row r="1049" spans="2:17">
      <c r="B1049" t="s">
        <v>596</v>
      </c>
      <c r="C1049" t="s">
        <v>597</v>
      </c>
      <c r="D1049">
        <v>1.6676103914178698E-5</v>
      </c>
      <c r="E1049" t="s">
        <v>598</v>
      </c>
      <c r="H1049" t="s">
        <v>588</v>
      </c>
      <c r="I1049">
        <v>1.6676103914178698E-5</v>
      </c>
      <c r="J1049">
        <v>1.0247973619913604</v>
      </c>
      <c r="N1049" t="s">
        <v>797</v>
      </c>
      <c r="O1049" t="s">
        <v>2427</v>
      </c>
    </row>
    <row r="1050" spans="2:17">
      <c r="B1050" t="s">
        <v>596</v>
      </c>
      <c r="C1050" t="s">
        <v>597</v>
      </c>
      <c r="D1050">
        <v>8.0508780279144408E-3</v>
      </c>
      <c r="E1050" t="s">
        <v>598</v>
      </c>
      <c r="H1050" t="s">
        <v>588</v>
      </c>
      <c r="I1050">
        <v>8.0508780279144408E-3</v>
      </c>
      <c r="J1050">
        <v>1.1051709180756477</v>
      </c>
      <c r="N1050" t="s">
        <v>599</v>
      </c>
      <c r="O1050" t="s">
        <v>1263</v>
      </c>
      <c r="Q1050" t="s">
        <v>2434</v>
      </c>
    </row>
    <row r="1051" spans="2:17">
      <c r="B1051" t="s">
        <v>596</v>
      </c>
      <c r="C1051" t="s">
        <v>597</v>
      </c>
      <c r="D1051">
        <v>1.09398206570438E-4</v>
      </c>
      <c r="E1051" t="s">
        <v>598</v>
      </c>
      <c r="H1051" t="s">
        <v>588</v>
      </c>
      <c r="I1051">
        <v>1.09398206570438E-4</v>
      </c>
      <c r="J1051">
        <v>1.0247973619913604</v>
      </c>
      <c r="N1051" t="s">
        <v>797</v>
      </c>
      <c r="O1051" t="s">
        <v>641</v>
      </c>
      <c r="Q1051" t="s">
        <v>1643</v>
      </c>
    </row>
    <row r="1052" spans="2:17">
      <c r="B1052" t="s">
        <v>596</v>
      </c>
      <c r="C1052" t="s">
        <v>597</v>
      </c>
      <c r="D1052">
        <v>3.8741326007863501E-2</v>
      </c>
      <c r="E1052" t="s">
        <v>598</v>
      </c>
      <c r="H1052" t="s">
        <v>588</v>
      </c>
      <c r="I1052">
        <v>3.8741326007863501E-2</v>
      </c>
      <c r="J1052">
        <v>1.3805615130597377</v>
      </c>
      <c r="N1052" t="s">
        <v>599</v>
      </c>
      <c r="O1052" t="s">
        <v>2440</v>
      </c>
      <c r="Q1052" t="s">
        <v>2441</v>
      </c>
    </row>
    <row r="1053" spans="2:17">
      <c r="B1053" t="s">
        <v>596</v>
      </c>
      <c r="C1053" t="s">
        <v>597</v>
      </c>
      <c r="D1053">
        <v>1.2322698235788399E-3</v>
      </c>
      <c r="E1053" t="s">
        <v>598</v>
      </c>
      <c r="H1053" t="s">
        <v>588</v>
      </c>
      <c r="I1053">
        <v>1.2322698235788399E-3</v>
      </c>
      <c r="J1053">
        <v>1.0247973619913604</v>
      </c>
      <c r="N1053" t="s">
        <v>797</v>
      </c>
      <c r="O1053" t="s">
        <v>1745</v>
      </c>
      <c r="Q1053" t="s">
        <v>600</v>
      </c>
    </row>
    <row r="1054" spans="2:17">
      <c r="B1054" t="s">
        <v>596</v>
      </c>
      <c r="C1054" t="s">
        <v>597</v>
      </c>
      <c r="D1054">
        <v>2.1573005469624402E-3</v>
      </c>
      <c r="E1054" t="s">
        <v>598</v>
      </c>
      <c r="H1054" t="s">
        <v>588</v>
      </c>
      <c r="I1054">
        <v>2.1573005469624402E-3</v>
      </c>
      <c r="J1054">
        <v>1.2214027581601699</v>
      </c>
      <c r="N1054" t="s">
        <v>599</v>
      </c>
      <c r="O1054" t="s">
        <v>1157</v>
      </c>
      <c r="Q1054" t="s">
        <v>1790</v>
      </c>
    </row>
    <row r="1055" spans="2:17">
      <c r="B1055" t="s">
        <v>596</v>
      </c>
      <c r="C1055" t="s">
        <v>597</v>
      </c>
      <c r="D1055">
        <v>1.3882597348435801E-3</v>
      </c>
      <c r="E1055" t="s">
        <v>598</v>
      </c>
      <c r="H1055" t="s">
        <v>588</v>
      </c>
      <c r="I1055">
        <v>1.3882597348435801E-3</v>
      </c>
      <c r="J1055">
        <v>1</v>
      </c>
      <c r="N1055" t="s">
        <v>599</v>
      </c>
      <c r="O1055" t="s">
        <v>798</v>
      </c>
      <c r="Q1055" t="s">
        <v>2442</v>
      </c>
    </row>
    <row r="1056" spans="2:17">
      <c r="B1056" t="s">
        <v>596</v>
      </c>
      <c r="C1056" t="s">
        <v>597</v>
      </c>
      <c r="D1056">
        <v>1.37867868942399E-2</v>
      </c>
      <c r="E1056" t="s">
        <v>598</v>
      </c>
      <c r="H1056" t="s">
        <v>588</v>
      </c>
      <c r="I1056">
        <v>1.37867868942399E-2</v>
      </c>
      <c r="J1056">
        <v>1</v>
      </c>
      <c r="N1056" t="s">
        <v>797</v>
      </c>
      <c r="O1056" t="s">
        <v>798</v>
      </c>
      <c r="Q1056" t="s">
        <v>2442</v>
      </c>
    </row>
    <row r="1057" spans="2:17">
      <c r="B1057" t="s">
        <v>596</v>
      </c>
      <c r="C1057" t="s">
        <v>597</v>
      </c>
      <c r="D1057">
        <v>2.4328331675459001E-5</v>
      </c>
      <c r="E1057" t="s">
        <v>598</v>
      </c>
      <c r="H1057" t="s">
        <v>588</v>
      </c>
      <c r="I1057">
        <v>2.4328331675459001E-5</v>
      </c>
      <c r="J1057">
        <v>1.0247973619913604</v>
      </c>
      <c r="N1057" t="s">
        <v>797</v>
      </c>
      <c r="O1057" t="s">
        <v>2427</v>
      </c>
    </row>
    <row r="1058" spans="2:17">
      <c r="B1058" t="s">
        <v>596</v>
      </c>
      <c r="C1058" t="s">
        <v>597</v>
      </c>
      <c r="D1058">
        <v>8.3508719931708101E-8</v>
      </c>
      <c r="E1058" t="s">
        <v>598</v>
      </c>
      <c r="H1058" t="s">
        <v>1733</v>
      </c>
      <c r="I1058">
        <v>8.3508719931708101E-8</v>
      </c>
      <c r="K1058">
        <v>8.3508719931708101E-8</v>
      </c>
      <c r="L1058">
        <v>8.3508719931708101E-8</v>
      </c>
      <c r="N1058" t="s">
        <v>797</v>
      </c>
      <c r="O1058" t="s">
        <v>2045</v>
      </c>
      <c r="Q1058" t="s">
        <v>2433</v>
      </c>
    </row>
    <row r="1059" spans="2:17">
      <c r="B1059" t="s">
        <v>596</v>
      </c>
      <c r="C1059" t="s">
        <v>597</v>
      </c>
      <c r="D1059">
        <v>1.9248107770592299E-2</v>
      </c>
      <c r="E1059" t="s">
        <v>598</v>
      </c>
      <c r="H1059" t="s">
        <v>588</v>
      </c>
      <c r="I1059">
        <v>1.9248107770592299E-2</v>
      </c>
      <c r="J1059">
        <v>1.0247973619913604</v>
      </c>
      <c r="N1059" t="s">
        <v>599</v>
      </c>
      <c r="O1059" t="s">
        <v>641</v>
      </c>
      <c r="Q1059" t="s">
        <v>1643</v>
      </c>
    </row>
    <row r="1060" spans="2:17">
      <c r="B1060" t="s">
        <v>596</v>
      </c>
      <c r="C1060" t="s">
        <v>597</v>
      </c>
      <c r="D1060">
        <v>1.51874887486823E-6</v>
      </c>
      <c r="E1060" t="s">
        <v>598</v>
      </c>
      <c r="H1060" t="s">
        <v>1733</v>
      </c>
      <c r="I1060">
        <v>1.51874887486823E-6</v>
      </c>
      <c r="K1060">
        <v>1.51874887486823E-6</v>
      </c>
      <c r="L1060">
        <v>1.51874887486823E-6</v>
      </c>
      <c r="N1060" t="s">
        <v>797</v>
      </c>
      <c r="O1060" t="s">
        <v>2045</v>
      </c>
      <c r="Q1060" t="s">
        <v>2433</v>
      </c>
    </row>
    <row r="1061" spans="2:17">
      <c r="B1061" t="s">
        <v>596</v>
      </c>
      <c r="C1061" t="s">
        <v>597</v>
      </c>
      <c r="D1061">
        <v>4.44762017453394E-5</v>
      </c>
      <c r="E1061" t="s">
        <v>598</v>
      </c>
      <c r="H1061" t="s">
        <v>588</v>
      </c>
      <c r="I1061">
        <v>4.44762017453394E-5</v>
      </c>
      <c r="J1061">
        <v>1.0247973619913604</v>
      </c>
      <c r="N1061" t="s">
        <v>797</v>
      </c>
      <c r="O1061" t="s">
        <v>1745</v>
      </c>
      <c r="Q1061" t="s">
        <v>600</v>
      </c>
    </row>
    <row r="1062" spans="2:17">
      <c r="B1062" t="s">
        <v>596</v>
      </c>
      <c r="C1062" t="s">
        <v>597</v>
      </c>
      <c r="D1062">
        <v>1.5299108192952099E-2</v>
      </c>
      <c r="E1062" t="s">
        <v>598</v>
      </c>
      <c r="H1062" t="s">
        <v>588</v>
      </c>
      <c r="I1062">
        <v>1.5299108192952099E-2</v>
      </c>
      <c r="J1062">
        <v>1.0247973619913604</v>
      </c>
      <c r="N1062" t="s">
        <v>797</v>
      </c>
      <c r="O1062" t="s">
        <v>1745</v>
      </c>
      <c r="Q1062" t="s">
        <v>600</v>
      </c>
    </row>
    <row r="1063" spans="2:17">
      <c r="B1063" t="s">
        <v>596</v>
      </c>
      <c r="C1063" t="s">
        <v>597</v>
      </c>
      <c r="D1063">
        <v>2.7589652175159501E-3</v>
      </c>
      <c r="E1063" t="s">
        <v>598</v>
      </c>
      <c r="H1063" t="s">
        <v>1733</v>
      </c>
      <c r="I1063">
        <v>2.7589652175159501E-3</v>
      </c>
      <c r="K1063">
        <v>2.7589652175159501E-3</v>
      </c>
      <c r="L1063">
        <v>2.7589652175159501E-3</v>
      </c>
      <c r="N1063" t="s">
        <v>797</v>
      </c>
      <c r="O1063" t="s">
        <v>1657</v>
      </c>
      <c r="Q1063" t="s">
        <v>2433</v>
      </c>
    </row>
    <row r="1064" spans="2:17">
      <c r="B1064" t="s">
        <v>596</v>
      </c>
      <c r="C1064" t="s">
        <v>597</v>
      </c>
      <c r="D1064">
        <v>5.1616688705603199E-6</v>
      </c>
      <c r="E1064" t="s">
        <v>598</v>
      </c>
      <c r="H1064" t="s">
        <v>588</v>
      </c>
      <c r="I1064">
        <v>5.1616688705603199E-6</v>
      </c>
      <c r="J1064">
        <v>1.0247973619913604</v>
      </c>
      <c r="N1064" t="s">
        <v>797</v>
      </c>
      <c r="O1064" t="s">
        <v>2427</v>
      </c>
    </row>
    <row r="1065" spans="2:17">
      <c r="B1065" t="s">
        <v>596</v>
      </c>
      <c r="C1065" t="s">
        <v>597</v>
      </c>
      <c r="D1065">
        <v>1.5984169022984199E-7</v>
      </c>
      <c r="E1065" t="s">
        <v>598</v>
      </c>
      <c r="H1065" t="s">
        <v>588</v>
      </c>
      <c r="I1065">
        <v>1.5984169022984199E-7</v>
      </c>
      <c r="J1065">
        <v>1.0247973619913604</v>
      </c>
      <c r="N1065" t="s">
        <v>797</v>
      </c>
      <c r="O1065" t="s">
        <v>2427</v>
      </c>
    </row>
    <row r="1066" spans="2:17">
      <c r="B1066" t="s">
        <v>596</v>
      </c>
      <c r="C1066" t="s">
        <v>597</v>
      </c>
      <c r="D1066">
        <v>1.7115224270349499E-5</v>
      </c>
      <c r="E1066" t="s">
        <v>598</v>
      </c>
      <c r="H1066" t="s">
        <v>588</v>
      </c>
      <c r="I1066">
        <v>1.7115224270349499E-5</v>
      </c>
      <c r="J1066">
        <v>1.0247973619913604</v>
      </c>
      <c r="N1066" t="s">
        <v>797</v>
      </c>
      <c r="O1066" t="s">
        <v>1745</v>
      </c>
      <c r="Q1066" t="s">
        <v>600</v>
      </c>
    </row>
    <row r="1067" spans="2:17">
      <c r="B1067" t="s">
        <v>596</v>
      </c>
      <c r="C1067" t="s">
        <v>597</v>
      </c>
      <c r="D1067">
        <v>7.7159577341003002E-6</v>
      </c>
      <c r="E1067" t="s">
        <v>598</v>
      </c>
      <c r="H1067" t="s">
        <v>588</v>
      </c>
      <c r="I1067">
        <v>7.7159577341003002E-6</v>
      </c>
      <c r="J1067">
        <v>1.0247973619913604</v>
      </c>
      <c r="N1067" t="s">
        <v>797</v>
      </c>
      <c r="O1067" t="s">
        <v>1745</v>
      </c>
      <c r="Q1067" t="s">
        <v>600</v>
      </c>
    </row>
    <row r="1068" spans="2:17">
      <c r="B1068" t="s">
        <v>596</v>
      </c>
      <c r="C1068" t="s">
        <v>597</v>
      </c>
      <c r="D1068">
        <v>7.1228886610929799E-6</v>
      </c>
      <c r="E1068" t="s">
        <v>598</v>
      </c>
      <c r="H1068" t="s">
        <v>1733</v>
      </c>
      <c r="I1068">
        <v>7.1228886610929799E-6</v>
      </c>
      <c r="K1068">
        <v>7.1228886610929799E-6</v>
      </c>
      <c r="L1068">
        <v>7.1228886610929799E-6</v>
      </c>
      <c r="N1068" t="s">
        <v>797</v>
      </c>
      <c r="O1068" t="s">
        <v>2045</v>
      </c>
      <c r="Q1068" t="s">
        <v>2433</v>
      </c>
    </row>
    <row r="1069" spans="2:17">
      <c r="B1069" t="s">
        <v>596</v>
      </c>
      <c r="C1069" t="s">
        <v>597</v>
      </c>
      <c r="D1069">
        <v>0.11169743925309999</v>
      </c>
      <c r="E1069" t="s">
        <v>598</v>
      </c>
      <c r="H1069" t="s">
        <v>588</v>
      </c>
      <c r="I1069">
        <v>0.11169743925309999</v>
      </c>
      <c r="J1069">
        <v>1.1051709180756477</v>
      </c>
      <c r="N1069" t="s">
        <v>599</v>
      </c>
      <c r="O1069" t="s">
        <v>1263</v>
      </c>
      <c r="Q1069" t="s">
        <v>2434</v>
      </c>
    </row>
    <row r="1070" spans="2:17">
      <c r="B1070" t="s">
        <v>596</v>
      </c>
      <c r="C1070" t="s">
        <v>597</v>
      </c>
      <c r="D1070">
        <v>6.4908413863511002E-3</v>
      </c>
      <c r="E1070" t="s">
        <v>598</v>
      </c>
      <c r="H1070" t="s">
        <v>588</v>
      </c>
      <c r="I1070">
        <v>6.4908413863511002E-3</v>
      </c>
      <c r="J1070">
        <v>1.0247973619913604</v>
      </c>
      <c r="N1070" t="s">
        <v>797</v>
      </c>
      <c r="O1070" t="s">
        <v>1745</v>
      </c>
      <c r="Q1070" t="s">
        <v>600</v>
      </c>
    </row>
    <row r="1071" spans="2:17">
      <c r="B1071" t="s">
        <v>596</v>
      </c>
      <c r="C1071" t="s">
        <v>597</v>
      </c>
      <c r="D1071">
        <v>3.8632362483238801E-7</v>
      </c>
      <c r="E1071" t="s">
        <v>598</v>
      </c>
      <c r="H1071" t="s">
        <v>588</v>
      </c>
      <c r="I1071">
        <v>3.8632362483238801E-7</v>
      </c>
      <c r="J1071">
        <v>1.0247973619913604</v>
      </c>
      <c r="N1071" t="s">
        <v>797</v>
      </c>
      <c r="O1071" t="s">
        <v>2427</v>
      </c>
    </row>
    <row r="1072" spans="2:17">
      <c r="B1072" t="s">
        <v>596</v>
      </c>
      <c r="C1072" t="s">
        <v>597</v>
      </c>
      <c r="D1072">
        <v>6.6103197989347102E-4</v>
      </c>
      <c r="E1072" t="s">
        <v>598</v>
      </c>
      <c r="H1072" t="s">
        <v>588</v>
      </c>
      <c r="I1072">
        <v>6.6103197989347102E-4</v>
      </c>
      <c r="J1072">
        <v>1.1051709180756477</v>
      </c>
      <c r="N1072" t="s">
        <v>599</v>
      </c>
      <c r="O1072" t="s">
        <v>2307</v>
      </c>
      <c r="Q1072" t="s">
        <v>2443</v>
      </c>
    </row>
    <row r="1073" spans="2:17">
      <c r="B1073" t="s">
        <v>596</v>
      </c>
      <c r="C1073" t="s">
        <v>597</v>
      </c>
      <c r="D1073">
        <v>5.3471328591879897E-4</v>
      </c>
      <c r="E1073" t="s">
        <v>598</v>
      </c>
      <c r="H1073" t="s">
        <v>588</v>
      </c>
      <c r="I1073">
        <v>5.3471328591879897E-4</v>
      </c>
      <c r="J1073">
        <v>1.0247973619913604</v>
      </c>
      <c r="N1073" t="s">
        <v>797</v>
      </c>
      <c r="O1073" t="s">
        <v>1745</v>
      </c>
      <c r="Q1073" t="s">
        <v>600</v>
      </c>
    </row>
    <row r="1074" spans="2:17">
      <c r="B1074" t="s">
        <v>596</v>
      </c>
      <c r="C1074" t="s">
        <v>597</v>
      </c>
      <c r="D1074">
        <v>2.32565404598781E-4</v>
      </c>
      <c r="E1074" t="s">
        <v>598</v>
      </c>
      <c r="H1074" t="s">
        <v>588</v>
      </c>
      <c r="I1074">
        <v>2.32565404598781E-4</v>
      </c>
      <c r="J1074">
        <v>1.0247973619913604</v>
      </c>
      <c r="N1074" t="s">
        <v>797</v>
      </c>
      <c r="O1074" t="s">
        <v>1745</v>
      </c>
      <c r="Q1074" t="s">
        <v>600</v>
      </c>
    </row>
    <row r="1075" spans="2:17">
      <c r="B1075" t="s">
        <v>596</v>
      </c>
      <c r="C1075" t="s">
        <v>597</v>
      </c>
      <c r="D1075">
        <v>3.2291463428045499E-7</v>
      </c>
      <c r="E1075" t="s">
        <v>598</v>
      </c>
      <c r="H1075" t="s">
        <v>588</v>
      </c>
      <c r="I1075">
        <v>3.2291463428045499E-7</v>
      </c>
      <c r="J1075">
        <v>1</v>
      </c>
      <c r="N1075" t="s">
        <v>797</v>
      </c>
      <c r="O1075" t="s">
        <v>841</v>
      </c>
      <c r="Q1075" t="s">
        <v>2430</v>
      </c>
    </row>
    <row r="1076" spans="2:17">
      <c r="B1076" t="s">
        <v>596</v>
      </c>
      <c r="C1076" t="s">
        <v>597</v>
      </c>
      <c r="D1076">
        <v>1.7833176578372799E-6</v>
      </c>
      <c r="E1076" t="s">
        <v>598</v>
      </c>
      <c r="H1076" t="s">
        <v>1733</v>
      </c>
      <c r="I1076">
        <v>1.7833176578372799E-6</v>
      </c>
      <c r="K1076">
        <v>1.7833176578372799E-6</v>
      </c>
      <c r="L1076">
        <v>1.7833176578372799E-6</v>
      </c>
      <c r="N1076" t="s">
        <v>797</v>
      </c>
      <c r="O1076" t="s">
        <v>2045</v>
      </c>
      <c r="Q1076" t="s">
        <v>2433</v>
      </c>
    </row>
    <row r="1077" spans="2:17">
      <c r="B1077" t="s">
        <v>596</v>
      </c>
      <c r="C1077" t="s">
        <v>597</v>
      </c>
      <c r="D1077">
        <v>1.9919594789713799E-5</v>
      </c>
      <c r="E1077" t="s">
        <v>598</v>
      </c>
      <c r="H1077" t="s">
        <v>588</v>
      </c>
      <c r="I1077">
        <v>1.9919594789713799E-5</v>
      </c>
      <c r="J1077">
        <v>1.0247973619913604</v>
      </c>
      <c r="N1077" t="s">
        <v>797</v>
      </c>
      <c r="O1077" t="s">
        <v>1745</v>
      </c>
      <c r="Q1077" t="s">
        <v>600</v>
      </c>
    </row>
    <row r="1078" spans="2:17">
      <c r="B1078" t="s">
        <v>596</v>
      </c>
      <c r="C1078" t="s">
        <v>597</v>
      </c>
      <c r="D1078">
        <v>1.8708554410388699E-6</v>
      </c>
      <c r="E1078" t="s">
        <v>598</v>
      </c>
      <c r="H1078" t="s">
        <v>1733</v>
      </c>
      <c r="I1078">
        <v>1.8708554410388699E-6</v>
      </c>
      <c r="K1078">
        <v>1.8708554410388699E-6</v>
      </c>
      <c r="L1078">
        <v>1.8708554410388699E-6</v>
      </c>
      <c r="N1078" t="s">
        <v>797</v>
      </c>
      <c r="O1078" t="s">
        <v>2045</v>
      </c>
      <c r="Q1078" t="s">
        <v>2433</v>
      </c>
    </row>
    <row r="1079" spans="2:17">
      <c r="B1079" t="s">
        <v>596</v>
      </c>
      <c r="C1079" t="s">
        <v>597</v>
      </c>
      <c r="D1079">
        <v>7.0338208663872201E-8</v>
      </c>
      <c r="E1079" t="s">
        <v>598</v>
      </c>
      <c r="H1079" t="s">
        <v>1733</v>
      </c>
      <c r="I1079">
        <v>7.0338208663872201E-8</v>
      </c>
      <c r="K1079">
        <v>7.0338208663872201E-8</v>
      </c>
      <c r="L1079">
        <v>7.0338208663872201E-8</v>
      </c>
      <c r="N1079" t="s">
        <v>797</v>
      </c>
      <c r="O1079" t="s">
        <v>2045</v>
      </c>
      <c r="Q1079" t="s">
        <v>2433</v>
      </c>
    </row>
    <row r="1080" spans="2:17">
      <c r="B1080" t="s">
        <v>596</v>
      </c>
      <c r="C1080" t="s">
        <v>597</v>
      </c>
      <c r="D1080">
        <v>1.4808896862788701E-5</v>
      </c>
      <c r="E1080" t="s">
        <v>598</v>
      </c>
      <c r="H1080" t="s">
        <v>588</v>
      </c>
      <c r="I1080">
        <v>1.4808896862788701E-5</v>
      </c>
      <c r="J1080">
        <v>1.0247973619913604</v>
      </c>
      <c r="N1080" t="s">
        <v>797</v>
      </c>
      <c r="O1080" t="s">
        <v>2427</v>
      </c>
    </row>
    <row r="1081" spans="2:17">
      <c r="B1081" t="s">
        <v>2444</v>
      </c>
      <c r="C1081" t="s">
        <v>597</v>
      </c>
      <c r="D1081">
        <v>2.19641395398648E-3</v>
      </c>
      <c r="E1081" t="s">
        <v>598</v>
      </c>
      <c r="H1081" t="s">
        <v>588</v>
      </c>
      <c r="I1081">
        <v>2.19641395398648E-3</v>
      </c>
      <c r="J1081">
        <v>1.0247973619913604</v>
      </c>
      <c r="N1081" t="s">
        <v>2445</v>
      </c>
      <c r="O1081" t="s">
        <v>1765</v>
      </c>
      <c r="Q1081" t="s">
        <v>2446</v>
      </c>
    </row>
    <row r="1082" spans="2:17">
      <c r="B1082" t="s">
        <v>2447</v>
      </c>
      <c r="C1082" t="s">
        <v>1862</v>
      </c>
      <c r="D1082">
        <v>1.47595311017175E-6</v>
      </c>
      <c r="E1082" t="s">
        <v>94</v>
      </c>
      <c r="N1082" t="s">
        <v>2448</v>
      </c>
      <c r="Q1082" t="s">
        <v>2449</v>
      </c>
    </row>
    <row r="1083" spans="2:17">
      <c r="B1083" t="s">
        <v>2450</v>
      </c>
      <c r="C1083" t="s">
        <v>615</v>
      </c>
      <c r="D1083">
        <v>1.9404543813765899E-12</v>
      </c>
      <c r="E1083" t="s">
        <v>616</v>
      </c>
      <c r="H1083" t="s">
        <v>588</v>
      </c>
      <c r="I1083">
        <v>1.9404543813765899E-12</v>
      </c>
      <c r="J1083">
        <v>1.8822267774802921</v>
      </c>
      <c r="N1083" t="s">
        <v>2451</v>
      </c>
      <c r="O1083" t="s">
        <v>2452</v>
      </c>
      <c r="Q1083" t="s">
        <v>811</v>
      </c>
    </row>
    <row r="1084" spans="2:17">
      <c r="B1084" t="s">
        <v>2453</v>
      </c>
      <c r="C1084" t="s">
        <v>2454</v>
      </c>
      <c r="D1084">
        <v>4.1278959639510602E-8</v>
      </c>
      <c r="E1084" t="s">
        <v>616</v>
      </c>
      <c r="H1084" t="s">
        <v>588</v>
      </c>
      <c r="I1084">
        <v>4.1278959639510602E-8</v>
      </c>
      <c r="J1084">
        <v>1.760654165524179</v>
      </c>
      <c r="N1084" t="s">
        <v>2455</v>
      </c>
      <c r="O1084" t="s">
        <v>2456</v>
      </c>
      <c r="Q1084" t="s">
        <v>2457</v>
      </c>
    </row>
    <row r="1085" spans="2:17">
      <c r="B1085" t="s">
        <v>2458</v>
      </c>
      <c r="C1085" t="s">
        <v>1170</v>
      </c>
      <c r="D1085">
        <v>8.4890898063841405E-8</v>
      </c>
      <c r="E1085" t="s">
        <v>94</v>
      </c>
      <c r="H1085" t="s">
        <v>588</v>
      </c>
      <c r="I1085">
        <v>8.4890898063841405E-8</v>
      </c>
      <c r="J1085">
        <v>1.0247973619913604</v>
      </c>
      <c r="N1085" t="s">
        <v>2459</v>
      </c>
      <c r="O1085" t="s">
        <v>1914</v>
      </c>
      <c r="Q1085" t="s">
        <v>2018</v>
      </c>
    </row>
    <row r="1086" spans="2:17">
      <c r="B1086" t="s">
        <v>2460</v>
      </c>
      <c r="C1086" t="s">
        <v>1170</v>
      </c>
      <c r="D1086">
        <v>4.02376213287269E-5</v>
      </c>
      <c r="E1086" t="s">
        <v>94</v>
      </c>
      <c r="H1086" t="s">
        <v>588</v>
      </c>
      <c r="I1086">
        <v>4.02376213287269E-5</v>
      </c>
      <c r="J1086">
        <v>1.0247973619913604</v>
      </c>
      <c r="N1086" t="s">
        <v>2461</v>
      </c>
      <c r="O1086" t="s">
        <v>1914</v>
      </c>
      <c r="Q1086" t="s">
        <v>2462</v>
      </c>
    </row>
    <row r="1087" spans="2:17">
      <c r="B1087" t="s">
        <v>2463</v>
      </c>
      <c r="C1087" t="s">
        <v>1489</v>
      </c>
      <c r="D1087">
        <v>3.7128135380117402E-5</v>
      </c>
      <c r="E1087" t="s">
        <v>94</v>
      </c>
      <c r="H1087" t="s">
        <v>588</v>
      </c>
      <c r="I1087">
        <v>3.7128135380117402E-5</v>
      </c>
      <c r="J1087">
        <v>1.1401373874887699</v>
      </c>
      <c r="N1087" t="s">
        <v>2464</v>
      </c>
      <c r="O1087" t="s">
        <v>2465</v>
      </c>
      <c r="Q1087" t="s">
        <v>595</v>
      </c>
    </row>
    <row r="1088" spans="2:17">
      <c r="B1088" t="s">
        <v>2466</v>
      </c>
      <c r="C1088" t="s">
        <v>2243</v>
      </c>
      <c r="D1088">
        <v>1.51043097631738E-8</v>
      </c>
      <c r="E1088" t="s">
        <v>616</v>
      </c>
      <c r="H1088" t="s">
        <v>588</v>
      </c>
      <c r="I1088">
        <v>1.51043097631738E-8</v>
      </c>
      <c r="J1088">
        <v>1.7293101253499219</v>
      </c>
      <c r="N1088" t="s">
        <v>2467</v>
      </c>
      <c r="O1088" t="s">
        <v>1713</v>
      </c>
      <c r="Q1088" t="s">
        <v>2468</v>
      </c>
    </row>
    <row r="1089" spans="2:17">
      <c r="B1089" t="s">
        <v>2469</v>
      </c>
      <c r="C1089" t="s">
        <v>1305</v>
      </c>
      <c r="D1089">
        <v>4.9209460291093804E-13</v>
      </c>
      <c r="E1089" t="s">
        <v>94</v>
      </c>
      <c r="H1089" t="s">
        <v>588</v>
      </c>
      <c r="I1089">
        <v>4.9209460291093804E-13</v>
      </c>
      <c r="J1089">
        <v>1.0247973619913604</v>
      </c>
      <c r="N1089" t="s">
        <v>2470</v>
      </c>
      <c r="O1089" t="s">
        <v>1150</v>
      </c>
      <c r="Q1089" t="s">
        <v>2471</v>
      </c>
    </row>
    <row r="1090" spans="2:17">
      <c r="B1090" t="s">
        <v>2469</v>
      </c>
      <c r="C1090" t="s">
        <v>1305</v>
      </c>
      <c r="D1090">
        <v>1.09736033040276E-13</v>
      </c>
      <c r="E1090" t="s">
        <v>94</v>
      </c>
      <c r="H1090" t="s">
        <v>588</v>
      </c>
      <c r="I1090">
        <v>1.09736033040276E-13</v>
      </c>
      <c r="J1090">
        <v>1.0247973619913604</v>
      </c>
      <c r="N1090" t="s">
        <v>2470</v>
      </c>
      <c r="O1090" t="s">
        <v>1150</v>
      </c>
      <c r="Q1090" t="s">
        <v>2471</v>
      </c>
    </row>
    <row r="1091" spans="2:17">
      <c r="B1091" t="s">
        <v>2472</v>
      </c>
      <c r="C1091" t="s">
        <v>1502</v>
      </c>
      <c r="D1091">
        <v>8.1541293771251397E-3</v>
      </c>
      <c r="E1091" t="s">
        <v>475</v>
      </c>
      <c r="H1091" t="s">
        <v>588</v>
      </c>
      <c r="I1091">
        <v>8.1541293771251397E-3</v>
      </c>
      <c r="J1091">
        <v>1.4139824580805163</v>
      </c>
      <c r="N1091" t="s">
        <v>2473</v>
      </c>
      <c r="O1091" t="s">
        <v>2436</v>
      </c>
      <c r="Q1091" t="s">
        <v>2474</v>
      </c>
    </row>
    <row r="1092" spans="2:17">
      <c r="B1092" t="s">
        <v>2472</v>
      </c>
      <c r="C1092" t="s">
        <v>1502</v>
      </c>
      <c r="D1092">
        <v>8.1541293771251397E-3</v>
      </c>
      <c r="E1092" t="s">
        <v>475</v>
      </c>
      <c r="H1092" t="s">
        <v>588</v>
      </c>
      <c r="I1092">
        <v>8.1541293771251397E-3</v>
      </c>
      <c r="J1092">
        <v>1.4139824580805163</v>
      </c>
      <c r="N1092" t="s">
        <v>2475</v>
      </c>
      <c r="O1092" t="s">
        <v>1157</v>
      </c>
      <c r="Q1092" t="s">
        <v>2476</v>
      </c>
    </row>
    <row r="1093" spans="2:17">
      <c r="B1093" t="s">
        <v>2477</v>
      </c>
      <c r="C1093" t="s">
        <v>1502</v>
      </c>
      <c r="D1093">
        <v>8.1739776175068606E-3</v>
      </c>
      <c r="E1093" t="s">
        <v>475</v>
      </c>
      <c r="H1093" t="s">
        <v>588</v>
      </c>
      <c r="I1093">
        <v>8.1739776175068606E-3</v>
      </c>
      <c r="J1093">
        <v>1.4139824580805163</v>
      </c>
      <c r="N1093" t="s">
        <v>2478</v>
      </c>
      <c r="O1093" t="s">
        <v>1157</v>
      </c>
      <c r="Q1093" t="s">
        <v>979</v>
      </c>
    </row>
    <row r="1094" spans="2:17">
      <c r="B1094" t="s">
        <v>2477</v>
      </c>
      <c r="C1094" t="s">
        <v>1502</v>
      </c>
      <c r="D1094">
        <v>8.1739776175068606E-3</v>
      </c>
      <c r="E1094" t="s">
        <v>475</v>
      </c>
      <c r="H1094" t="s">
        <v>588</v>
      </c>
      <c r="I1094">
        <v>8.1739776175068606E-3</v>
      </c>
      <c r="J1094">
        <v>1.4139824580805163</v>
      </c>
      <c r="N1094" t="s">
        <v>2479</v>
      </c>
      <c r="O1094" t="s">
        <v>2436</v>
      </c>
      <c r="Q1094" t="s">
        <v>2474</v>
      </c>
    </row>
    <row r="1095" spans="2:17">
      <c r="B1095" t="s">
        <v>2480</v>
      </c>
      <c r="C1095" t="s">
        <v>2481</v>
      </c>
      <c r="D1095">
        <v>0.371553886334205</v>
      </c>
      <c r="E1095" t="s">
        <v>607</v>
      </c>
      <c r="H1095" t="s">
        <v>588</v>
      </c>
      <c r="I1095">
        <v>0.371553886334205</v>
      </c>
      <c r="J1095">
        <v>1.074399999999982</v>
      </c>
      <c r="O1095" t="s">
        <v>2024</v>
      </c>
    </row>
    <row r="1096" spans="2:17">
      <c r="B1096" t="s">
        <v>2482</v>
      </c>
      <c r="C1096" t="s">
        <v>639</v>
      </c>
      <c r="D1096">
        <v>4.6496044963866799E-2</v>
      </c>
      <c r="E1096" t="s">
        <v>607</v>
      </c>
    </row>
    <row r="1097" spans="2:17">
      <c r="B1097" t="s">
        <v>2483</v>
      </c>
      <c r="C1097" t="s">
        <v>673</v>
      </c>
      <c r="D1097">
        <v>1.0823585956287799E-6</v>
      </c>
      <c r="E1097" t="s">
        <v>94</v>
      </c>
      <c r="H1097" t="s">
        <v>588</v>
      </c>
      <c r="I1097">
        <v>1.0823585956287799E-6</v>
      </c>
      <c r="J1097">
        <v>1.0247973619913604</v>
      </c>
      <c r="N1097" t="s">
        <v>2484</v>
      </c>
      <c r="O1097" t="s">
        <v>2485</v>
      </c>
      <c r="Q1097" t="s">
        <v>2486</v>
      </c>
    </row>
    <row r="1098" spans="2:17">
      <c r="B1098" t="s">
        <v>1224</v>
      </c>
      <c r="C1098" t="s">
        <v>673</v>
      </c>
      <c r="D1098">
        <v>3.4147804703444501E-4</v>
      </c>
      <c r="E1098" t="s">
        <v>94</v>
      </c>
      <c r="H1098" t="s">
        <v>588</v>
      </c>
      <c r="I1098">
        <v>3.4147804703444501E-4</v>
      </c>
      <c r="J1098">
        <v>1.0247973619913604</v>
      </c>
      <c r="N1098" t="s">
        <v>1225</v>
      </c>
      <c r="O1098" t="s">
        <v>1135</v>
      </c>
      <c r="Q1098" t="s">
        <v>1136</v>
      </c>
    </row>
    <row r="1099" spans="2:17">
      <c r="B1099" t="s">
        <v>1224</v>
      </c>
      <c r="C1099" t="s">
        <v>673</v>
      </c>
      <c r="D1099">
        <v>7.0413667979420696E-5</v>
      </c>
      <c r="E1099" t="s">
        <v>94</v>
      </c>
      <c r="H1099" t="s">
        <v>588</v>
      </c>
      <c r="I1099">
        <v>7.0413667979420696E-5</v>
      </c>
      <c r="J1099">
        <v>1.0247973619913604</v>
      </c>
      <c r="N1099" t="s">
        <v>1225</v>
      </c>
      <c r="O1099" t="s">
        <v>1135</v>
      </c>
      <c r="Q1099" t="s">
        <v>1136</v>
      </c>
    </row>
    <row r="1100" spans="2:17">
      <c r="B1100" t="s">
        <v>2487</v>
      </c>
      <c r="C1100" t="s">
        <v>1810</v>
      </c>
      <c r="D1100">
        <v>1.0934240451793099E-3</v>
      </c>
      <c r="E1100" t="s">
        <v>616</v>
      </c>
      <c r="N1100" t="s">
        <v>2488</v>
      </c>
      <c r="Q1100" t="s">
        <v>2489</v>
      </c>
    </row>
    <row r="1101" spans="2:17">
      <c r="B1101" t="s">
        <v>2490</v>
      </c>
      <c r="C1101" t="s">
        <v>708</v>
      </c>
      <c r="D1101">
        <v>3.3348810509967598E-10</v>
      </c>
      <c r="E1101" t="s">
        <v>94</v>
      </c>
      <c r="H1101" t="s">
        <v>588</v>
      </c>
      <c r="I1101">
        <v>3.3348810509967598E-10</v>
      </c>
      <c r="J1101">
        <v>1.0247973619913604</v>
      </c>
      <c r="N1101" t="s">
        <v>2491</v>
      </c>
      <c r="O1101" t="s">
        <v>641</v>
      </c>
      <c r="Q1101" t="s">
        <v>1672</v>
      </c>
    </row>
    <row r="1102" spans="2:17">
      <c r="B1102" t="s">
        <v>2490</v>
      </c>
      <c r="C1102" t="s">
        <v>708</v>
      </c>
      <c r="D1102">
        <v>6.6385949893673797E-10</v>
      </c>
      <c r="E1102" t="s">
        <v>94</v>
      </c>
      <c r="H1102" t="s">
        <v>588</v>
      </c>
      <c r="I1102">
        <v>6.6385949893673797E-10</v>
      </c>
      <c r="J1102">
        <v>1.0247973619913604</v>
      </c>
      <c r="N1102" t="s">
        <v>2491</v>
      </c>
      <c r="O1102" t="s">
        <v>641</v>
      </c>
      <c r="Q1102" t="s">
        <v>1672</v>
      </c>
    </row>
    <row r="1103" spans="2:17">
      <c r="B1103" t="s">
        <v>2492</v>
      </c>
      <c r="C1103" t="s">
        <v>673</v>
      </c>
      <c r="D1103">
        <v>3.21211360818745E-6</v>
      </c>
      <c r="E1103" t="s">
        <v>94</v>
      </c>
      <c r="H1103" t="s">
        <v>588</v>
      </c>
      <c r="I1103">
        <v>3.21211360818745E-6</v>
      </c>
      <c r="J1103">
        <v>1.0247973619913604</v>
      </c>
      <c r="N1103" t="s">
        <v>2493</v>
      </c>
      <c r="O1103" t="s">
        <v>1752</v>
      </c>
      <c r="Q1103" t="s">
        <v>2494</v>
      </c>
    </row>
    <row r="1104" spans="2:17">
      <c r="B1104" t="s">
        <v>2495</v>
      </c>
      <c r="C1104" t="s">
        <v>615</v>
      </c>
      <c r="D1104">
        <v>4.3522348199753696E-12</v>
      </c>
      <c r="E1104" t="s">
        <v>616</v>
      </c>
      <c r="H1104" t="s">
        <v>588</v>
      </c>
      <c r="I1104">
        <v>4.3522348199753696E-12</v>
      </c>
      <c r="J1104">
        <v>1.7450381821146503</v>
      </c>
      <c r="N1104" t="s">
        <v>2496</v>
      </c>
      <c r="O1104" t="s">
        <v>1896</v>
      </c>
      <c r="Q1104" t="s">
        <v>979</v>
      </c>
    </row>
    <row r="1105" spans="2:17">
      <c r="B1105" t="s">
        <v>2495</v>
      </c>
      <c r="C1105" t="s">
        <v>615</v>
      </c>
      <c r="D1105">
        <v>1.69643832254137E-12</v>
      </c>
      <c r="E1105" t="s">
        <v>616</v>
      </c>
      <c r="H1105" t="s">
        <v>588</v>
      </c>
      <c r="I1105">
        <v>1.69643832254137E-12</v>
      </c>
      <c r="J1105">
        <v>1.7450381821146503</v>
      </c>
      <c r="N1105" t="s">
        <v>2497</v>
      </c>
      <c r="O1105" t="s">
        <v>2498</v>
      </c>
      <c r="Q1105" t="s">
        <v>2499</v>
      </c>
    </row>
    <row r="1106" spans="2:17">
      <c r="B1106" t="s">
        <v>2500</v>
      </c>
      <c r="C1106" t="s">
        <v>673</v>
      </c>
      <c r="D1106">
        <v>3.4407250747859598E-6</v>
      </c>
      <c r="E1106" t="s">
        <v>94</v>
      </c>
      <c r="H1106" t="s">
        <v>588</v>
      </c>
      <c r="I1106">
        <v>3.4407250747859598E-6</v>
      </c>
      <c r="J1106">
        <v>1.0247973619913604</v>
      </c>
      <c r="N1106" t="s">
        <v>2501</v>
      </c>
      <c r="O1106" t="s">
        <v>641</v>
      </c>
      <c r="Q1106" t="s">
        <v>1672</v>
      </c>
    </row>
    <row r="1107" spans="2:17">
      <c r="B1107" t="s">
        <v>2500</v>
      </c>
      <c r="C1107" t="s">
        <v>673</v>
      </c>
      <c r="D1107">
        <v>7.6580910114186792E-6</v>
      </c>
      <c r="E1107" t="s">
        <v>94</v>
      </c>
      <c r="H1107" t="s">
        <v>588</v>
      </c>
      <c r="I1107">
        <v>7.6580910114186792E-6</v>
      </c>
      <c r="J1107">
        <v>1.0247973619913604</v>
      </c>
      <c r="N1107" t="s">
        <v>2501</v>
      </c>
      <c r="O1107" t="s">
        <v>641</v>
      </c>
      <c r="Q1107" t="s">
        <v>1672</v>
      </c>
    </row>
    <row r="1108" spans="2:17">
      <c r="B1108" t="s">
        <v>2502</v>
      </c>
      <c r="C1108" t="s">
        <v>673</v>
      </c>
      <c r="D1108">
        <v>2.8111284541427399E-3</v>
      </c>
      <c r="E1108" t="s">
        <v>94</v>
      </c>
      <c r="N1108" t="s">
        <v>2503</v>
      </c>
    </row>
    <row r="1109" spans="2:17">
      <c r="B1109" t="s">
        <v>2502</v>
      </c>
      <c r="C1109" t="s">
        <v>673</v>
      </c>
      <c r="D1109">
        <v>2.8111326700383998E-3</v>
      </c>
      <c r="E1109" t="s">
        <v>94</v>
      </c>
      <c r="N1109" t="s">
        <v>2503</v>
      </c>
    </row>
    <row r="1110" spans="2:17">
      <c r="B1110" t="s">
        <v>2502</v>
      </c>
      <c r="C1110" t="s">
        <v>673</v>
      </c>
      <c r="D1110">
        <v>1.6065899482878499E-6</v>
      </c>
      <c r="E1110" t="s">
        <v>94</v>
      </c>
      <c r="N1110" t="s">
        <v>2504</v>
      </c>
      <c r="Q1110" t="s">
        <v>2505</v>
      </c>
    </row>
    <row r="1111" spans="2:17">
      <c r="B1111" t="s">
        <v>2502</v>
      </c>
      <c r="C1111" t="s">
        <v>673</v>
      </c>
      <c r="D1111">
        <v>1.60659235771727E-6</v>
      </c>
      <c r="E1111" t="s">
        <v>94</v>
      </c>
      <c r="N1111" t="s">
        <v>2504</v>
      </c>
      <c r="Q1111" t="s">
        <v>2505</v>
      </c>
    </row>
    <row r="1112" spans="2:17">
      <c r="B1112" t="s">
        <v>2506</v>
      </c>
      <c r="C1112" t="s">
        <v>708</v>
      </c>
      <c r="D1112">
        <v>5.41086040265888E-9</v>
      </c>
      <c r="E1112" t="s">
        <v>94</v>
      </c>
      <c r="H1112" t="s">
        <v>588</v>
      </c>
      <c r="I1112">
        <v>5.41086040265888E-9</v>
      </c>
      <c r="J1112">
        <v>1.0247973619913604</v>
      </c>
      <c r="N1112" t="s">
        <v>2507</v>
      </c>
      <c r="O1112" t="s">
        <v>641</v>
      </c>
      <c r="Q1112" t="s">
        <v>1672</v>
      </c>
    </row>
    <row r="1113" spans="2:17">
      <c r="B1113" t="s">
        <v>2508</v>
      </c>
      <c r="C1113" t="s">
        <v>708</v>
      </c>
      <c r="D1113">
        <v>3.06133646551244E-6</v>
      </c>
      <c r="E1113" t="s">
        <v>94</v>
      </c>
      <c r="H1113" t="s">
        <v>588</v>
      </c>
      <c r="I1113">
        <v>3.06133646551244E-6</v>
      </c>
      <c r="J1113">
        <v>1</v>
      </c>
      <c r="N1113" t="s">
        <v>2509</v>
      </c>
      <c r="O1113" t="s">
        <v>1054</v>
      </c>
      <c r="Q1113" t="s">
        <v>2510</v>
      </c>
    </row>
    <row r="1114" spans="2:17">
      <c r="B1114" t="s">
        <v>2508</v>
      </c>
      <c r="C1114" t="s">
        <v>708</v>
      </c>
      <c r="D1114">
        <v>8.1476348494110001E-6</v>
      </c>
      <c r="E1114" t="s">
        <v>94</v>
      </c>
      <c r="H1114" t="s">
        <v>588</v>
      </c>
      <c r="I1114">
        <v>8.1476348494110001E-6</v>
      </c>
      <c r="J1114">
        <v>1.0247973619913604</v>
      </c>
      <c r="N1114" t="s">
        <v>2509</v>
      </c>
      <c r="O1114" t="s">
        <v>2259</v>
      </c>
      <c r="Q1114" t="s">
        <v>2511</v>
      </c>
    </row>
    <row r="1115" spans="2:17">
      <c r="B1115" t="s">
        <v>1226</v>
      </c>
      <c r="C1115" t="s">
        <v>708</v>
      </c>
      <c r="D1115">
        <v>1.6823108768156199E-5</v>
      </c>
      <c r="E1115" t="s">
        <v>94</v>
      </c>
      <c r="H1115" t="s">
        <v>588</v>
      </c>
      <c r="I1115">
        <v>1.6823108768156199E-5</v>
      </c>
      <c r="J1115">
        <v>1.0247973619913604</v>
      </c>
      <c r="N1115" t="s">
        <v>1227</v>
      </c>
      <c r="O1115" t="s">
        <v>2422</v>
      </c>
    </row>
    <row r="1116" spans="2:17">
      <c r="B1116" t="s">
        <v>1226</v>
      </c>
      <c r="C1116" t="s">
        <v>708</v>
      </c>
      <c r="D1116">
        <v>7.1456694456728602E-5</v>
      </c>
      <c r="E1116" t="s">
        <v>94</v>
      </c>
      <c r="H1116" t="s">
        <v>588</v>
      </c>
      <c r="I1116">
        <v>7.1456694456728602E-5</v>
      </c>
      <c r="J1116">
        <v>1.0247973619913604</v>
      </c>
      <c r="N1116" t="s">
        <v>1227</v>
      </c>
      <c r="O1116" t="s">
        <v>2422</v>
      </c>
    </row>
    <row r="1117" spans="2:17">
      <c r="B1117" t="s">
        <v>2512</v>
      </c>
      <c r="C1117" t="s">
        <v>673</v>
      </c>
      <c r="D1117">
        <v>7.3225403232202602E-7</v>
      </c>
      <c r="E1117" t="s">
        <v>94</v>
      </c>
      <c r="H1117" t="s">
        <v>588</v>
      </c>
      <c r="I1117">
        <v>7.3225403232202602E-7</v>
      </c>
      <c r="J1117">
        <v>1</v>
      </c>
      <c r="N1117" t="s">
        <v>2513</v>
      </c>
      <c r="O1117" t="s">
        <v>1054</v>
      </c>
      <c r="Q1117" t="s">
        <v>2018</v>
      </c>
    </row>
    <row r="1118" spans="2:17">
      <c r="B1118" t="s">
        <v>2514</v>
      </c>
      <c r="C1118" t="s">
        <v>673</v>
      </c>
      <c r="D1118">
        <v>8.2865791729233701E-5</v>
      </c>
      <c r="E1118" t="s">
        <v>94</v>
      </c>
      <c r="H1118" t="s">
        <v>588</v>
      </c>
      <c r="I1118">
        <v>8.2865791729233701E-5</v>
      </c>
      <c r="J1118">
        <v>1.1051709180756477</v>
      </c>
      <c r="N1118" t="s">
        <v>2515</v>
      </c>
      <c r="O1118" t="s">
        <v>1700</v>
      </c>
      <c r="Q1118" t="s">
        <v>2516</v>
      </c>
    </row>
    <row r="1119" spans="2:17">
      <c r="B1119" t="s">
        <v>1229</v>
      </c>
      <c r="C1119" t="s">
        <v>664</v>
      </c>
      <c r="D1119">
        <v>2.2139010111598698E-3</v>
      </c>
      <c r="E1119" t="s">
        <v>94</v>
      </c>
      <c r="H1119" t="s">
        <v>588</v>
      </c>
      <c r="I1119">
        <v>2.2139010111598698E-3</v>
      </c>
      <c r="J1119">
        <v>1.2214027581601699</v>
      </c>
      <c r="N1119" t="s">
        <v>1230</v>
      </c>
      <c r="O1119" t="s">
        <v>1145</v>
      </c>
      <c r="Q1119" t="s">
        <v>595</v>
      </c>
    </row>
    <row r="1120" spans="2:17">
      <c r="B1120" t="s">
        <v>1229</v>
      </c>
      <c r="C1120" t="s">
        <v>664</v>
      </c>
      <c r="D1120">
        <v>3.5521492929308802E-5</v>
      </c>
      <c r="E1120" t="s">
        <v>94</v>
      </c>
      <c r="H1120" t="s">
        <v>588</v>
      </c>
      <c r="I1120">
        <v>3.5521492929308802E-5</v>
      </c>
      <c r="J1120">
        <v>1.2214027581601699</v>
      </c>
      <c r="N1120" t="s">
        <v>1230</v>
      </c>
      <c r="O1120" t="s">
        <v>1145</v>
      </c>
      <c r="Q1120" t="s">
        <v>595</v>
      </c>
    </row>
    <row r="1121" spans="2:17">
      <c r="B1121" t="s">
        <v>1229</v>
      </c>
      <c r="C1121" t="s">
        <v>664</v>
      </c>
      <c r="D1121">
        <v>4.09471562329083E-6</v>
      </c>
      <c r="E1121" t="s">
        <v>94</v>
      </c>
      <c r="H1121" t="s">
        <v>588</v>
      </c>
      <c r="I1121">
        <v>4.09471562329083E-6</v>
      </c>
      <c r="J1121">
        <v>1.2214027581601699</v>
      </c>
      <c r="N1121" t="s">
        <v>1230</v>
      </c>
      <c r="O1121" t="s">
        <v>1708</v>
      </c>
      <c r="Q1121" t="s">
        <v>595</v>
      </c>
    </row>
    <row r="1122" spans="2:17">
      <c r="B1122" t="s">
        <v>2517</v>
      </c>
      <c r="C1122" t="s">
        <v>673</v>
      </c>
      <c r="D1122">
        <v>4.1260182659877303E-5</v>
      </c>
      <c r="E1122" t="s">
        <v>94</v>
      </c>
      <c r="H1122" t="s">
        <v>588</v>
      </c>
      <c r="I1122">
        <v>4.1260182659877303E-5</v>
      </c>
      <c r="J1122">
        <v>1.1051709180756477</v>
      </c>
      <c r="N1122" t="s">
        <v>2518</v>
      </c>
      <c r="O1122" t="s">
        <v>1789</v>
      </c>
      <c r="Q1122" t="s">
        <v>1790</v>
      </c>
    </row>
    <row r="1123" spans="2:17">
      <c r="B1123" t="s">
        <v>2519</v>
      </c>
      <c r="C1123" t="s">
        <v>673</v>
      </c>
      <c r="D1123">
        <v>1.92607122230967E-9</v>
      </c>
      <c r="E1123" t="s">
        <v>94</v>
      </c>
      <c r="H1123" t="s">
        <v>588</v>
      </c>
      <c r="I1123">
        <v>1.92607122230967E-9</v>
      </c>
      <c r="J1123">
        <v>1.1051709180756477</v>
      </c>
      <c r="N1123" t="s">
        <v>2520</v>
      </c>
      <c r="O1123" t="s">
        <v>921</v>
      </c>
      <c r="Q1123" t="s">
        <v>595</v>
      </c>
    </row>
    <row r="1124" spans="2:17">
      <c r="B1124" t="s">
        <v>1231</v>
      </c>
      <c r="C1124" t="s">
        <v>673</v>
      </c>
      <c r="D1124">
        <v>4.2121140105054998E-4</v>
      </c>
      <c r="E1124" t="s">
        <v>94</v>
      </c>
      <c r="H1124" t="s">
        <v>588</v>
      </c>
      <c r="I1124">
        <v>4.2121140105054998E-4</v>
      </c>
      <c r="J1124">
        <v>1.0247973619913604</v>
      </c>
      <c r="N1124" t="s">
        <v>1232</v>
      </c>
      <c r="O1124" t="s">
        <v>1173</v>
      </c>
      <c r="Q1124" t="s">
        <v>1233</v>
      </c>
    </row>
    <row r="1125" spans="2:17">
      <c r="B1125" t="s">
        <v>2521</v>
      </c>
      <c r="C1125" t="s">
        <v>673</v>
      </c>
      <c r="D1125">
        <v>5.2800115536816398E-8</v>
      </c>
      <c r="E1125" t="s">
        <v>94</v>
      </c>
      <c r="H1125" t="s">
        <v>588</v>
      </c>
      <c r="I1125">
        <v>5.2800115536816398E-8</v>
      </c>
      <c r="J1125">
        <v>1.0247973619913604</v>
      </c>
      <c r="N1125" t="s">
        <v>2522</v>
      </c>
      <c r="O1125" t="s">
        <v>1659</v>
      </c>
      <c r="Q1125" t="s">
        <v>2523</v>
      </c>
    </row>
    <row r="1126" spans="2:17">
      <c r="B1126" t="s">
        <v>2521</v>
      </c>
      <c r="C1126" t="s">
        <v>673</v>
      </c>
      <c r="D1126">
        <v>5.0387849232267097E-8</v>
      </c>
      <c r="E1126" t="s">
        <v>94</v>
      </c>
      <c r="H1126" t="s">
        <v>588</v>
      </c>
      <c r="I1126">
        <v>5.0387849232267097E-8</v>
      </c>
      <c r="J1126">
        <v>1.0247973619913604</v>
      </c>
      <c r="N1126" t="s">
        <v>2522</v>
      </c>
      <c r="O1126" t="s">
        <v>1657</v>
      </c>
      <c r="Q1126" t="s">
        <v>2523</v>
      </c>
    </row>
    <row r="1127" spans="2:17">
      <c r="B1127" t="s">
        <v>2524</v>
      </c>
      <c r="C1127" t="s">
        <v>701</v>
      </c>
      <c r="D1127">
        <v>3.37537302825179E-4</v>
      </c>
      <c r="E1127" t="s">
        <v>94</v>
      </c>
      <c r="H1127" t="s">
        <v>588</v>
      </c>
      <c r="I1127">
        <v>3.37537302825179E-4</v>
      </c>
      <c r="J1127">
        <v>1.499999999999694</v>
      </c>
      <c r="N1127" t="s">
        <v>2525</v>
      </c>
      <c r="O1127" t="s">
        <v>952</v>
      </c>
      <c r="Q1127" t="s">
        <v>2526</v>
      </c>
    </row>
    <row r="1128" spans="2:17">
      <c r="B1128" t="s">
        <v>2524</v>
      </c>
      <c r="C1128" t="s">
        <v>701</v>
      </c>
      <c r="D1128">
        <v>3.2812974162310199E-4</v>
      </c>
      <c r="E1128" t="s">
        <v>94</v>
      </c>
      <c r="H1128" t="s">
        <v>588</v>
      </c>
      <c r="I1128">
        <v>3.2812974162310199E-4</v>
      </c>
      <c r="J1128">
        <v>1.499999999999694</v>
      </c>
      <c r="N1128" t="s">
        <v>2525</v>
      </c>
      <c r="O1128" t="s">
        <v>952</v>
      </c>
      <c r="Q1128" t="s">
        <v>2526</v>
      </c>
    </row>
    <row r="1129" spans="2:17">
      <c r="B1129" t="s">
        <v>2527</v>
      </c>
      <c r="C1129" t="s">
        <v>1249</v>
      </c>
      <c r="D1129">
        <v>3.9278433311097201E-5</v>
      </c>
      <c r="E1129" t="s">
        <v>94</v>
      </c>
      <c r="H1129" t="s">
        <v>588</v>
      </c>
      <c r="I1129">
        <v>3.9278433311097201E-5</v>
      </c>
      <c r="J1129">
        <v>1</v>
      </c>
      <c r="N1129" t="s">
        <v>2528</v>
      </c>
      <c r="O1129" t="s">
        <v>594</v>
      </c>
      <c r="Q1129" t="s">
        <v>2529</v>
      </c>
    </row>
    <row r="1130" spans="2:17">
      <c r="B1130" t="s">
        <v>2530</v>
      </c>
      <c r="C1130" t="s">
        <v>2531</v>
      </c>
      <c r="D1130">
        <v>3.9284957355807997E-5</v>
      </c>
      <c r="E1130" t="s">
        <v>616</v>
      </c>
      <c r="H1130" t="s">
        <v>588</v>
      </c>
      <c r="I1130">
        <v>3.9284957355807997E-5</v>
      </c>
      <c r="J1130">
        <v>1.1051709180756477</v>
      </c>
      <c r="N1130" t="s">
        <v>2532</v>
      </c>
      <c r="O1130" t="s">
        <v>1632</v>
      </c>
      <c r="Q1130" t="s">
        <v>595</v>
      </c>
    </row>
    <row r="1131" spans="2:17">
      <c r="B1131" t="s">
        <v>2530</v>
      </c>
      <c r="C1131" t="s">
        <v>2531</v>
      </c>
      <c r="D1131">
        <v>2.9958843255110501E-5</v>
      </c>
      <c r="E1131" t="s">
        <v>616</v>
      </c>
      <c r="H1131" t="s">
        <v>588</v>
      </c>
      <c r="I1131">
        <v>2.9958843255110501E-5</v>
      </c>
      <c r="J1131">
        <v>1</v>
      </c>
      <c r="N1131" t="s">
        <v>2532</v>
      </c>
      <c r="O1131" t="s">
        <v>589</v>
      </c>
      <c r="Q1131" t="s">
        <v>2533</v>
      </c>
    </row>
    <row r="1132" spans="2:17">
      <c r="B1132" t="s">
        <v>2534</v>
      </c>
      <c r="C1132" t="s">
        <v>2275</v>
      </c>
      <c r="D1132">
        <v>9.94503136099851E-5</v>
      </c>
      <c r="E1132" t="s">
        <v>94</v>
      </c>
      <c r="H1132" t="s">
        <v>588</v>
      </c>
      <c r="I1132">
        <v>9.94503136099851E-5</v>
      </c>
      <c r="J1132">
        <v>1.0247973619913604</v>
      </c>
      <c r="N1132" t="s">
        <v>2535</v>
      </c>
      <c r="O1132" t="s">
        <v>2536</v>
      </c>
      <c r="Q1132" t="s">
        <v>2537</v>
      </c>
    </row>
    <row r="1133" spans="2:17">
      <c r="B1133" t="s">
        <v>2538</v>
      </c>
      <c r="C1133" t="s">
        <v>592</v>
      </c>
      <c r="D1133">
        <v>5.6813366923244102E-4</v>
      </c>
      <c r="E1133" t="s">
        <v>640</v>
      </c>
      <c r="H1133" t="s">
        <v>588</v>
      </c>
      <c r="I1133">
        <v>5.6813366923244102E-4</v>
      </c>
      <c r="J1133">
        <v>1</v>
      </c>
      <c r="N1133" t="s">
        <v>2539</v>
      </c>
      <c r="O1133" t="s">
        <v>798</v>
      </c>
      <c r="Q1133" t="s">
        <v>2540</v>
      </c>
    </row>
    <row r="1134" spans="2:17">
      <c r="B1134" t="s">
        <v>2538</v>
      </c>
      <c r="C1134" t="s">
        <v>592</v>
      </c>
      <c r="D1134">
        <v>1.56622854961757E-4</v>
      </c>
      <c r="E1134" t="s">
        <v>640</v>
      </c>
      <c r="H1134" t="s">
        <v>588</v>
      </c>
      <c r="I1134">
        <v>1.56622854961757E-4</v>
      </c>
      <c r="J1134">
        <v>1.1051709180756477</v>
      </c>
      <c r="N1134" t="s">
        <v>2541</v>
      </c>
      <c r="O1134" t="s">
        <v>2542</v>
      </c>
      <c r="Q1134" t="s">
        <v>595</v>
      </c>
    </row>
    <row r="1135" spans="2:17">
      <c r="B1135" t="s">
        <v>2543</v>
      </c>
      <c r="C1135" t="s">
        <v>1698</v>
      </c>
      <c r="D1135">
        <v>2.8964174437575701E-5</v>
      </c>
      <c r="E1135" t="s">
        <v>616</v>
      </c>
      <c r="H1135" t="s">
        <v>588</v>
      </c>
      <c r="I1135">
        <v>2.8964174437575701E-5</v>
      </c>
      <c r="J1135">
        <v>1</v>
      </c>
      <c r="N1135" t="s">
        <v>2544</v>
      </c>
      <c r="O1135" t="s">
        <v>1700</v>
      </c>
      <c r="Q1135" t="s">
        <v>1701</v>
      </c>
    </row>
    <row r="1136" spans="2:17">
      <c r="B1136" t="s">
        <v>2545</v>
      </c>
      <c r="C1136" t="s">
        <v>1698</v>
      </c>
      <c r="D1136">
        <v>2.31571206269037E-6</v>
      </c>
      <c r="E1136" t="s">
        <v>616</v>
      </c>
      <c r="H1136" t="s">
        <v>588</v>
      </c>
      <c r="I1136">
        <v>2.31571206269037E-6</v>
      </c>
      <c r="J1136">
        <v>1</v>
      </c>
      <c r="N1136" t="s">
        <v>2546</v>
      </c>
      <c r="O1136" t="s">
        <v>1082</v>
      </c>
      <c r="Q1136" t="s">
        <v>979</v>
      </c>
    </row>
    <row r="1137" spans="2:17">
      <c r="B1137" t="s">
        <v>2547</v>
      </c>
      <c r="C1137" t="s">
        <v>1698</v>
      </c>
      <c r="D1137">
        <v>8.5129078784790206E-5</v>
      </c>
      <c r="E1137" t="s">
        <v>616</v>
      </c>
      <c r="H1137" t="s">
        <v>588</v>
      </c>
      <c r="I1137">
        <v>8.5129078784790206E-5</v>
      </c>
      <c r="J1137">
        <v>1</v>
      </c>
      <c r="N1137" t="s">
        <v>2548</v>
      </c>
      <c r="O1137" t="s">
        <v>1700</v>
      </c>
      <c r="Q1137" t="s">
        <v>979</v>
      </c>
    </row>
    <row r="1138" spans="2:17">
      <c r="B1138" t="s">
        <v>2549</v>
      </c>
      <c r="C1138" t="s">
        <v>1892</v>
      </c>
      <c r="D1138">
        <v>5.7354752327736201E-3</v>
      </c>
      <c r="E1138" t="s">
        <v>94</v>
      </c>
      <c r="H1138" t="s">
        <v>588</v>
      </c>
      <c r="I1138">
        <v>5.7354752327736201E-3</v>
      </c>
      <c r="J1138">
        <v>1.2505791921887124</v>
      </c>
      <c r="N1138" t="s">
        <v>2550</v>
      </c>
      <c r="O1138" t="s">
        <v>1628</v>
      </c>
      <c r="Q1138" t="s">
        <v>1545</v>
      </c>
    </row>
    <row r="1139" spans="2:17">
      <c r="B1139" t="s">
        <v>2551</v>
      </c>
      <c r="C1139" t="s">
        <v>1892</v>
      </c>
      <c r="D1139">
        <v>1.5132742873945899E-3</v>
      </c>
      <c r="E1139" t="s">
        <v>94</v>
      </c>
      <c r="H1139" t="s">
        <v>588</v>
      </c>
      <c r="I1139">
        <v>1.5132742873945899E-3</v>
      </c>
      <c r="J1139">
        <v>1.2505791921887124</v>
      </c>
      <c r="N1139" t="s">
        <v>2552</v>
      </c>
      <c r="O1139" t="s">
        <v>1628</v>
      </c>
      <c r="Q1139" t="s">
        <v>979</v>
      </c>
    </row>
    <row r="1140" spans="2:17">
      <c r="B1140" t="s">
        <v>2553</v>
      </c>
      <c r="C1140" t="s">
        <v>1892</v>
      </c>
      <c r="D1140">
        <v>3.1273459361032298E-2</v>
      </c>
      <c r="E1140" t="s">
        <v>94</v>
      </c>
      <c r="H1140" t="s">
        <v>588</v>
      </c>
      <c r="I1140">
        <v>3.1273459361032298E-2</v>
      </c>
      <c r="J1140">
        <v>1.2505791921887124</v>
      </c>
      <c r="N1140" t="s">
        <v>2554</v>
      </c>
      <c r="O1140" t="s">
        <v>1628</v>
      </c>
      <c r="Q1140" t="s">
        <v>979</v>
      </c>
    </row>
    <row r="1141" spans="2:17">
      <c r="B1141" t="s">
        <v>2555</v>
      </c>
      <c r="C1141" t="s">
        <v>615</v>
      </c>
      <c r="D1141">
        <v>9.3161430855169493E-12</v>
      </c>
      <c r="E1141" t="s">
        <v>616</v>
      </c>
      <c r="H1141" t="s">
        <v>588</v>
      </c>
      <c r="I1141">
        <v>9.3161430855169493E-12</v>
      </c>
      <c r="J1141">
        <v>1.9265750720549795</v>
      </c>
      <c r="N1141" t="s">
        <v>2556</v>
      </c>
      <c r="O1141" t="s">
        <v>952</v>
      </c>
      <c r="Q1141" t="s">
        <v>979</v>
      </c>
    </row>
    <row r="1142" spans="2:17">
      <c r="B1142" t="s">
        <v>2555</v>
      </c>
      <c r="C1142" t="s">
        <v>615</v>
      </c>
      <c r="D1142">
        <v>9.31202423389865E-12</v>
      </c>
      <c r="E1142" t="s">
        <v>616</v>
      </c>
      <c r="H1142" t="s">
        <v>588</v>
      </c>
      <c r="I1142">
        <v>9.31202423389865E-12</v>
      </c>
      <c r="J1142">
        <v>1.9265750720549795</v>
      </c>
      <c r="N1142" t="s">
        <v>2557</v>
      </c>
      <c r="O1142" t="s">
        <v>2558</v>
      </c>
      <c r="Q1142" t="s">
        <v>695</v>
      </c>
    </row>
    <row r="1143" spans="2:17">
      <c r="B1143" t="s">
        <v>2559</v>
      </c>
      <c r="C1143" t="s">
        <v>1249</v>
      </c>
      <c r="D1143">
        <v>1.50238607677904E-6</v>
      </c>
      <c r="E1143" t="s">
        <v>94</v>
      </c>
      <c r="H1143" t="s">
        <v>588</v>
      </c>
      <c r="I1143">
        <v>1.50238607677904E-6</v>
      </c>
      <c r="J1143">
        <v>1.0805386501323246</v>
      </c>
      <c r="N1143" t="s">
        <v>2560</v>
      </c>
      <c r="O1143" t="s">
        <v>2314</v>
      </c>
      <c r="Q1143" t="s">
        <v>2561</v>
      </c>
    </row>
    <row r="1144" spans="2:17">
      <c r="B1144" t="s">
        <v>2562</v>
      </c>
      <c r="C1144" t="s">
        <v>1249</v>
      </c>
      <c r="D1144">
        <v>1.7627644698512599E-3</v>
      </c>
      <c r="E1144" t="s">
        <v>94</v>
      </c>
      <c r="H1144" t="s">
        <v>588</v>
      </c>
      <c r="I1144">
        <v>1.7627644698512599E-3</v>
      </c>
      <c r="J1144">
        <v>1.1051709180756477</v>
      </c>
      <c r="N1144" t="s">
        <v>2563</v>
      </c>
      <c r="O1144" t="s">
        <v>1789</v>
      </c>
      <c r="Q1144" t="s">
        <v>595</v>
      </c>
    </row>
    <row r="1145" spans="2:17">
      <c r="B1145" t="s">
        <v>2562</v>
      </c>
      <c r="C1145" t="s">
        <v>1249</v>
      </c>
      <c r="D1145">
        <v>4.9800835687587096E-4</v>
      </c>
      <c r="E1145" t="s">
        <v>94</v>
      </c>
      <c r="H1145" t="s">
        <v>588</v>
      </c>
      <c r="I1145">
        <v>4.9800835687587096E-4</v>
      </c>
      <c r="J1145">
        <v>1.0247973619913604</v>
      </c>
      <c r="N1145" t="s">
        <v>2564</v>
      </c>
      <c r="O1145" t="s">
        <v>1745</v>
      </c>
      <c r="Q1145" t="s">
        <v>2565</v>
      </c>
    </row>
    <row r="1146" spans="2:17">
      <c r="B1146" t="s">
        <v>2566</v>
      </c>
      <c r="C1146" t="s">
        <v>1249</v>
      </c>
      <c r="D1146">
        <v>1.93581870955852E-4</v>
      </c>
      <c r="E1146" t="s">
        <v>94</v>
      </c>
      <c r="H1146" t="s">
        <v>588</v>
      </c>
      <c r="I1146">
        <v>1.93581870955852E-4</v>
      </c>
      <c r="J1146">
        <v>1.0247973619913604</v>
      </c>
      <c r="N1146" t="s">
        <v>2567</v>
      </c>
      <c r="O1146" t="s">
        <v>1745</v>
      </c>
      <c r="Q1146" t="s">
        <v>2568</v>
      </c>
    </row>
    <row r="1147" spans="2:17">
      <c r="B1147" t="s">
        <v>2566</v>
      </c>
      <c r="C1147" t="s">
        <v>1249</v>
      </c>
      <c r="D1147">
        <v>3.2585830186822898E-4</v>
      </c>
      <c r="E1147" t="s">
        <v>94</v>
      </c>
      <c r="H1147" t="s">
        <v>588</v>
      </c>
      <c r="I1147">
        <v>3.2585830186822898E-4</v>
      </c>
      <c r="J1147">
        <v>1.0805386501323246</v>
      </c>
      <c r="N1147" t="s">
        <v>2569</v>
      </c>
      <c r="O1147" t="s">
        <v>1665</v>
      </c>
      <c r="Q1147" t="s">
        <v>2570</v>
      </c>
    </row>
    <row r="1148" spans="2:17">
      <c r="B1148" t="s">
        <v>1234</v>
      </c>
      <c r="C1148" t="s">
        <v>1170</v>
      </c>
      <c r="D1148">
        <v>3.2755456080404302E-8</v>
      </c>
      <c r="E1148" t="s">
        <v>94</v>
      </c>
      <c r="H1148" t="s">
        <v>588</v>
      </c>
      <c r="I1148">
        <v>3.2755456080404302E-8</v>
      </c>
      <c r="J1148">
        <v>1.0805386501323246</v>
      </c>
      <c r="N1148" t="s">
        <v>1235</v>
      </c>
      <c r="O1148" t="s">
        <v>1665</v>
      </c>
      <c r="Q1148" t="s">
        <v>2571</v>
      </c>
    </row>
    <row r="1149" spans="2:17">
      <c r="B1149" t="s">
        <v>2572</v>
      </c>
      <c r="C1149" t="s">
        <v>673</v>
      </c>
      <c r="D1149">
        <v>1.0541904149216799E-5</v>
      </c>
      <c r="E1149" t="s">
        <v>94</v>
      </c>
      <c r="H1149" t="s">
        <v>588</v>
      </c>
      <c r="I1149">
        <v>1.0541904149216799E-5</v>
      </c>
      <c r="J1149">
        <v>1.1051709180756477</v>
      </c>
      <c r="N1149" t="s">
        <v>2573</v>
      </c>
      <c r="O1149" t="s">
        <v>1700</v>
      </c>
      <c r="Q1149" t="s">
        <v>2295</v>
      </c>
    </row>
    <row r="1150" spans="2:17">
      <c r="B1150" t="s">
        <v>2574</v>
      </c>
      <c r="C1150" t="s">
        <v>673</v>
      </c>
      <c r="D1150">
        <v>8.0606326169282694E-6</v>
      </c>
      <c r="E1150" t="s">
        <v>94</v>
      </c>
      <c r="H1150" t="s">
        <v>588</v>
      </c>
      <c r="I1150">
        <v>8.0606326169282694E-6</v>
      </c>
      <c r="J1150">
        <v>1.0247973619913604</v>
      </c>
      <c r="N1150" t="s">
        <v>2575</v>
      </c>
      <c r="O1150" t="s">
        <v>1678</v>
      </c>
      <c r="Q1150" t="s">
        <v>1679</v>
      </c>
    </row>
    <row r="1151" spans="2:17">
      <c r="B1151" t="s">
        <v>2576</v>
      </c>
      <c r="C1151" t="s">
        <v>676</v>
      </c>
      <c r="D1151">
        <v>1.87041535357622E-3</v>
      </c>
      <c r="E1151" t="s">
        <v>94</v>
      </c>
      <c r="H1151" t="s">
        <v>588</v>
      </c>
      <c r="I1151">
        <v>1.87041535357622E-3</v>
      </c>
      <c r="J1151">
        <v>1.1051709180756477</v>
      </c>
      <c r="N1151" t="s">
        <v>2577</v>
      </c>
      <c r="O1151" t="s">
        <v>1054</v>
      </c>
      <c r="Q1151" t="s">
        <v>2018</v>
      </c>
    </row>
    <row r="1152" spans="2:17">
      <c r="B1152" t="s">
        <v>2578</v>
      </c>
      <c r="C1152" t="s">
        <v>587</v>
      </c>
      <c r="D1152">
        <v>8.0581552110925301E-7</v>
      </c>
      <c r="E1152" t="s">
        <v>94</v>
      </c>
      <c r="Q1152" t="s">
        <v>1776</v>
      </c>
    </row>
    <row r="1153" spans="2:17">
      <c r="B1153" t="s">
        <v>2579</v>
      </c>
      <c r="C1153" t="s">
        <v>1830</v>
      </c>
      <c r="D1153">
        <v>4.4340736377306003E-3</v>
      </c>
      <c r="E1153" t="s">
        <v>94</v>
      </c>
      <c r="N1153" t="s">
        <v>2580</v>
      </c>
    </row>
    <row r="1154" spans="2:17">
      <c r="B1154" t="s">
        <v>2579</v>
      </c>
      <c r="C1154" t="s">
        <v>1830</v>
      </c>
      <c r="D1154">
        <v>5.3208883652767201E-4</v>
      </c>
      <c r="E1154" t="s">
        <v>94</v>
      </c>
      <c r="H1154" t="s">
        <v>588</v>
      </c>
      <c r="I1154">
        <v>5.3208883652767201E-4</v>
      </c>
      <c r="J1154">
        <v>1.0247973619913604</v>
      </c>
      <c r="N1154" t="s">
        <v>2581</v>
      </c>
      <c r="O1154" t="s">
        <v>1806</v>
      </c>
      <c r="Q1154" t="s">
        <v>1728</v>
      </c>
    </row>
    <row r="1155" spans="2:17">
      <c r="B1155" t="s">
        <v>1236</v>
      </c>
      <c r="C1155" t="s">
        <v>1237</v>
      </c>
      <c r="D1155">
        <v>4.66026267516774E-6</v>
      </c>
      <c r="E1155" t="s">
        <v>94</v>
      </c>
      <c r="H1155" t="s">
        <v>588</v>
      </c>
      <c r="I1155">
        <v>4.66026267516774E-6</v>
      </c>
      <c r="J1155">
        <v>1.0247973619913604</v>
      </c>
      <c r="N1155" t="s">
        <v>1238</v>
      </c>
      <c r="O1155" t="s">
        <v>1914</v>
      </c>
      <c r="Q1155" t="s">
        <v>2582</v>
      </c>
    </row>
    <row r="1156" spans="2:17">
      <c r="B1156" t="s">
        <v>2583</v>
      </c>
      <c r="C1156" t="s">
        <v>1810</v>
      </c>
      <c r="D1156">
        <v>1.56033112347885E-6</v>
      </c>
      <c r="E1156" t="s">
        <v>1811</v>
      </c>
      <c r="H1156" t="s">
        <v>588</v>
      </c>
      <c r="I1156">
        <v>1.56033112347885E-6</v>
      </c>
      <c r="J1156">
        <v>1</v>
      </c>
      <c r="N1156" t="s">
        <v>2584</v>
      </c>
      <c r="O1156" t="s">
        <v>1756</v>
      </c>
      <c r="Q1156" t="s">
        <v>1816</v>
      </c>
    </row>
    <row r="1157" spans="2:17">
      <c r="B1157" t="s">
        <v>2583</v>
      </c>
      <c r="C1157" t="s">
        <v>1810</v>
      </c>
      <c r="D1157">
        <v>2.9358597944272902E-6</v>
      </c>
      <c r="E1157" t="s">
        <v>1811</v>
      </c>
      <c r="H1157" t="s">
        <v>588</v>
      </c>
      <c r="I1157">
        <v>2.9358597944272902E-6</v>
      </c>
      <c r="J1157">
        <v>1.4049000000004648</v>
      </c>
      <c r="N1157" t="s">
        <v>2585</v>
      </c>
      <c r="O1157" t="s">
        <v>1758</v>
      </c>
      <c r="Q1157" t="s">
        <v>2586</v>
      </c>
    </row>
    <row r="1158" spans="2:17">
      <c r="B1158" t="s">
        <v>2583</v>
      </c>
      <c r="C1158" t="s">
        <v>1810</v>
      </c>
      <c r="D1158">
        <v>3.7559178435321401E-7</v>
      </c>
      <c r="E1158" t="s">
        <v>1811</v>
      </c>
      <c r="H1158" t="s">
        <v>588</v>
      </c>
      <c r="I1158">
        <v>3.7559178435321401E-7</v>
      </c>
      <c r="J1158">
        <v>1.4049000000004648</v>
      </c>
      <c r="N1158" t="s">
        <v>2584</v>
      </c>
      <c r="O1158" t="s">
        <v>1758</v>
      </c>
      <c r="Q1158" t="s">
        <v>2587</v>
      </c>
    </row>
    <row r="1159" spans="2:17">
      <c r="B1159" t="s">
        <v>1239</v>
      </c>
      <c r="C1159" t="s">
        <v>1240</v>
      </c>
      <c r="D1159">
        <v>2.3314149268172902E-6</v>
      </c>
      <c r="E1159" t="s">
        <v>94</v>
      </c>
      <c r="H1159" t="s">
        <v>588</v>
      </c>
      <c r="I1159">
        <v>2.3314149268172902E-6</v>
      </c>
      <c r="J1159">
        <v>1.0247973619913604</v>
      </c>
      <c r="N1159" t="s">
        <v>1241</v>
      </c>
      <c r="O1159" t="s">
        <v>1135</v>
      </c>
      <c r="Q1159" t="s">
        <v>1136</v>
      </c>
    </row>
    <row r="1160" spans="2:17">
      <c r="B1160" t="s">
        <v>2588</v>
      </c>
      <c r="C1160" t="s">
        <v>2589</v>
      </c>
      <c r="D1160">
        <v>2.92059573628156E-7</v>
      </c>
      <c r="E1160" t="s">
        <v>640</v>
      </c>
      <c r="H1160" t="s">
        <v>588</v>
      </c>
      <c r="I1160">
        <v>2.92059573628156E-7</v>
      </c>
      <c r="J1160">
        <v>1.1051709180756477</v>
      </c>
      <c r="N1160" t="s">
        <v>2590</v>
      </c>
      <c r="O1160" t="s">
        <v>921</v>
      </c>
      <c r="Q1160" t="s">
        <v>595</v>
      </c>
    </row>
    <row r="1161" spans="2:17">
      <c r="B1161" t="s">
        <v>2591</v>
      </c>
      <c r="C1161" t="s">
        <v>615</v>
      </c>
      <c r="D1161">
        <v>1.22501112764996E-12</v>
      </c>
      <c r="E1161" t="s">
        <v>616</v>
      </c>
      <c r="N1161" t="s">
        <v>2592</v>
      </c>
      <c r="Q1161" t="s">
        <v>2593</v>
      </c>
    </row>
    <row r="1162" spans="2:17">
      <c r="B1162" t="s">
        <v>2594</v>
      </c>
      <c r="C1162" t="s">
        <v>615</v>
      </c>
      <c r="D1162">
        <v>4.31050640402507E-11</v>
      </c>
      <c r="E1162" t="s">
        <v>616</v>
      </c>
      <c r="N1162" t="s">
        <v>2595</v>
      </c>
      <c r="Q1162" t="s">
        <v>2596</v>
      </c>
    </row>
    <row r="1163" spans="2:17">
      <c r="B1163" t="s">
        <v>2594</v>
      </c>
      <c r="C1163" t="s">
        <v>615</v>
      </c>
      <c r="D1163">
        <v>4.3105914418856901E-11</v>
      </c>
      <c r="E1163" t="s">
        <v>616</v>
      </c>
      <c r="N1163" t="s">
        <v>2597</v>
      </c>
      <c r="Q1163" t="s">
        <v>2593</v>
      </c>
    </row>
    <row r="1164" spans="2:17">
      <c r="B1164" t="s">
        <v>2598</v>
      </c>
      <c r="C1164" t="s">
        <v>615</v>
      </c>
      <c r="D1164">
        <v>1.1242210692573E-11</v>
      </c>
      <c r="E1164" t="s">
        <v>616</v>
      </c>
      <c r="N1164" t="s">
        <v>2599</v>
      </c>
      <c r="Q1164" t="s">
        <v>2593</v>
      </c>
    </row>
    <row r="1165" spans="2:17">
      <c r="B1165" t="s">
        <v>2600</v>
      </c>
      <c r="C1165" t="s">
        <v>615</v>
      </c>
      <c r="D1165">
        <v>4.3289097038766801E-13</v>
      </c>
      <c r="E1165" t="s">
        <v>616</v>
      </c>
      <c r="H1165" t="s">
        <v>588</v>
      </c>
      <c r="I1165">
        <v>4.3289097038766801E-13</v>
      </c>
      <c r="J1165">
        <v>3.0862068091013639</v>
      </c>
      <c r="N1165" t="s">
        <v>2601</v>
      </c>
      <c r="O1165" t="s">
        <v>952</v>
      </c>
      <c r="Q1165" t="s">
        <v>2602</v>
      </c>
    </row>
    <row r="1166" spans="2:17">
      <c r="B1166" t="s">
        <v>2603</v>
      </c>
      <c r="C1166" t="s">
        <v>1243</v>
      </c>
      <c r="D1166">
        <v>1.22127846211137E-4</v>
      </c>
      <c r="E1166" t="s">
        <v>94</v>
      </c>
      <c r="H1166" t="s">
        <v>588</v>
      </c>
      <c r="I1166">
        <v>1.22127846211137E-4</v>
      </c>
      <c r="J1166">
        <v>1.0805386501323246</v>
      </c>
      <c r="N1166" t="s">
        <v>2604</v>
      </c>
      <c r="O1166" t="s">
        <v>1665</v>
      </c>
      <c r="Q1166" t="s">
        <v>1744</v>
      </c>
    </row>
    <row r="1167" spans="2:17">
      <c r="B1167" t="s">
        <v>2603</v>
      </c>
      <c r="C1167" t="s">
        <v>1243</v>
      </c>
      <c r="D1167">
        <v>7.1028382067311901E-6</v>
      </c>
      <c r="E1167" t="s">
        <v>94</v>
      </c>
      <c r="H1167" t="s">
        <v>588</v>
      </c>
      <c r="I1167">
        <v>7.1028382067311901E-6</v>
      </c>
      <c r="J1167">
        <v>1.0805386501323246</v>
      </c>
      <c r="N1167" t="s">
        <v>2604</v>
      </c>
      <c r="O1167" t="s">
        <v>1665</v>
      </c>
      <c r="Q1167" t="s">
        <v>1744</v>
      </c>
    </row>
    <row r="1168" spans="2:17">
      <c r="B1168" t="s">
        <v>1242</v>
      </c>
      <c r="C1168" t="s">
        <v>1243</v>
      </c>
      <c r="D1168">
        <v>5.0209695593813502E-4</v>
      </c>
      <c r="E1168" t="s">
        <v>94</v>
      </c>
      <c r="H1168" t="s">
        <v>588</v>
      </c>
      <c r="I1168">
        <v>5.0209695593813502E-4</v>
      </c>
      <c r="J1168">
        <v>1.0247973619913604</v>
      </c>
      <c r="N1168" t="s">
        <v>1244</v>
      </c>
      <c r="O1168" t="s">
        <v>1135</v>
      </c>
      <c r="Q1168" t="s">
        <v>1136</v>
      </c>
    </row>
    <row r="1169" spans="2:17">
      <c r="B1169" t="s">
        <v>1242</v>
      </c>
      <c r="C1169" t="s">
        <v>1243</v>
      </c>
      <c r="D1169">
        <v>1.06157027772092E-3</v>
      </c>
      <c r="E1169" t="s">
        <v>94</v>
      </c>
      <c r="H1169" t="s">
        <v>588</v>
      </c>
      <c r="I1169">
        <v>1.06157027772092E-3</v>
      </c>
      <c r="J1169">
        <v>1.0247973619913604</v>
      </c>
      <c r="N1169" t="s">
        <v>1244</v>
      </c>
      <c r="O1169" t="s">
        <v>1135</v>
      </c>
      <c r="Q1169" t="s">
        <v>1136</v>
      </c>
    </row>
    <row r="1170" spans="2:17">
      <c r="B1170" t="s">
        <v>2605</v>
      </c>
      <c r="C1170" t="s">
        <v>2606</v>
      </c>
      <c r="D1170">
        <v>1.1050134073221101E-4</v>
      </c>
      <c r="E1170" t="s">
        <v>94</v>
      </c>
      <c r="H1170" t="s">
        <v>588</v>
      </c>
      <c r="I1170">
        <v>1.1050134073221101E-4</v>
      </c>
      <c r="J1170">
        <v>1.1051709180756477</v>
      </c>
      <c r="N1170" t="s">
        <v>2607</v>
      </c>
      <c r="O1170" t="s">
        <v>1700</v>
      </c>
      <c r="Q1170" t="s">
        <v>595</v>
      </c>
    </row>
    <row r="1171" spans="2:17">
      <c r="B1171" t="s">
        <v>2608</v>
      </c>
      <c r="C1171" t="s">
        <v>1698</v>
      </c>
      <c r="D1171">
        <v>8.7204835016826802E-5</v>
      </c>
      <c r="E1171" t="s">
        <v>1171</v>
      </c>
      <c r="H1171" t="s">
        <v>588</v>
      </c>
      <c r="I1171">
        <v>8.7204835016826802E-5</v>
      </c>
      <c r="J1171">
        <v>1</v>
      </c>
      <c r="N1171" t="s">
        <v>2609</v>
      </c>
      <c r="O1171" t="s">
        <v>882</v>
      </c>
      <c r="Q1171" t="s">
        <v>1701</v>
      </c>
    </row>
    <row r="1172" spans="2:17">
      <c r="B1172" t="s">
        <v>908</v>
      </c>
      <c r="C1172" t="s">
        <v>667</v>
      </c>
      <c r="D1172">
        <v>5.01913679494284E-5</v>
      </c>
      <c r="E1172" t="s">
        <v>94</v>
      </c>
      <c r="H1172" t="s">
        <v>588</v>
      </c>
      <c r="I1172">
        <v>5.01913679494284E-5</v>
      </c>
      <c r="J1172">
        <v>1.1051709180756477</v>
      </c>
      <c r="N1172" t="s">
        <v>909</v>
      </c>
      <c r="O1172" t="s">
        <v>1700</v>
      </c>
      <c r="Q1172" t="s">
        <v>811</v>
      </c>
    </row>
    <row r="1173" spans="2:17">
      <c r="B1173" t="s">
        <v>908</v>
      </c>
      <c r="C1173" t="s">
        <v>667</v>
      </c>
      <c r="D1173">
        <v>9.71158175831599E-5</v>
      </c>
      <c r="E1173" t="s">
        <v>94</v>
      </c>
      <c r="H1173" t="s">
        <v>588</v>
      </c>
      <c r="I1173">
        <v>9.71158175831599E-5</v>
      </c>
      <c r="J1173">
        <v>1.0247973619913604</v>
      </c>
      <c r="N1173" t="s">
        <v>2610</v>
      </c>
      <c r="O1173" t="s">
        <v>1765</v>
      </c>
      <c r="Q1173" t="s">
        <v>1766</v>
      </c>
    </row>
    <row r="1174" spans="2:17">
      <c r="B1174" t="s">
        <v>2611</v>
      </c>
      <c r="C1174" t="s">
        <v>587</v>
      </c>
      <c r="D1174">
        <v>3.1852767048685601E-7</v>
      </c>
      <c r="E1174" t="s">
        <v>94</v>
      </c>
      <c r="Q1174" t="s">
        <v>2612</v>
      </c>
    </row>
    <row r="1175" spans="2:17">
      <c r="B1175" t="s">
        <v>888</v>
      </c>
      <c r="C1175" t="s">
        <v>809</v>
      </c>
      <c r="D1175">
        <v>1.30187087489322E-5</v>
      </c>
      <c r="E1175" t="s">
        <v>94</v>
      </c>
      <c r="H1175" t="s">
        <v>588</v>
      </c>
      <c r="I1175">
        <v>1.30187087489322E-5</v>
      </c>
      <c r="J1175">
        <v>1</v>
      </c>
      <c r="N1175" t="s">
        <v>1020</v>
      </c>
      <c r="O1175" t="s">
        <v>1654</v>
      </c>
      <c r="Q1175" t="s">
        <v>2613</v>
      </c>
    </row>
    <row r="1176" spans="2:17">
      <c r="B1176" t="s">
        <v>2614</v>
      </c>
      <c r="C1176" t="s">
        <v>1892</v>
      </c>
      <c r="D1176">
        <v>7.4180625455896596E-6</v>
      </c>
      <c r="E1176" t="s">
        <v>94</v>
      </c>
      <c r="N1176" t="s">
        <v>2615</v>
      </c>
      <c r="Q1176" t="s">
        <v>2449</v>
      </c>
    </row>
    <row r="1177" spans="2:17">
      <c r="B1177" t="s">
        <v>1245</v>
      </c>
      <c r="C1177" t="s">
        <v>708</v>
      </c>
      <c r="D1177">
        <v>1.8929745734820101E-12</v>
      </c>
      <c r="E1177" t="s">
        <v>94</v>
      </c>
      <c r="H1177" t="s">
        <v>588</v>
      </c>
      <c r="I1177">
        <v>1.8929745734820101E-12</v>
      </c>
      <c r="J1177">
        <v>1</v>
      </c>
      <c r="N1177" t="s">
        <v>1246</v>
      </c>
      <c r="O1177" t="s">
        <v>1157</v>
      </c>
      <c r="Q1177" t="s">
        <v>1247</v>
      </c>
    </row>
    <row r="1178" spans="2:17">
      <c r="B1178" t="s">
        <v>2616</v>
      </c>
      <c r="C1178" t="s">
        <v>1810</v>
      </c>
      <c r="D1178">
        <v>7.9147543198535701E-7</v>
      </c>
      <c r="E1178" t="s">
        <v>640</v>
      </c>
      <c r="H1178" t="s">
        <v>588</v>
      </c>
      <c r="I1178">
        <v>7.9147543198535701E-7</v>
      </c>
      <c r="J1178">
        <v>1</v>
      </c>
      <c r="N1178" t="s">
        <v>2617</v>
      </c>
      <c r="O1178" t="s">
        <v>2618</v>
      </c>
      <c r="Q1178" t="s">
        <v>1816</v>
      </c>
    </row>
    <row r="1179" spans="2:17">
      <c r="B1179" t="s">
        <v>2616</v>
      </c>
      <c r="C1179" t="s">
        <v>1810</v>
      </c>
      <c r="D1179">
        <v>7.9174920965327805E-7</v>
      </c>
      <c r="E1179" t="s">
        <v>640</v>
      </c>
      <c r="H1179" t="s">
        <v>588</v>
      </c>
      <c r="I1179">
        <v>7.9174920965327805E-7</v>
      </c>
      <c r="J1179">
        <v>1</v>
      </c>
      <c r="N1179" t="s">
        <v>2619</v>
      </c>
      <c r="O1179" t="s">
        <v>2618</v>
      </c>
      <c r="Q1179" t="s">
        <v>2620</v>
      </c>
    </row>
    <row r="1180" spans="2:17">
      <c r="B1180" t="s">
        <v>2621</v>
      </c>
      <c r="C1180" t="s">
        <v>673</v>
      </c>
      <c r="D1180">
        <v>9.6773716413451401E-4</v>
      </c>
      <c r="E1180" t="s">
        <v>94</v>
      </c>
      <c r="H1180" t="s">
        <v>588</v>
      </c>
      <c r="I1180">
        <v>9.6773716413451401E-4</v>
      </c>
      <c r="J1180">
        <v>1.1051709180756477</v>
      </c>
      <c r="N1180" t="s">
        <v>2622</v>
      </c>
      <c r="O1180" t="s">
        <v>1700</v>
      </c>
      <c r="Q1180" t="s">
        <v>595</v>
      </c>
    </row>
    <row r="1181" spans="2:17">
      <c r="B1181" t="s">
        <v>2621</v>
      </c>
      <c r="C1181" t="s">
        <v>673</v>
      </c>
      <c r="D1181">
        <v>2.0880677054864E-4</v>
      </c>
      <c r="E1181" t="s">
        <v>94</v>
      </c>
      <c r="H1181" t="s">
        <v>588</v>
      </c>
      <c r="I1181">
        <v>2.0880677054864E-4</v>
      </c>
      <c r="J1181">
        <v>1.1051709180756477</v>
      </c>
      <c r="N1181" t="s">
        <v>2622</v>
      </c>
      <c r="O1181" t="s">
        <v>1700</v>
      </c>
      <c r="Q1181" t="s">
        <v>595</v>
      </c>
    </row>
    <row r="1182" spans="2:17">
      <c r="B1182" t="s">
        <v>2623</v>
      </c>
      <c r="C1182" t="s">
        <v>673</v>
      </c>
      <c r="D1182">
        <v>2.2192317103277E-5</v>
      </c>
      <c r="E1182" t="s">
        <v>94</v>
      </c>
      <c r="H1182" t="s">
        <v>588</v>
      </c>
      <c r="I1182">
        <v>2.2192317103277E-5</v>
      </c>
      <c r="J1182">
        <v>1.0247973619913604</v>
      </c>
      <c r="N1182" t="s">
        <v>2624</v>
      </c>
      <c r="O1182" t="s">
        <v>1765</v>
      </c>
      <c r="Q1182" t="s">
        <v>1766</v>
      </c>
    </row>
    <row r="1183" spans="2:17">
      <c r="B1183" t="s">
        <v>2625</v>
      </c>
      <c r="C1183" t="s">
        <v>2626</v>
      </c>
      <c r="D1183">
        <v>1.0934240451793099E-3</v>
      </c>
      <c r="E1183" t="s">
        <v>616</v>
      </c>
      <c r="N1183" t="s">
        <v>2627</v>
      </c>
      <c r="Q1183" t="s">
        <v>2489</v>
      </c>
    </row>
    <row r="1184" spans="2:17">
      <c r="B1184" t="s">
        <v>2628</v>
      </c>
      <c r="C1184" t="s">
        <v>2629</v>
      </c>
      <c r="D1184">
        <v>1.8186262071400299E-12</v>
      </c>
      <c r="E1184" t="s">
        <v>616</v>
      </c>
      <c r="H1184" t="s">
        <v>588</v>
      </c>
      <c r="I1184">
        <v>1.8186262071400299E-12</v>
      </c>
      <c r="J1184">
        <v>1.1051709180756477</v>
      </c>
      <c r="N1184" t="s">
        <v>2630</v>
      </c>
      <c r="O1184" t="s">
        <v>2387</v>
      </c>
      <c r="Q1184" t="s">
        <v>2388</v>
      </c>
    </row>
    <row r="1185" spans="2:17">
      <c r="B1185" t="s">
        <v>2631</v>
      </c>
      <c r="C1185" t="s">
        <v>2629</v>
      </c>
      <c r="D1185">
        <v>2.15522382082934E-10</v>
      </c>
      <c r="E1185" t="s">
        <v>616</v>
      </c>
      <c r="H1185" t="s">
        <v>588</v>
      </c>
      <c r="I1185">
        <v>2.15522382082934E-10</v>
      </c>
      <c r="J1185">
        <v>1.1051709180756477</v>
      </c>
      <c r="N1185" t="s">
        <v>2632</v>
      </c>
      <c r="O1185" t="s">
        <v>2387</v>
      </c>
      <c r="Q1185" t="s">
        <v>979</v>
      </c>
    </row>
    <row r="1186" spans="2:17">
      <c r="B1186" t="s">
        <v>2633</v>
      </c>
      <c r="C1186" t="s">
        <v>2629</v>
      </c>
      <c r="D1186">
        <v>5.8338325398131904E-10</v>
      </c>
      <c r="E1186" t="s">
        <v>616</v>
      </c>
      <c r="H1186" t="s">
        <v>588</v>
      </c>
      <c r="I1186">
        <v>5.8338325398131904E-10</v>
      </c>
      <c r="J1186">
        <v>1.2505791921887124</v>
      </c>
      <c r="N1186" t="s">
        <v>2634</v>
      </c>
      <c r="O1186" t="s">
        <v>2635</v>
      </c>
      <c r="Q1186" t="s">
        <v>2636</v>
      </c>
    </row>
    <row r="1187" spans="2:17">
      <c r="B1187" t="s">
        <v>2633</v>
      </c>
      <c r="C1187" t="s">
        <v>2629</v>
      </c>
      <c r="D1187">
        <v>3.2842403466769102E-10</v>
      </c>
      <c r="E1187" t="s">
        <v>616</v>
      </c>
      <c r="H1187" t="s">
        <v>588</v>
      </c>
      <c r="I1187">
        <v>3.2842403466769102E-10</v>
      </c>
      <c r="J1187">
        <v>2.0993333641911049</v>
      </c>
      <c r="N1187" t="s">
        <v>2637</v>
      </c>
      <c r="O1187" t="s">
        <v>2387</v>
      </c>
      <c r="Q1187" t="s">
        <v>2638</v>
      </c>
    </row>
    <row r="1188" spans="2:17">
      <c r="B1188" t="s">
        <v>2639</v>
      </c>
      <c r="C1188" t="s">
        <v>2629</v>
      </c>
      <c r="D1188">
        <v>6.0921909608533401E-11</v>
      </c>
      <c r="E1188" t="s">
        <v>616</v>
      </c>
      <c r="H1188" t="s">
        <v>588</v>
      </c>
      <c r="I1188">
        <v>6.0921909608533401E-11</v>
      </c>
      <c r="J1188">
        <v>1.0247973619913604</v>
      </c>
      <c r="N1188" t="s">
        <v>2640</v>
      </c>
      <c r="O1188" t="s">
        <v>2436</v>
      </c>
      <c r="Q1188" t="s">
        <v>2641</v>
      </c>
    </row>
    <row r="1189" spans="2:17">
      <c r="B1189" t="s">
        <v>2642</v>
      </c>
      <c r="C1189" t="s">
        <v>2629</v>
      </c>
      <c r="D1189">
        <v>6.9746572136258496E-9</v>
      </c>
      <c r="E1189" t="s">
        <v>616</v>
      </c>
      <c r="H1189" t="s">
        <v>588</v>
      </c>
      <c r="I1189">
        <v>6.9746572136258496E-9</v>
      </c>
      <c r="J1189">
        <v>1.1712995782321958</v>
      </c>
      <c r="N1189" t="s">
        <v>2643</v>
      </c>
      <c r="O1189" t="s">
        <v>2387</v>
      </c>
      <c r="Q1189" t="s">
        <v>2388</v>
      </c>
    </row>
    <row r="1190" spans="2:17">
      <c r="B1190" t="s">
        <v>2642</v>
      </c>
      <c r="C1190" t="s">
        <v>2629</v>
      </c>
      <c r="D1190">
        <v>2.3674466291948101E-10</v>
      </c>
      <c r="E1190" t="s">
        <v>616</v>
      </c>
      <c r="N1190" t="s">
        <v>2644</v>
      </c>
      <c r="Q1190" t="s">
        <v>2645</v>
      </c>
    </row>
    <row r="1191" spans="2:17">
      <c r="B1191" t="s">
        <v>2646</v>
      </c>
      <c r="C1191" t="s">
        <v>2647</v>
      </c>
      <c r="D1191">
        <v>6.4642909227352393E-5</v>
      </c>
      <c r="E1191" t="s">
        <v>94</v>
      </c>
      <c r="H1191" t="s">
        <v>588</v>
      </c>
      <c r="I1191">
        <v>6.4642909227352393E-5</v>
      </c>
      <c r="J1191">
        <v>1.7293101253499219</v>
      </c>
      <c r="N1191" t="s">
        <v>2648</v>
      </c>
      <c r="O1191" t="s">
        <v>1927</v>
      </c>
      <c r="Q1191" t="s">
        <v>2649</v>
      </c>
    </row>
    <row r="1192" spans="2:17">
      <c r="B1192" t="s">
        <v>2650</v>
      </c>
      <c r="C1192" t="s">
        <v>587</v>
      </c>
      <c r="D1192">
        <v>4.8649376399361101E-2</v>
      </c>
      <c r="E1192" t="s">
        <v>94</v>
      </c>
      <c r="H1192" t="s">
        <v>588</v>
      </c>
      <c r="I1192">
        <v>4.8649376399361101E-2</v>
      </c>
      <c r="J1192">
        <v>1.0247973619913604</v>
      </c>
      <c r="O1192" t="s">
        <v>641</v>
      </c>
      <c r="Q1192" t="s">
        <v>1643</v>
      </c>
    </row>
    <row r="1193" spans="2:17">
      <c r="B1193" t="s">
        <v>2651</v>
      </c>
      <c r="C1193" t="s">
        <v>1489</v>
      </c>
      <c r="D1193">
        <v>4.3718633058281302E-12</v>
      </c>
      <c r="E1193" t="s">
        <v>616</v>
      </c>
      <c r="H1193" t="s">
        <v>588</v>
      </c>
      <c r="I1193">
        <v>4.3718633058281302E-12</v>
      </c>
      <c r="J1193">
        <v>1.499999999999694</v>
      </c>
      <c r="N1193" t="s">
        <v>2652</v>
      </c>
      <c r="O1193" t="s">
        <v>952</v>
      </c>
      <c r="Q1193" t="s">
        <v>2653</v>
      </c>
    </row>
    <row r="1194" spans="2:17">
      <c r="B1194" t="s">
        <v>2654</v>
      </c>
      <c r="C1194" t="s">
        <v>2234</v>
      </c>
      <c r="D1194">
        <v>1.1349155926341501E-9</v>
      </c>
      <c r="E1194" t="s">
        <v>616</v>
      </c>
      <c r="H1194" t="s">
        <v>588</v>
      </c>
      <c r="I1194">
        <v>1.1349155926341501E-9</v>
      </c>
      <c r="J1194">
        <v>1.0247973619913604</v>
      </c>
      <c r="N1194" t="s">
        <v>2655</v>
      </c>
      <c r="O1194" t="s">
        <v>2656</v>
      </c>
      <c r="Q1194" t="s">
        <v>2657</v>
      </c>
    </row>
    <row r="1195" spans="2:17">
      <c r="B1195" t="s">
        <v>2658</v>
      </c>
      <c r="C1195" t="s">
        <v>587</v>
      </c>
      <c r="D1195">
        <v>0.14881418105997499</v>
      </c>
      <c r="E1195" t="s">
        <v>640</v>
      </c>
      <c r="H1195" t="s">
        <v>588</v>
      </c>
      <c r="I1195">
        <v>0.14881418105997499</v>
      </c>
      <c r="J1195">
        <v>1</v>
      </c>
      <c r="O1195" t="s">
        <v>1157</v>
      </c>
      <c r="Q1195" t="s">
        <v>2659</v>
      </c>
    </row>
    <row r="1196" spans="2:17">
      <c r="B1196" t="s">
        <v>2660</v>
      </c>
      <c r="C1196" t="s">
        <v>2661</v>
      </c>
      <c r="D1196">
        <v>1.06258998345013E-3</v>
      </c>
      <c r="E1196" t="s">
        <v>94</v>
      </c>
      <c r="H1196" t="s">
        <v>588</v>
      </c>
      <c r="I1196">
        <v>1.06258998345013E-3</v>
      </c>
      <c r="J1196">
        <v>1.0247973619913604</v>
      </c>
      <c r="N1196" t="s">
        <v>2662</v>
      </c>
      <c r="O1196" t="s">
        <v>1765</v>
      </c>
      <c r="Q1196" t="s">
        <v>1766</v>
      </c>
    </row>
    <row r="1197" spans="2:17">
      <c r="B1197" t="s">
        <v>2663</v>
      </c>
      <c r="C1197" t="s">
        <v>670</v>
      </c>
      <c r="D1197">
        <v>2.1330019974097399E-2</v>
      </c>
      <c r="E1197" t="s">
        <v>94</v>
      </c>
      <c r="N1197" t="s">
        <v>2664</v>
      </c>
    </row>
    <row r="1198" spans="2:17">
      <c r="B1198" t="s">
        <v>2663</v>
      </c>
      <c r="C1198" t="s">
        <v>670</v>
      </c>
      <c r="D1198">
        <v>6.53973381966851E-3</v>
      </c>
      <c r="E1198" t="s">
        <v>94</v>
      </c>
      <c r="N1198" t="s">
        <v>2664</v>
      </c>
    </row>
    <row r="1199" spans="2:17">
      <c r="B1199" t="s">
        <v>2665</v>
      </c>
      <c r="C1199" t="s">
        <v>1243</v>
      </c>
      <c r="D1199">
        <v>1.2310676640762901E-4</v>
      </c>
      <c r="E1199" t="s">
        <v>94</v>
      </c>
      <c r="H1199" t="s">
        <v>588</v>
      </c>
      <c r="I1199">
        <v>1.2310676640762901E-4</v>
      </c>
      <c r="J1199">
        <v>1</v>
      </c>
      <c r="N1199" t="s">
        <v>2666</v>
      </c>
      <c r="O1199" t="s">
        <v>1157</v>
      </c>
      <c r="Q1199" t="s">
        <v>1924</v>
      </c>
    </row>
    <row r="1200" spans="2:17">
      <c r="B1200" t="s">
        <v>1248</v>
      </c>
      <c r="C1200" t="s">
        <v>1249</v>
      </c>
      <c r="D1200">
        <v>2.6070666151938097E-4</v>
      </c>
      <c r="E1200" t="s">
        <v>94</v>
      </c>
      <c r="H1200" t="s">
        <v>588</v>
      </c>
      <c r="I1200">
        <v>2.6070666151938097E-4</v>
      </c>
      <c r="J1200">
        <v>1.499999999999694</v>
      </c>
      <c r="N1200" t="s">
        <v>1250</v>
      </c>
      <c r="O1200" t="s">
        <v>952</v>
      </c>
      <c r="Q1200" t="s">
        <v>2667</v>
      </c>
    </row>
    <row r="1201" spans="2:17">
      <c r="B1201" t="s">
        <v>1252</v>
      </c>
      <c r="C1201" t="s">
        <v>1249</v>
      </c>
      <c r="D1201">
        <v>5.7526877167586696E-4</v>
      </c>
      <c r="E1201" t="s">
        <v>94</v>
      </c>
      <c r="H1201" t="s">
        <v>588</v>
      </c>
      <c r="I1201">
        <v>5.7526877167586696E-4</v>
      </c>
      <c r="J1201">
        <v>1.0247973619913604</v>
      </c>
      <c r="N1201" t="s">
        <v>1253</v>
      </c>
      <c r="O1201" t="s">
        <v>1914</v>
      </c>
      <c r="Q1201" t="s">
        <v>2018</v>
      </c>
    </row>
    <row r="1202" spans="2:17">
      <c r="B1202" t="s">
        <v>2668</v>
      </c>
      <c r="C1202" t="s">
        <v>857</v>
      </c>
      <c r="D1202">
        <v>4.2605435372995702E-12</v>
      </c>
      <c r="E1202" t="s">
        <v>616</v>
      </c>
      <c r="H1202" t="s">
        <v>588</v>
      </c>
      <c r="I1202">
        <v>4.2605435372995702E-12</v>
      </c>
      <c r="J1202">
        <v>1.7450381821146503</v>
      </c>
      <c r="N1202" t="s">
        <v>2669</v>
      </c>
      <c r="O1202" t="s">
        <v>1067</v>
      </c>
      <c r="Q1202" t="s">
        <v>1545</v>
      </c>
    </row>
    <row r="1203" spans="2:17">
      <c r="B1203" t="s">
        <v>2668</v>
      </c>
      <c r="C1203" t="s">
        <v>857</v>
      </c>
      <c r="D1203">
        <v>4.2608300558689799E-12</v>
      </c>
      <c r="E1203" t="s">
        <v>616</v>
      </c>
      <c r="H1203" t="s">
        <v>588</v>
      </c>
      <c r="I1203">
        <v>4.2608300558689799E-12</v>
      </c>
      <c r="J1203">
        <v>1.7450381821146503</v>
      </c>
      <c r="N1203" t="s">
        <v>2670</v>
      </c>
      <c r="O1203" t="s">
        <v>841</v>
      </c>
      <c r="Q1203" t="s">
        <v>2671</v>
      </c>
    </row>
    <row r="1204" spans="2:17">
      <c r="B1204" t="s">
        <v>2672</v>
      </c>
      <c r="C1204" t="s">
        <v>1243</v>
      </c>
      <c r="D1204">
        <v>9.7309373791096396E-4</v>
      </c>
      <c r="E1204" t="s">
        <v>94</v>
      </c>
      <c r="H1204" t="s">
        <v>588</v>
      </c>
      <c r="I1204">
        <v>9.7309373791096396E-4</v>
      </c>
      <c r="J1204">
        <v>1.1051709180756477</v>
      </c>
      <c r="N1204" t="s">
        <v>2673</v>
      </c>
      <c r="O1204" t="s">
        <v>1798</v>
      </c>
      <c r="Q1204" t="s">
        <v>1545</v>
      </c>
    </row>
    <row r="1205" spans="2:17">
      <c r="B1205" t="s">
        <v>2674</v>
      </c>
      <c r="C1205" t="s">
        <v>1892</v>
      </c>
      <c r="D1205">
        <v>2.1366826601592099E-4</v>
      </c>
      <c r="E1205" t="s">
        <v>94</v>
      </c>
      <c r="H1205" t="s">
        <v>588</v>
      </c>
      <c r="I1205">
        <v>2.1366826601592099E-4</v>
      </c>
      <c r="J1205">
        <v>1.0247973619913604</v>
      </c>
      <c r="N1205" t="s">
        <v>2675</v>
      </c>
      <c r="O1205" t="s">
        <v>2220</v>
      </c>
      <c r="Q1205" t="s">
        <v>2676</v>
      </c>
    </row>
    <row r="1206" spans="2:17">
      <c r="B1206" t="s">
        <v>2677</v>
      </c>
      <c r="C1206" t="s">
        <v>1243</v>
      </c>
      <c r="D1206">
        <v>1.75167718345518E-5</v>
      </c>
      <c r="E1206" t="s">
        <v>626</v>
      </c>
      <c r="H1206" t="s">
        <v>588</v>
      </c>
      <c r="I1206">
        <v>1.75167718345518E-5</v>
      </c>
      <c r="J1206">
        <v>1.1051709180756477</v>
      </c>
      <c r="N1206" t="s">
        <v>2678</v>
      </c>
      <c r="O1206" t="s">
        <v>921</v>
      </c>
      <c r="Q1206" t="s">
        <v>595</v>
      </c>
    </row>
    <row r="1207" spans="2:17">
      <c r="B1207" t="s">
        <v>2679</v>
      </c>
      <c r="C1207" t="s">
        <v>1243</v>
      </c>
      <c r="D1207">
        <v>7.2092973945447E-6</v>
      </c>
      <c r="E1207" t="s">
        <v>626</v>
      </c>
      <c r="H1207" t="s">
        <v>588</v>
      </c>
      <c r="I1207">
        <v>7.2092973945447E-6</v>
      </c>
      <c r="J1207">
        <v>1.1051709180756477</v>
      </c>
      <c r="N1207" t="s">
        <v>2680</v>
      </c>
      <c r="O1207" t="s">
        <v>1675</v>
      </c>
      <c r="Q1207" t="s">
        <v>595</v>
      </c>
    </row>
    <row r="1208" spans="2:17">
      <c r="B1208" t="s">
        <v>2681</v>
      </c>
      <c r="C1208" t="s">
        <v>2682</v>
      </c>
      <c r="D1208">
        <v>5.5450682767266698E-6</v>
      </c>
      <c r="E1208" t="s">
        <v>94</v>
      </c>
      <c r="H1208" t="s">
        <v>588</v>
      </c>
      <c r="I1208">
        <v>5.5450682767266698E-6</v>
      </c>
      <c r="J1208">
        <v>1.0247973619913604</v>
      </c>
      <c r="N1208" t="s">
        <v>2683</v>
      </c>
      <c r="O1208" t="s">
        <v>1883</v>
      </c>
    </row>
    <row r="1209" spans="2:17">
      <c r="B1209" t="s">
        <v>2684</v>
      </c>
      <c r="C1209" t="s">
        <v>2589</v>
      </c>
      <c r="D1209">
        <v>1.69063183239056E-7</v>
      </c>
      <c r="E1209" t="s">
        <v>640</v>
      </c>
      <c r="H1209" t="s">
        <v>588</v>
      </c>
      <c r="I1209">
        <v>1.69063183239056E-7</v>
      </c>
      <c r="J1209">
        <v>1.0805386501323246</v>
      </c>
      <c r="N1209" t="s">
        <v>2685</v>
      </c>
      <c r="O1209" t="s">
        <v>2314</v>
      </c>
      <c r="Q1209" t="s">
        <v>2686</v>
      </c>
    </row>
    <row r="1210" spans="2:17">
      <c r="B1210" t="s">
        <v>2684</v>
      </c>
      <c r="C1210" t="s">
        <v>2589</v>
      </c>
      <c r="D1210">
        <v>7.7866813050199105E-8</v>
      </c>
      <c r="E1210" t="s">
        <v>640</v>
      </c>
      <c r="H1210" t="s">
        <v>588</v>
      </c>
      <c r="I1210">
        <v>7.7866813050199105E-8</v>
      </c>
      <c r="J1210">
        <v>1.0805386501323246</v>
      </c>
      <c r="N1210" t="s">
        <v>2685</v>
      </c>
      <c r="O1210" t="s">
        <v>2314</v>
      </c>
      <c r="Q1210" t="s">
        <v>2686</v>
      </c>
    </row>
    <row r="1211" spans="2:17">
      <c r="B1211" t="s">
        <v>2687</v>
      </c>
      <c r="C1211" t="s">
        <v>673</v>
      </c>
      <c r="D1211">
        <v>8.4985048558755495E-7</v>
      </c>
      <c r="E1211" t="s">
        <v>94</v>
      </c>
      <c r="H1211" t="s">
        <v>588</v>
      </c>
      <c r="I1211">
        <v>8.4985048558755495E-7</v>
      </c>
      <c r="J1211">
        <v>1.0247973619913604</v>
      </c>
      <c r="N1211" t="s">
        <v>2688</v>
      </c>
      <c r="O1211" t="s">
        <v>2189</v>
      </c>
    </row>
    <row r="1212" spans="2:17">
      <c r="B1212" t="s">
        <v>2687</v>
      </c>
      <c r="C1212" t="s">
        <v>673</v>
      </c>
      <c r="D1212">
        <v>1.20567333410833E-6</v>
      </c>
      <c r="E1212" t="s">
        <v>94</v>
      </c>
      <c r="H1212" t="s">
        <v>588</v>
      </c>
      <c r="I1212">
        <v>1.20567333410833E-6</v>
      </c>
      <c r="J1212">
        <v>1.0247973619913604</v>
      </c>
      <c r="N1212" t="s">
        <v>2688</v>
      </c>
      <c r="O1212" t="s">
        <v>1883</v>
      </c>
    </row>
    <row r="1213" spans="2:17">
      <c r="B1213" t="s">
        <v>2689</v>
      </c>
      <c r="C1213" t="s">
        <v>1635</v>
      </c>
      <c r="D1213">
        <v>2.1285812152410698E-6</v>
      </c>
      <c r="E1213" t="s">
        <v>94</v>
      </c>
      <c r="H1213" t="s">
        <v>588</v>
      </c>
      <c r="I1213">
        <v>2.1285812152410698E-6</v>
      </c>
      <c r="J1213">
        <v>1.074399999999982</v>
      </c>
      <c r="N1213" t="s">
        <v>2690</v>
      </c>
      <c r="O1213" t="s">
        <v>589</v>
      </c>
      <c r="Q1213" t="s">
        <v>2691</v>
      </c>
    </row>
    <row r="1214" spans="2:17">
      <c r="B1214" t="s">
        <v>2692</v>
      </c>
      <c r="C1214" t="s">
        <v>569</v>
      </c>
      <c r="D1214">
        <v>5.6129992804613995E-10</v>
      </c>
      <c r="E1214" t="s">
        <v>94</v>
      </c>
      <c r="H1214" t="s">
        <v>588</v>
      </c>
      <c r="I1214">
        <v>5.6129992804613995E-10</v>
      </c>
      <c r="J1214">
        <v>1.1051709180756477</v>
      </c>
      <c r="N1214" t="s">
        <v>2693</v>
      </c>
      <c r="O1214" t="s">
        <v>798</v>
      </c>
      <c r="Q1214" t="s">
        <v>595</v>
      </c>
    </row>
    <row r="1215" spans="2:17">
      <c r="B1215" t="s">
        <v>2694</v>
      </c>
      <c r="C1215" t="s">
        <v>587</v>
      </c>
      <c r="D1215">
        <v>9.0881877849918203E-8</v>
      </c>
      <c r="E1215" t="s">
        <v>94</v>
      </c>
      <c r="H1215" t="s">
        <v>588</v>
      </c>
      <c r="I1215">
        <v>9.0881877849918203E-8</v>
      </c>
      <c r="J1215">
        <v>1.0247973619913604</v>
      </c>
      <c r="O1215" t="s">
        <v>641</v>
      </c>
      <c r="Q1215" t="s">
        <v>1643</v>
      </c>
    </row>
    <row r="1216" spans="2:17">
      <c r="B1216" t="s">
        <v>2695</v>
      </c>
      <c r="C1216" t="s">
        <v>587</v>
      </c>
      <c r="D1216">
        <v>6.7939443114902403E-10</v>
      </c>
      <c r="E1216" t="s">
        <v>94</v>
      </c>
      <c r="Q1216" t="s">
        <v>1776</v>
      </c>
    </row>
    <row r="1217" spans="2:17">
      <c r="B1217" t="s">
        <v>2696</v>
      </c>
      <c r="C1217" t="s">
        <v>2697</v>
      </c>
      <c r="D1217">
        <v>6.0656931728074099E-5</v>
      </c>
      <c r="E1217" t="s">
        <v>94</v>
      </c>
      <c r="N1217" t="s">
        <v>2698</v>
      </c>
    </row>
    <row r="1218" spans="2:17">
      <c r="B1218" t="s">
        <v>2696</v>
      </c>
      <c r="C1218" t="s">
        <v>2697</v>
      </c>
      <c r="D1218">
        <v>2.08049622387804E-4</v>
      </c>
      <c r="E1218" t="s">
        <v>94</v>
      </c>
      <c r="H1218" t="s">
        <v>588</v>
      </c>
      <c r="I1218">
        <v>2.08049622387804E-4</v>
      </c>
      <c r="J1218">
        <v>1.0247973619913604</v>
      </c>
      <c r="N1218" t="s">
        <v>2699</v>
      </c>
      <c r="O1218" t="s">
        <v>1806</v>
      </c>
      <c r="Q1218" t="s">
        <v>1728</v>
      </c>
    </row>
    <row r="1219" spans="2:17">
      <c r="B1219" t="s">
        <v>2696</v>
      </c>
      <c r="C1219" t="s">
        <v>2697</v>
      </c>
      <c r="D1219">
        <v>1.6730899215036199E-3</v>
      </c>
      <c r="E1219" t="s">
        <v>94</v>
      </c>
      <c r="N1219" t="s">
        <v>2698</v>
      </c>
    </row>
    <row r="1220" spans="2:17">
      <c r="B1220" t="s">
        <v>2700</v>
      </c>
      <c r="C1220" t="s">
        <v>1825</v>
      </c>
      <c r="D1220">
        <v>3.5523934308549999E-6</v>
      </c>
      <c r="E1220" t="s">
        <v>94</v>
      </c>
      <c r="H1220" t="s">
        <v>588</v>
      </c>
      <c r="I1220">
        <v>3.5523934308549999E-6</v>
      </c>
      <c r="J1220">
        <v>1</v>
      </c>
      <c r="N1220" t="s">
        <v>2701</v>
      </c>
      <c r="O1220" t="s">
        <v>1654</v>
      </c>
      <c r="Q1220" t="s">
        <v>595</v>
      </c>
    </row>
    <row r="1221" spans="2:17">
      <c r="B1221" t="s">
        <v>2702</v>
      </c>
      <c r="C1221" t="s">
        <v>676</v>
      </c>
      <c r="D1221">
        <v>8.6406914099016697E-6</v>
      </c>
      <c r="E1221" t="s">
        <v>94</v>
      </c>
      <c r="H1221" t="s">
        <v>588</v>
      </c>
      <c r="I1221">
        <v>8.6406914099016697E-6</v>
      </c>
      <c r="J1221">
        <v>1.0247973619913604</v>
      </c>
      <c r="N1221" t="s">
        <v>2703</v>
      </c>
      <c r="O1221" t="s">
        <v>2139</v>
      </c>
      <c r="Q1221" t="s">
        <v>2704</v>
      </c>
    </row>
    <row r="1222" spans="2:17">
      <c r="B1222" t="s">
        <v>2702</v>
      </c>
      <c r="C1222" t="s">
        <v>676</v>
      </c>
      <c r="D1222">
        <v>6.2589856438667905E-4</v>
      </c>
      <c r="E1222" t="s">
        <v>94</v>
      </c>
      <c r="H1222" t="s">
        <v>588</v>
      </c>
      <c r="I1222">
        <v>6.2589856438667905E-4</v>
      </c>
      <c r="J1222">
        <v>1.0247973619913604</v>
      </c>
      <c r="N1222" t="s">
        <v>2703</v>
      </c>
      <c r="O1222" t="s">
        <v>2139</v>
      </c>
      <c r="Q1222" t="s">
        <v>2704</v>
      </c>
    </row>
    <row r="1223" spans="2:17">
      <c r="B1223" t="s">
        <v>2702</v>
      </c>
      <c r="C1223" t="s">
        <v>676</v>
      </c>
      <c r="D1223">
        <v>5.1506768782922901E-8</v>
      </c>
      <c r="E1223" t="s">
        <v>94</v>
      </c>
      <c r="H1223" t="s">
        <v>588</v>
      </c>
      <c r="I1223">
        <v>5.1506768782922901E-8</v>
      </c>
      <c r="J1223">
        <v>1.0247973619913604</v>
      </c>
      <c r="N1223" t="s">
        <v>2703</v>
      </c>
      <c r="O1223" t="s">
        <v>2139</v>
      </c>
      <c r="Q1223" t="s">
        <v>2704</v>
      </c>
    </row>
    <row r="1224" spans="2:17">
      <c r="B1224" t="s">
        <v>2702</v>
      </c>
      <c r="C1224" t="s">
        <v>676</v>
      </c>
      <c r="D1224">
        <v>1.51833656705099E-4</v>
      </c>
      <c r="E1224" t="s">
        <v>94</v>
      </c>
      <c r="H1224" t="s">
        <v>588</v>
      </c>
      <c r="I1224">
        <v>1.51833656705099E-4</v>
      </c>
      <c r="J1224">
        <v>1.0247973619913604</v>
      </c>
      <c r="N1224" t="s">
        <v>2703</v>
      </c>
      <c r="O1224" t="s">
        <v>2139</v>
      </c>
      <c r="Q1224" t="s">
        <v>2704</v>
      </c>
    </row>
    <row r="1225" spans="2:17">
      <c r="B1225" t="s">
        <v>2702</v>
      </c>
      <c r="C1225" t="s">
        <v>676</v>
      </c>
      <c r="D1225">
        <v>3.95568133214383E-5</v>
      </c>
      <c r="E1225" t="s">
        <v>94</v>
      </c>
      <c r="H1225" t="s">
        <v>588</v>
      </c>
      <c r="I1225">
        <v>3.95568133214383E-5</v>
      </c>
      <c r="J1225">
        <v>1.0247973619913604</v>
      </c>
      <c r="N1225" t="s">
        <v>2703</v>
      </c>
      <c r="O1225" t="s">
        <v>2139</v>
      </c>
      <c r="Q1225" t="s">
        <v>2704</v>
      </c>
    </row>
    <row r="1226" spans="2:17">
      <c r="B1226" t="s">
        <v>2705</v>
      </c>
      <c r="C1226" t="s">
        <v>587</v>
      </c>
      <c r="D1226">
        <v>1.3280578213960801</v>
      </c>
      <c r="E1226" t="s">
        <v>94</v>
      </c>
      <c r="Q1226" t="s">
        <v>1776</v>
      </c>
    </row>
    <row r="1227" spans="2:17">
      <c r="B1227" t="s">
        <v>2706</v>
      </c>
      <c r="C1227" t="s">
        <v>676</v>
      </c>
      <c r="D1227">
        <v>1.9061566987527801E-2</v>
      </c>
      <c r="E1227" t="s">
        <v>94</v>
      </c>
      <c r="H1227" t="s">
        <v>588</v>
      </c>
      <c r="I1227">
        <v>1.9061566987527801E-2</v>
      </c>
      <c r="J1227">
        <v>1.1051709180756477</v>
      </c>
      <c r="N1227" t="s">
        <v>2707</v>
      </c>
      <c r="O1227" t="s">
        <v>2708</v>
      </c>
      <c r="Q1227" t="s">
        <v>2210</v>
      </c>
    </row>
    <row r="1228" spans="2:17">
      <c r="B1228" t="s">
        <v>2706</v>
      </c>
      <c r="C1228" t="s">
        <v>676</v>
      </c>
      <c r="D1228">
        <v>0.106750196489312</v>
      </c>
      <c r="E1228" t="s">
        <v>94</v>
      </c>
      <c r="H1228" t="s">
        <v>588</v>
      </c>
      <c r="I1228">
        <v>0.106750196489312</v>
      </c>
      <c r="J1228">
        <v>1.1051709180756477</v>
      </c>
      <c r="N1228" t="s">
        <v>2707</v>
      </c>
      <c r="O1228" t="s">
        <v>2708</v>
      </c>
      <c r="Q1228" t="s">
        <v>2210</v>
      </c>
    </row>
    <row r="1229" spans="2:17">
      <c r="B1229" t="s">
        <v>2709</v>
      </c>
      <c r="C1229" t="s">
        <v>615</v>
      </c>
      <c r="D1229">
        <v>3.0328513889559402E-11</v>
      </c>
      <c r="E1229" t="s">
        <v>616</v>
      </c>
      <c r="H1229" t="s">
        <v>588</v>
      </c>
      <c r="I1229">
        <v>3.0328513889559402E-11</v>
      </c>
      <c r="J1229">
        <v>1.7450381821146503</v>
      </c>
      <c r="N1229" t="s">
        <v>2710</v>
      </c>
      <c r="O1229" t="s">
        <v>2711</v>
      </c>
      <c r="Q1229" t="s">
        <v>2712</v>
      </c>
    </row>
    <row r="1230" spans="2:17">
      <c r="B1230" t="s">
        <v>2709</v>
      </c>
      <c r="C1230" t="s">
        <v>615</v>
      </c>
      <c r="D1230">
        <v>3.0327584049174803E-11</v>
      </c>
      <c r="E1230" t="s">
        <v>616</v>
      </c>
      <c r="H1230" t="s">
        <v>588</v>
      </c>
      <c r="I1230">
        <v>3.0327584049174803E-11</v>
      </c>
      <c r="J1230">
        <v>1.7450381821146503</v>
      </c>
      <c r="N1230" t="s">
        <v>2713</v>
      </c>
      <c r="O1230" t="s">
        <v>921</v>
      </c>
      <c r="Q1230" t="s">
        <v>979</v>
      </c>
    </row>
    <row r="1231" spans="2:17">
      <c r="B1231" t="s">
        <v>2714</v>
      </c>
      <c r="C1231" t="s">
        <v>1830</v>
      </c>
      <c r="D1231">
        <v>6.2834191644061896E-5</v>
      </c>
      <c r="E1231" t="s">
        <v>94</v>
      </c>
      <c r="H1231" t="s">
        <v>588</v>
      </c>
      <c r="I1231">
        <v>6.2834191644061896E-5</v>
      </c>
      <c r="J1231">
        <v>1.0247973619913604</v>
      </c>
      <c r="N1231" t="s">
        <v>2715</v>
      </c>
      <c r="O1231" t="s">
        <v>1806</v>
      </c>
      <c r="Q1231" t="s">
        <v>1728</v>
      </c>
    </row>
    <row r="1232" spans="2:17">
      <c r="B1232" t="s">
        <v>2714</v>
      </c>
      <c r="C1232" t="s">
        <v>1830</v>
      </c>
      <c r="D1232">
        <v>5.2361826370051596E-4</v>
      </c>
      <c r="E1232" t="s">
        <v>94</v>
      </c>
      <c r="N1232" t="s">
        <v>2716</v>
      </c>
    </row>
    <row r="1233" spans="2:17">
      <c r="B1233" t="s">
        <v>2717</v>
      </c>
      <c r="C1233" t="s">
        <v>1810</v>
      </c>
      <c r="D1233">
        <v>3.90219228442685E-7</v>
      </c>
      <c r="E1233" t="s">
        <v>1811</v>
      </c>
      <c r="H1233" t="s">
        <v>588</v>
      </c>
      <c r="I1233">
        <v>3.90219228442685E-7</v>
      </c>
      <c r="J1233">
        <v>1</v>
      </c>
      <c r="N1233" t="s">
        <v>2718</v>
      </c>
      <c r="O1233" t="s">
        <v>1756</v>
      </c>
      <c r="Q1233" t="s">
        <v>2620</v>
      </c>
    </row>
    <row r="1234" spans="2:17">
      <c r="B1234" t="s">
        <v>2719</v>
      </c>
      <c r="C1234" t="s">
        <v>1810</v>
      </c>
      <c r="D1234">
        <v>3.9008429517210097E-7</v>
      </c>
      <c r="E1234" t="s">
        <v>1811</v>
      </c>
      <c r="H1234" t="s">
        <v>588</v>
      </c>
      <c r="I1234">
        <v>3.9008429517210097E-7</v>
      </c>
      <c r="J1234">
        <v>1</v>
      </c>
      <c r="N1234" t="s">
        <v>2720</v>
      </c>
      <c r="O1234" t="s">
        <v>1756</v>
      </c>
      <c r="Q1234" t="s">
        <v>2721</v>
      </c>
    </row>
    <row r="1235" spans="2:17">
      <c r="B1235" t="s">
        <v>2722</v>
      </c>
      <c r="C1235" t="s">
        <v>650</v>
      </c>
      <c r="D1235">
        <v>1.28417857317611E-4</v>
      </c>
      <c r="E1235" t="s">
        <v>94</v>
      </c>
      <c r="H1235" t="s">
        <v>588</v>
      </c>
      <c r="I1235">
        <v>1.28417857317611E-4</v>
      </c>
      <c r="J1235">
        <v>1.0247973619913604</v>
      </c>
      <c r="N1235" t="s">
        <v>2723</v>
      </c>
      <c r="O1235" t="s">
        <v>2220</v>
      </c>
      <c r="Q1235" t="s">
        <v>2724</v>
      </c>
    </row>
    <row r="1236" spans="2:17">
      <c r="B1236" t="s">
        <v>2725</v>
      </c>
      <c r="C1236" t="s">
        <v>676</v>
      </c>
      <c r="D1236">
        <v>2.4273746836695402E-5</v>
      </c>
      <c r="E1236" t="s">
        <v>94</v>
      </c>
      <c r="H1236" t="s">
        <v>588</v>
      </c>
      <c r="I1236">
        <v>2.4273746836695402E-5</v>
      </c>
      <c r="J1236">
        <v>1.4049000000004648</v>
      </c>
      <c r="N1236" t="s">
        <v>2726</v>
      </c>
      <c r="O1236" t="s">
        <v>2069</v>
      </c>
      <c r="Q1236" t="s">
        <v>2727</v>
      </c>
    </row>
    <row r="1237" spans="2:17">
      <c r="B1237" t="s">
        <v>2725</v>
      </c>
      <c r="C1237" t="s">
        <v>676</v>
      </c>
      <c r="D1237">
        <v>1.11581128486852E-4</v>
      </c>
      <c r="E1237" t="s">
        <v>94</v>
      </c>
      <c r="H1237" t="s">
        <v>588</v>
      </c>
      <c r="I1237">
        <v>1.11581128486852E-4</v>
      </c>
      <c r="J1237">
        <v>1.4049000000004648</v>
      </c>
      <c r="N1237" t="s">
        <v>2726</v>
      </c>
      <c r="O1237" t="s">
        <v>1435</v>
      </c>
      <c r="Q1237" t="s">
        <v>2727</v>
      </c>
    </row>
    <row r="1238" spans="2:17">
      <c r="B1238" t="s">
        <v>2725</v>
      </c>
      <c r="C1238" t="s">
        <v>676</v>
      </c>
      <c r="D1238">
        <v>5.40819079521574E-5</v>
      </c>
      <c r="E1238" t="s">
        <v>94</v>
      </c>
      <c r="H1238" t="s">
        <v>588</v>
      </c>
      <c r="I1238">
        <v>5.40819079521574E-5</v>
      </c>
      <c r="J1238">
        <v>1.4049000000004648</v>
      </c>
      <c r="N1238" t="s">
        <v>2726</v>
      </c>
      <c r="O1238" t="s">
        <v>2069</v>
      </c>
      <c r="Q1238" t="s">
        <v>2727</v>
      </c>
    </row>
    <row r="1239" spans="2:17">
      <c r="B1239" t="s">
        <v>2728</v>
      </c>
      <c r="C1239" t="s">
        <v>2173</v>
      </c>
      <c r="D1239">
        <v>5.8750566950562595E-7</v>
      </c>
      <c r="E1239" t="s">
        <v>616</v>
      </c>
      <c r="H1239" t="s">
        <v>588</v>
      </c>
      <c r="I1239">
        <v>5.8750566950562595E-7</v>
      </c>
      <c r="J1239">
        <v>1.7293101253499219</v>
      </c>
      <c r="N1239" t="s">
        <v>2729</v>
      </c>
      <c r="O1239" t="s">
        <v>1927</v>
      </c>
      <c r="Q1239" t="s">
        <v>2730</v>
      </c>
    </row>
    <row r="1240" spans="2:17">
      <c r="B1240" t="s">
        <v>799</v>
      </c>
      <c r="C1240" t="s">
        <v>800</v>
      </c>
      <c r="D1240">
        <v>6.3194573793168302E-3</v>
      </c>
      <c r="E1240" t="s">
        <v>94</v>
      </c>
      <c r="H1240" t="s">
        <v>588</v>
      </c>
      <c r="I1240">
        <v>6.3194573793168302E-3</v>
      </c>
      <c r="J1240">
        <v>1.0247973619913604</v>
      </c>
      <c r="N1240" t="s">
        <v>801</v>
      </c>
      <c r="O1240" t="s">
        <v>641</v>
      </c>
      <c r="Q1240" t="s">
        <v>1672</v>
      </c>
    </row>
    <row r="1241" spans="2:17">
      <c r="B1241" t="s">
        <v>799</v>
      </c>
      <c r="C1241" t="s">
        <v>800</v>
      </c>
      <c r="D1241">
        <v>1.02501706713545E-3</v>
      </c>
      <c r="E1241" t="s">
        <v>94</v>
      </c>
      <c r="H1241" t="s">
        <v>588</v>
      </c>
      <c r="I1241">
        <v>1.02501706713545E-3</v>
      </c>
      <c r="J1241">
        <v>1.0247973619913604</v>
      </c>
      <c r="N1241" t="s">
        <v>801</v>
      </c>
      <c r="O1241" t="s">
        <v>2731</v>
      </c>
      <c r="Q1241" t="s">
        <v>2732</v>
      </c>
    </row>
    <row r="1242" spans="2:17">
      <c r="B1242" t="s">
        <v>799</v>
      </c>
      <c r="C1242" t="s">
        <v>800</v>
      </c>
      <c r="D1242">
        <v>1.6370835200890701E-5</v>
      </c>
      <c r="E1242" t="s">
        <v>94</v>
      </c>
      <c r="H1242" t="s">
        <v>588</v>
      </c>
      <c r="I1242">
        <v>1.6370835200890701E-5</v>
      </c>
      <c r="J1242">
        <v>1.0247973619913604</v>
      </c>
      <c r="N1242" t="s">
        <v>801</v>
      </c>
      <c r="O1242" t="s">
        <v>641</v>
      </c>
      <c r="Q1242" t="s">
        <v>1672</v>
      </c>
    </row>
    <row r="1243" spans="2:17">
      <c r="B1243" t="s">
        <v>799</v>
      </c>
      <c r="C1243" t="s">
        <v>800</v>
      </c>
      <c r="D1243">
        <v>2.6663678971345702E-5</v>
      </c>
      <c r="E1243" t="s">
        <v>94</v>
      </c>
      <c r="H1243" t="s">
        <v>588</v>
      </c>
      <c r="I1243">
        <v>2.6663678971345702E-5</v>
      </c>
      <c r="J1243">
        <v>1.0247973619913604</v>
      </c>
      <c r="N1243" t="s">
        <v>801</v>
      </c>
      <c r="O1243" t="s">
        <v>641</v>
      </c>
      <c r="Q1243" t="s">
        <v>1672</v>
      </c>
    </row>
    <row r="1244" spans="2:17">
      <c r="B1244" t="s">
        <v>799</v>
      </c>
      <c r="C1244" t="s">
        <v>800</v>
      </c>
      <c r="D1244">
        <v>3.3845788347870103E-5</v>
      </c>
      <c r="E1244" t="s">
        <v>94</v>
      </c>
      <c r="H1244" t="s">
        <v>588</v>
      </c>
      <c r="I1244">
        <v>3.3845788347870103E-5</v>
      </c>
      <c r="J1244">
        <v>1.0247973619913604</v>
      </c>
      <c r="N1244" t="s">
        <v>801</v>
      </c>
      <c r="O1244" t="s">
        <v>641</v>
      </c>
      <c r="Q1244" t="s">
        <v>1672</v>
      </c>
    </row>
    <row r="1245" spans="2:17">
      <c r="B1245" t="s">
        <v>799</v>
      </c>
      <c r="C1245" t="s">
        <v>800</v>
      </c>
      <c r="D1245">
        <v>3.9664289195956501E-5</v>
      </c>
      <c r="E1245" t="s">
        <v>94</v>
      </c>
      <c r="H1245" t="s">
        <v>588</v>
      </c>
      <c r="I1245">
        <v>3.9664289195956501E-5</v>
      </c>
      <c r="J1245">
        <v>1.0247973619913604</v>
      </c>
      <c r="N1245" t="s">
        <v>801</v>
      </c>
      <c r="O1245" t="s">
        <v>641</v>
      </c>
      <c r="Q1245" t="s">
        <v>1672</v>
      </c>
    </row>
    <row r="1246" spans="2:17">
      <c r="B1246" t="s">
        <v>799</v>
      </c>
      <c r="C1246" t="s">
        <v>800</v>
      </c>
      <c r="D1246">
        <v>6.9618730049443004E-6</v>
      </c>
      <c r="E1246" t="s">
        <v>94</v>
      </c>
      <c r="H1246" t="s">
        <v>588</v>
      </c>
      <c r="I1246">
        <v>6.9618730049443004E-6</v>
      </c>
      <c r="J1246">
        <v>1.0247973619913604</v>
      </c>
      <c r="N1246" t="s">
        <v>801</v>
      </c>
      <c r="O1246" t="s">
        <v>641</v>
      </c>
      <c r="Q1246" t="s">
        <v>1672</v>
      </c>
    </row>
    <row r="1247" spans="2:17">
      <c r="B1247" t="s">
        <v>799</v>
      </c>
      <c r="C1247" t="s">
        <v>800</v>
      </c>
      <c r="D1247">
        <v>1.60423451061286E-5</v>
      </c>
      <c r="E1247" t="s">
        <v>94</v>
      </c>
      <c r="H1247" t="s">
        <v>588</v>
      </c>
      <c r="I1247">
        <v>1.60423451061286E-5</v>
      </c>
      <c r="J1247">
        <v>1.0247973619913604</v>
      </c>
      <c r="N1247" t="s">
        <v>801</v>
      </c>
      <c r="O1247" t="s">
        <v>641</v>
      </c>
      <c r="Q1247" t="s">
        <v>1672</v>
      </c>
    </row>
    <row r="1248" spans="2:17">
      <c r="B1248" t="s">
        <v>799</v>
      </c>
      <c r="C1248" t="s">
        <v>800</v>
      </c>
      <c r="D1248">
        <v>2.8046145523819802E-6</v>
      </c>
      <c r="E1248" t="s">
        <v>94</v>
      </c>
      <c r="H1248" t="s">
        <v>588</v>
      </c>
      <c r="I1248">
        <v>2.8046145523819802E-6</v>
      </c>
      <c r="J1248">
        <v>1.0247973619913604</v>
      </c>
      <c r="N1248" t="s">
        <v>801</v>
      </c>
      <c r="O1248" t="s">
        <v>641</v>
      </c>
      <c r="Q1248" t="s">
        <v>1672</v>
      </c>
    </row>
    <row r="1249" spans="1:17">
      <c r="B1249" t="s">
        <v>799</v>
      </c>
      <c r="C1249" t="s">
        <v>800</v>
      </c>
      <c r="D1249">
        <v>4.2392715542198898E-3</v>
      </c>
      <c r="E1249" t="s">
        <v>94</v>
      </c>
      <c r="H1249" t="s">
        <v>588</v>
      </c>
      <c r="I1249">
        <v>4.2392715542198898E-3</v>
      </c>
      <c r="J1249">
        <v>1.0247973619913604</v>
      </c>
      <c r="N1249" t="s">
        <v>801</v>
      </c>
      <c r="O1249" t="s">
        <v>641</v>
      </c>
      <c r="Q1249" t="s">
        <v>1643</v>
      </c>
    </row>
    <row r="1250" spans="1:17">
      <c r="B1250" t="s">
        <v>2733</v>
      </c>
      <c r="C1250" t="s">
        <v>2198</v>
      </c>
      <c r="D1250">
        <v>2.57958802857279E-6</v>
      </c>
      <c r="E1250" t="s">
        <v>616</v>
      </c>
      <c r="H1250" t="s">
        <v>588</v>
      </c>
      <c r="I1250">
        <v>2.57958802857279E-6</v>
      </c>
      <c r="J1250">
        <v>1.151909910168909</v>
      </c>
      <c r="N1250" t="s">
        <v>2734</v>
      </c>
      <c r="O1250" t="s">
        <v>1967</v>
      </c>
      <c r="Q1250" t="s">
        <v>811</v>
      </c>
    </row>
    <row r="1251" spans="1:17">
      <c r="B1251" t="s">
        <v>2735</v>
      </c>
      <c r="C1251" t="s">
        <v>1810</v>
      </c>
      <c r="D1251">
        <v>3.9008429517210097E-7</v>
      </c>
      <c r="E1251" t="s">
        <v>1811</v>
      </c>
      <c r="H1251" t="s">
        <v>588</v>
      </c>
      <c r="I1251">
        <v>3.9008429517210097E-7</v>
      </c>
      <c r="J1251">
        <v>1</v>
      </c>
      <c r="N1251" t="s">
        <v>2736</v>
      </c>
      <c r="O1251" t="s">
        <v>1756</v>
      </c>
      <c r="Q1251" t="s">
        <v>1816</v>
      </c>
    </row>
    <row r="1252" spans="1:17">
      <c r="B1252" t="s">
        <v>2735</v>
      </c>
      <c r="C1252" t="s">
        <v>1810</v>
      </c>
      <c r="D1252">
        <v>3.90219228442685E-7</v>
      </c>
      <c r="E1252" t="s">
        <v>1811</v>
      </c>
      <c r="H1252" t="s">
        <v>588</v>
      </c>
      <c r="I1252">
        <v>3.90219228442685E-7</v>
      </c>
      <c r="J1252">
        <v>1</v>
      </c>
      <c r="N1252" t="s">
        <v>2737</v>
      </c>
      <c r="O1252" t="s">
        <v>1756</v>
      </c>
      <c r="Q1252" t="s">
        <v>979</v>
      </c>
    </row>
    <row r="1253" spans="1:17">
      <c r="B1253" t="s">
        <v>2738</v>
      </c>
      <c r="C1253" t="s">
        <v>2739</v>
      </c>
      <c r="D1253">
        <v>2.2030158527387898E-12</v>
      </c>
      <c r="E1253" t="s">
        <v>616</v>
      </c>
      <c r="H1253" t="s">
        <v>588</v>
      </c>
      <c r="I1253">
        <v>2.2030158527387898E-12</v>
      </c>
      <c r="J1253">
        <v>1.499999999999694</v>
      </c>
      <c r="N1253" t="s">
        <v>2740</v>
      </c>
      <c r="O1253" t="s">
        <v>952</v>
      </c>
      <c r="Q1253" t="s">
        <v>2653</v>
      </c>
    </row>
    <row r="1254" spans="1:17">
      <c r="B1254" t="s">
        <v>2738</v>
      </c>
      <c r="C1254" t="s">
        <v>2739</v>
      </c>
      <c r="D1254">
        <v>2.16884745308934E-12</v>
      </c>
      <c r="E1254" t="s">
        <v>616</v>
      </c>
      <c r="H1254" t="s">
        <v>588</v>
      </c>
      <c r="I1254">
        <v>2.16884745308934E-12</v>
      </c>
      <c r="J1254">
        <v>1.499999999999694</v>
      </c>
      <c r="N1254" t="s">
        <v>2741</v>
      </c>
      <c r="O1254" t="s">
        <v>952</v>
      </c>
      <c r="Q1254" t="s">
        <v>2653</v>
      </c>
    </row>
    <row r="1255" spans="1:17">
      <c r="B1255" t="s">
        <v>2742</v>
      </c>
      <c r="C1255" t="s">
        <v>2739</v>
      </c>
      <c r="D1255">
        <v>6.2351068595627704E-11</v>
      </c>
      <c r="E1255" t="s">
        <v>616</v>
      </c>
      <c r="H1255" t="s">
        <v>588</v>
      </c>
      <c r="I1255">
        <v>6.2351068595627704E-11</v>
      </c>
      <c r="J1255">
        <v>1.760654165524179</v>
      </c>
      <c r="N1255" t="s">
        <v>2743</v>
      </c>
      <c r="O1255" t="s">
        <v>2744</v>
      </c>
      <c r="Q1255" t="s">
        <v>2745</v>
      </c>
    </row>
    <row r="1256" spans="1:17">
      <c r="B1256" t="s">
        <v>2742</v>
      </c>
      <c r="C1256" t="s">
        <v>2739</v>
      </c>
      <c r="D1256">
        <v>1.7624291045588701E-11</v>
      </c>
      <c r="E1256" t="s">
        <v>616</v>
      </c>
      <c r="H1256" t="s">
        <v>588</v>
      </c>
      <c r="I1256">
        <v>1.7624291045588701E-11</v>
      </c>
      <c r="J1256">
        <v>1.760654165524179</v>
      </c>
      <c r="N1256" t="s">
        <v>2746</v>
      </c>
      <c r="O1256" t="s">
        <v>2542</v>
      </c>
      <c r="Q1256" t="s">
        <v>2747</v>
      </c>
    </row>
    <row r="1257" spans="1:17">
      <c r="B1257" t="s">
        <v>2748</v>
      </c>
      <c r="C1257" t="s">
        <v>2739</v>
      </c>
      <c r="D1257">
        <v>7.0498302445088999E-11</v>
      </c>
      <c r="E1257" t="s">
        <v>616</v>
      </c>
      <c r="H1257" t="s">
        <v>588</v>
      </c>
      <c r="I1257">
        <v>7.0498302445088999E-11</v>
      </c>
      <c r="J1257">
        <v>1.760654165524179</v>
      </c>
      <c r="N1257" t="s">
        <v>2749</v>
      </c>
      <c r="O1257" t="s">
        <v>2542</v>
      </c>
      <c r="Q1257" t="s">
        <v>2747</v>
      </c>
    </row>
    <row r="1258" spans="1:17">
      <c r="B1258" t="s">
        <v>2748</v>
      </c>
      <c r="C1258" t="s">
        <v>2739</v>
      </c>
      <c r="D1258">
        <v>2.49508502897855E-10</v>
      </c>
      <c r="E1258" t="s">
        <v>616</v>
      </c>
      <c r="H1258" t="s">
        <v>588</v>
      </c>
      <c r="I1258">
        <v>2.49508502897855E-10</v>
      </c>
      <c r="J1258">
        <v>1.760654165524179</v>
      </c>
      <c r="N1258" t="s">
        <v>2750</v>
      </c>
      <c r="O1258" t="s">
        <v>2744</v>
      </c>
      <c r="Q1258" t="s">
        <v>979</v>
      </c>
    </row>
    <row r="1259" spans="1:17">
      <c r="B1259" t="s">
        <v>2751</v>
      </c>
      <c r="C1259" t="s">
        <v>2739</v>
      </c>
      <c r="D1259">
        <v>2.49508502897855E-10</v>
      </c>
      <c r="E1259" t="s">
        <v>616</v>
      </c>
      <c r="H1259" t="s">
        <v>588</v>
      </c>
      <c r="I1259">
        <v>2.49508502897855E-10</v>
      </c>
      <c r="J1259">
        <v>1.760654165524179</v>
      </c>
      <c r="N1259" t="s">
        <v>2752</v>
      </c>
      <c r="O1259" t="s">
        <v>2744</v>
      </c>
      <c r="Q1259" t="s">
        <v>979</v>
      </c>
    </row>
    <row r="1260" spans="1:17">
      <c r="B1260" t="s">
        <v>2751</v>
      </c>
      <c r="C1260" t="s">
        <v>2739</v>
      </c>
      <c r="D1260">
        <v>7.0498302445088999E-11</v>
      </c>
      <c r="E1260" t="s">
        <v>616</v>
      </c>
      <c r="H1260" t="s">
        <v>588</v>
      </c>
      <c r="I1260">
        <v>7.0498302445088999E-11</v>
      </c>
      <c r="J1260">
        <v>1.760654165524179</v>
      </c>
      <c r="N1260" t="s">
        <v>2753</v>
      </c>
      <c r="O1260" t="s">
        <v>2542</v>
      </c>
      <c r="Q1260" t="s">
        <v>2747</v>
      </c>
    </row>
    <row r="1261" spans="1:17">
      <c r="B1261" t="s">
        <v>2754</v>
      </c>
      <c r="C1261" t="s">
        <v>2739</v>
      </c>
      <c r="D1261">
        <v>5.2340415558965404E-9</v>
      </c>
      <c r="E1261" t="s">
        <v>616</v>
      </c>
      <c r="N1261" t="s">
        <v>2755</v>
      </c>
      <c r="Q1261" t="s">
        <v>2645</v>
      </c>
    </row>
    <row r="1262" spans="1:17">
      <c r="B1262" t="s">
        <v>2756</v>
      </c>
      <c r="C1262" t="s">
        <v>2739</v>
      </c>
      <c r="D1262">
        <v>5.8338325398131904E-10</v>
      </c>
      <c r="E1262" t="s">
        <v>616</v>
      </c>
      <c r="H1262" t="s">
        <v>588</v>
      </c>
      <c r="I1262">
        <v>5.8338325398131904E-10</v>
      </c>
      <c r="J1262">
        <v>1.2505791921887124</v>
      </c>
      <c r="N1262" t="s">
        <v>2757</v>
      </c>
      <c r="O1262" t="s">
        <v>2635</v>
      </c>
      <c r="Q1262" t="s">
        <v>2636</v>
      </c>
    </row>
    <row r="1263" spans="1:17">
      <c r="A1263" t="s">
        <v>645</v>
      </c>
      <c r="B1263" t="s">
        <v>2758</v>
      </c>
      <c r="C1263" t="s">
        <v>606</v>
      </c>
      <c r="D1263">
        <v>1.0357308490795099E-3</v>
      </c>
      <c r="E1263" t="s">
        <v>607</v>
      </c>
      <c r="H1263" t="s">
        <v>588</v>
      </c>
      <c r="I1263">
        <v>1.0357308490795099E-3</v>
      </c>
      <c r="J1263">
        <v>1.0247973619913604</v>
      </c>
      <c r="N1263" t="s">
        <v>2759</v>
      </c>
      <c r="O1263" t="s">
        <v>2760</v>
      </c>
      <c r="Q1263" t="s">
        <v>2761</v>
      </c>
    </row>
    <row r="1264" spans="1:17">
      <c r="A1264" t="s">
        <v>645</v>
      </c>
      <c r="B1264" t="s">
        <v>2758</v>
      </c>
      <c r="C1264" t="s">
        <v>606</v>
      </c>
      <c r="D1264">
        <v>1.11977598224009E-10</v>
      </c>
      <c r="E1264" t="s">
        <v>607</v>
      </c>
      <c r="H1264" t="s">
        <v>588</v>
      </c>
      <c r="I1264">
        <v>1.11977598224009E-10</v>
      </c>
      <c r="J1264">
        <v>1.0247973619913604</v>
      </c>
      <c r="N1264" t="s">
        <v>2759</v>
      </c>
      <c r="O1264" t="s">
        <v>2760</v>
      </c>
      <c r="Q1264" t="s">
        <v>2761</v>
      </c>
    </row>
    <row r="1265" spans="1:17">
      <c r="A1265" t="s">
        <v>645</v>
      </c>
      <c r="B1265" t="s">
        <v>2758</v>
      </c>
      <c r="C1265" t="s">
        <v>606</v>
      </c>
      <c r="D1265">
        <v>1.07321741050834E-3</v>
      </c>
      <c r="E1265" t="s">
        <v>607</v>
      </c>
      <c r="H1265" t="s">
        <v>588</v>
      </c>
      <c r="I1265">
        <v>1.07321741050834E-3</v>
      </c>
      <c r="J1265">
        <v>1.0247973619913604</v>
      </c>
      <c r="N1265" t="s">
        <v>2759</v>
      </c>
      <c r="O1265" t="s">
        <v>2760</v>
      </c>
      <c r="Q1265" t="s">
        <v>2761</v>
      </c>
    </row>
    <row r="1266" spans="1:17">
      <c r="A1266" t="s">
        <v>645</v>
      </c>
      <c r="B1266" t="s">
        <v>2758</v>
      </c>
      <c r="C1266" t="s">
        <v>606</v>
      </c>
      <c r="D1266">
        <v>2.3071552730971999E-4</v>
      </c>
      <c r="E1266" t="s">
        <v>607</v>
      </c>
      <c r="H1266" t="s">
        <v>588</v>
      </c>
      <c r="I1266">
        <v>2.3071552730971999E-4</v>
      </c>
      <c r="J1266">
        <v>1.0247973619913604</v>
      </c>
      <c r="N1266" t="s">
        <v>2762</v>
      </c>
      <c r="O1266" t="s">
        <v>2763</v>
      </c>
      <c r="Q1266" t="s">
        <v>2764</v>
      </c>
    </row>
    <row r="1267" spans="1:17">
      <c r="B1267" t="s">
        <v>1254</v>
      </c>
      <c r="C1267" t="s">
        <v>606</v>
      </c>
      <c r="D1267">
        <v>1.53885558089365E-3</v>
      </c>
      <c r="E1267" t="s">
        <v>607</v>
      </c>
      <c r="H1267" t="s">
        <v>588</v>
      </c>
      <c r="I1267">
        <v>1.53885558089365E-3</v>
      </c>
      <c r="J1267">
        <v>1.2505791921887124</v>
      </c>
      <c r="N1267" t="s">
        <v>2765</v>
      </c>
      <c r="O1267" t="s">
        <v>859</v>
      </c>
      <c r="Q1267" t="s">
        <v>979</v>
      </c>
    </row>
    <row r="1268" spans="1:17">
      <c r="B1268" t="s">
        <v>1254</v>
      </c>
      <c r="C1268" t="s">
        <v>606</v>
      </c>
      <c r="D1268">
        <v>7.9574759270970695E-12</v>
      </c>
      <c r="E1268" t="s">
        <v>607</v>
      </c>
      <c r="H1268" t="s">
        <v>588</v>
      </c>
      <c r="I1268">
        <v>7.9574759270970695E-12</v>
      </c>
      <c r="J1268">
        <v>1</v>
      </c>
      <c r="N1268" t="s">
        <v>1256</v>
      </c>
      <c r="O1268" t="s">
        <v>1157</v>
      </c>
      <c r="Q1268" t="s">
        <v>1257</v>
      </c>
    </row>
    <row r="1269" spans="1:17">
      <c r="B1269" t="s">
        <v>1254</v>
      </c>
      <c r="C1269" t="s">
        <v>606</v>
      </c>
      <c r="D1269">
        <v>1.55332563286328E-2</v>
      </c>
      <c r="E1269" t="s">
        <v>607</v>
      </c>
      <c r="H1269" t="s">
        <v>588</v>
      </c>
      <c r="I1269">
        <v>1.55332563286328E-2</v>
      </c>
      <c r="J1269">
        <v>1.0247973619913604</v>
      </c>
      <c r="N1269" t="s">
        <v>2766</v>
      </c>
      <c r="O1269" t="s">
        <v>972</v>
      </c>
      <c r="Q1269" t="s">
        <v>2767</v>
      </c>
    </row>
    <row r="1270" spans="1:17">
      <c r="B1270" t="s">
        <v>1254</v>
      </c>
      <c r="C1270" t="s">
        <v>606</v>
      </c>
      <c r="D1270">
        <v>1.13954176309524E-3</v>
      </c>
      <c r="E1270" t="s">
        <v>607</v>
      </c>
      <c r="H1270" t="s">
        <v>588</v>
      </c>
      <c r="I1270">
        <v>1.13954176309524E-3</v>
      </c>
      <c r="J1270">
        <v>1.3805615130597377</v>
      </c>
      <c r="N1270" t="s">
        <v>1255</v>
      </c>
      <c r="O1270" t="s">
        <v>1628</v>
      </c>
      <c r="Q1270" t="s">
        <v>979</v>
      </c>
    </row>
    <row r="1271" spans="1:17">
      <c r="B1271" t="s">
        <v>1254</v>
      </c>
      <c r="C1271" t="s">
        <v>606</v>
      </c>
      <c r="D1271">
        <v>1.5229036672670599E-2</v>
      </c>
      <c r="E1271" t="s">
        <v>607</v>
      </c>
      <c r="H1271" t="s">
        <v>588</v>
      </c>
      <c r="I1271">
        <v>1.5229036672670599E-2</v>
      </c>
      <c r="J1271">
        <v>1</v>
      </c>
      <c r="N1271" t="s">
        <v>2765</v>
      </c>
      <c r="O1271" t="s">
        <v>1700</v>
      </c>
      <c r="Q1271" t="s">
        <v>2768</v>
      </c>
    </row>
    <row r="1272" spans="1:17">
      <c r="B1272" t="s">
        <v>1254</v>
      </c>
      <c r="C1272" t="s">
        <v>606</v>
      </c>
      <c r="D1272">
        <v>6.0417716561351597E-3</v>
      </c>
      <c r="E1272" t="s">
        <v>607</v>
      </c>
      <c r="H1272" t="s">
        <v>588</v>
      </c>
      <c r="I1272">
        <v>6.0417716561351597E-3</v>
      </c>
      <c r="J1272">
        <v>1.3805615130597377</v>
      </c>
      <c r="N1272" t="s">
        <v>2765</v>
      </c>
      <c r="O1272" t="s">
        <v>2769</v>
      </c>
      <c r="Q1272" t="s">
        <v>2770</v>
      </c>
    </row>
    <row r="1273" spans="1:17">
      <c r="B1273" t="s">
        <v>1254</v>
      </c>
      <c r="C1273" t="s">
        <v>606</v>
      </c>
      <c r="D1273">
        <v>9.5023107038796103E-4</v>
      </c>
      <c r="E1273" t="s">
        <v>607</v>
      </c>
      <c r="H1273" t="s">
        <v>588</v>
      </c>
      <c r="I1273">
        <v>9.5023107038796103E-4</v>
      </c>
      <c r="J1273">
        <v>1.0247973619913604</v>
      </c>
      <c r="N1273" t="s">
        <v>2771</v>
      </c>
      <c r="O1273" t="s">
        <v>2772</v>
      </c>
      <c r="Q1273" t="s">
        <v>2773</v>
      </c>
    </row>
    <row r="1274" spans="1:17">
      <c r="B1274" t="s">
        <v>1254</v>
      </c>
      <c r="C1274" t="s">
        <v>606</v>
      </c>
      <c r="D1274">
        <v>4.4559203247837801E-3</v>
      </c>
      <c r="E1274" t="s">
        <v>607</v>
      </c>
      <c r="H1274" t="s">
        <v>588</v>
      </c>
      <c r="I1274">
        <v>4.4559203247837801E-3</v>
      </c>
      <c r="J1274">
        <v>1.0247973619913604</v>
      </c>
      <c r="N1274" t="s">
        <v>1255</v>
      </c>
      <c r="O1274" t="s">
        <v>2169</v>
      </c>
      <c r="Q1274" t="s">
        <v>2774</v>
      </c>
    </row>
    <row r="1275" spans="1:17">
      <c r="A1275" t="s">
        <v>645</v>
      </c>
      <c r="B1275" t="s">
        <v>845</v>
      </c>
      <c r="C1275" t="s">
        <v>597</v>
      </c>
      <c r="D1275">
        <v>7.7328517702681E-3</v>
      </c>
      <c r="E1275" t="s">
        <v>607</v>
      </c>
      <c r="H1275" t="s">
        <v>588</v>
      </c>
      <c r="I1275">
        <v>7.7328517702681E-3</v>
      </c>
      <c r="J1275">
        <v>1.1712995782321958</v>
      </c>
      <c r="N1275" t="s">
        <v>2775</v>
      </c>
      <c r="O1275" t="s">
        <v>2387</v>
      </c>
      <c r="Q1275" t="s">
        <v>2388</v>
      </c>
    </row>
    <row r="1276" spans="1:17">
      <c r="A1276" t="s">
        <v>645</v>
      </c>
      <c r="B1276" t="s">
        <v>845</v>
      </c>
      <c r="C1276" t="s">
        <v>597</v>
      </c>
      <c r="D1276">
        <v>7.7481321284919597E-3</v>
      </c>
      <c r="E1276" t="s">
        <v>607</v>
      </c>
      <c r="H1276" t="s">
        <v>588</v>
      </c>
      <c r="I1276">
        <v>7.7481321284919597E-3</v>
      </c>
      <c r="J1276">
        <v>1.1712995782321958</v>
      </c>
      <c r="N1276" t="s">
        <v>2775</v>
      </c>
      <c r="O1276" t="s">
        <v>2711</v>
      </c>
      <c r="Q1276" t="s">
        <v>2776</v>
      </c>
    </row>
    <row r="1277" spans="1:17">
      <c r="A1277" t="s">
        <v>645</v>
      </c>
      <c r="B1277" t="s">
        <v>845</v>
      </c>
      <c r="C1277" t="s">
        <v>597</v>
      </c>
      <c r="D1277">
        <v>3.3142046803035798E-3</v>
      </c>
      <c r="E1277" t="s">
        <v>607</v>
      </c>
      <c r="H1277" t="s">
        <v>588</v>
      </c>
      <c r="I1277">
        <v>3.3142046803035798E-3</v>
      </c>
      <c r="J1277">
        <v>1.0247973619913604</v>
      </c>
      <c r="N1277" t="s">
        <v>2777</v>
      </c>
      <c r="O1277" t="s">
        <v>1889</v>
      </c>
      <c r="Q1277" t="s">
        <v>2778</v>
      </c>
    </row>
    <row r="1278" spans="1:17">
      <c r="A1278" t="s">
        <v>645</v>
      </c>
      <c r="B1278" t="s">
        <v>845</v>
      </c>
      <c r="C1278" t="s">
        <v>597</v>
      </c>
      <c r="D1278">
        <v>9.1437697911705501E-2</v>
      </c>
      <c r="E1278" t="s">
        <v>607</v>
      </c>
      <c r="H1278" t="s">
        <v>588</v>
      </c>
      <c r="I1278">
        <v>9.1437697911705501E-2</v>
      </c>
      <c r="J1278">
        <v>1</v>
      </c>
      <c r="N1278" t="s">
        <v>1022</v>
      </c>
      <c r="O1278" t="s">
        <v>798</v>
      </c>
      <c r="Q1278" t="s">
        <v>1260</v>
      </c>
    </row>
    <row r="1279" spans="1:17">
      <c r="A1279" t="s">
        <v>645</v>
      </c>
      <c r="B1279" t="s">
        <v>845</v>
      </c>
      <c r="C1279" t="s">
        <v>597</v>
      </c>
      <c r="D1279">
        <v>2.6946102755354799E-2</v>
      </c>
      <c r="E1279" t="s">
        <v>607</v>
      </c>
      <c r="H1279" t="s">
        <v>588</v>
      </c>
      <c r="I1279">
        <v>2.6946102755354799E-2</v>
      </c>
      <c r="J1279">
        <v>1.0247973619913604</v>
      </c>
      <c r="N1279" t="s">
        <v>2779</v>
      </c>
      <c r="O1279" t="s">
        <v>2772</v>
      </c>
      <c r="Q1279" t="s">
        <v>2773</v>
      </c>
    </row>
    <row r="1280" spans="1:17">
      <c r="A1280" t="s">
        <v>645</v>
      </c>
      <c r="B1280" t="s">
        <v>845</v>
      </c>
      <c r="C1280" t="s">
        <v>597</v>
      </c>
      <c r="D1280">
        <v>8.3651073095242692E-3</v>
      </c>
      <c r="E1280" t="s">
        <v>607</v>
      </c>
      <c r="H1280" t="s">
        <v>588</v>
      </c>
      <c r="I1280">
        <v>8.3651073095242692E-3</v>
      </c>
      <c r="J1280">
        <v>1.1051709180756477</v>
      </c>
      <c r="N1280" t="s">
        <v>846</v>
      </c>
      <c r="O1280" t="s">
        <v>1263</v>
      </c>
      <c r="Q1280" t="s">
        <v>595</v>
      </c>
    </row>
    <row r="1281" spans="1:17">
      <c r="A1281" t="s">
        <v>645</v>
      </c>
      <c r="B1281" t="s">
        <v>845</v>
      </c>
      <c r="C1281" t="s">
        <v>597</v>
      </c>
      <c r="D1281">
        <v>8.0425796492866505E-2</v>
      </c>
      <c r="E1281" t="s">
        <v>607</v>
      </c>
      <c r="H1281" t="s">
        <v>588</v>
      </c>
      <c r="I1281">
        <v>8.0425796492866505E-2</v>
      </c>
      <c r="J1281">
        <v>1.0247973619913604</v>
      </c>
      <c r="N1281" t="s">
        <v>846</v>
      </c>
      <c r="O1281" t="s">
        <v>1657</v>
      </c>
      <c r="Q1281" t="s">
        <v>2523</v>
      </c>
    </row>
    <row r="1282" spans="1:17">
      <c r="A1282" t="s">
        <v>645</v>
      </c>
      <c r="B1282" t="s">
        <v>845</v>
      </c>
      <c r="C1282" t="s">
        <v>597</v>
      </c>
      <c r="D1282">
        <v>7.3042266227707806E-2</v>
      </c>
      <c r="E1282" t="s">
        <v>607</v>
      </c>
      <c r="H1282" t="s">
        <v>588</v>
      </c>
      <c r="I1282">
        <v>7.3042266227707806E-2</v>
      </c>
      <c r="J1282">
        <v>1.0247973619913604</v>
      </c>
      <c r="N1282" t="s">
        <v>846</v>
      </c>
      <c r="O1282" t="s">
        <v>641</v>
      </c>
      <c r="Q1282" t="s">
        <v>1643</v>
      </c>
    </row>
    <row r="1283" spans="1:17">
      <c r="A1283" t="s">
        <v>645</v>
      </c>
      <c r="B1283" t="s">
        <v>845</v>
      </c>
      <c r="C1283" t="s">
        <v>597</v>
      </c>
      <c r="D1283">
        <v>0.33826239561049198</v>
      </c>
      <c r="E1283" t="s">
        <v>607</v>
      </c>
      <c r="H1283" t="s">
        <v>588</v>
      </c>
      <c r="I1283">
        <v>0.33826239561049198</v>
      </c>
      <c r="J1283">
        <v>1.0247973619913604</v>
      </c>
      <c r="N1283" t="s">
        <v>1258</v>
      </c>
      <c r="O1283" t="s">
        <v>2780</v>
      </c>
      <c r="Q1283" t="s">
        <v>2781</v>
      </c>
    </row>
    <row r="1284" spans="1:17">
      <c r="A1284" t="s">
        <v>645</v>
      </c>
      <c r="B1284" t="s">
        <v>845</v>
      </c>
      <c r="C1284" t="s">
        <v>597</v>
      </c>
      <c r="D1284">
        <v>0.12457084515670599</v>
      </c>
      <c r="E1284" t="s">
        <v>607</v>
      </c>
      <c r="H1284" t="s">
        <v>588</v>
      </c>
      <c r="I1284">
        <v>0.12457084515670599</v>
      </c>
      <c r="J1284">
        <v>1.1051709180756477</v>
      </c>
      <c r="N1284" t="s">
        <v>1022</v>
      </c>
      <c r="O1284" t="s">
        <v>1263</v>
      </c>
      <c r="Q1284" t="s">
        <v>595</v>
      </c>
    </row>
    <row r="1285" spans="1:17">
      <c r="A1285" t="s">
        <v>645</v>
      </c>
      <c r="B1285" t="s">
        <v>845</v>
      </c>
      <c r="C1285" t="s">
        <v>597</v>
      </c>
      <c r="D1285">
        <v>0.42168980032459802</v>
      </c>
      <c r="E1285" t="s">
        <v>607</v>
      </c>
      <c r="H1285" t="s">
        <v>588</v>
      </c>
      <c r="I1285">
        <v>0.42168980032459802</v>
      </c>
      <c r="J1285">
        <v>1.151909910168909</v>
      </c>
      <c r="N1285" t="s">
        <v>846</v>
      </c>
      <c r="O1285" t="s">
        <v>2782</v>
      </c>
      <c r="Q1285" t="s">
        <v>595</v>
      </c>
    </row>
    <row r="1286" spans="1:17">
      <c r="B1286" t="s">
        <v>605</v>
      </c>
      <c r="C1286" t="s">
        <v>606</v>
      </c>
      <c r="D1286">
        <v>1.23521702351458E-4</v>
      </c>
      <c r="E1286" t="s">
        <v>607</v>
      </c>
      <c r="H1286" t="s">
        <v>588</v>
      </c>
      <c r="I1286">
        <v>1.23521702351458E-4</v>
      </c>
      <c r="J1286">
        <v>1.1712995782321958</v>
      </c>
      <c r="N1286" t="s">
        <v>2783</v>
      </c>
      <c r="O1286" t="s">
        <v>2387</v>
      </c>
      <c r="Q1286" t="s">
        <v>2784</v>
      </c>
    </row>
    <row r="1287" spans="1:17">
      <c r="B1287" t="s">
        <v>605</v>
      </c>
      <c r="C1287" t="s">
        <v>606</v>
      </c>
      <c r="D1287">
        <v>0.382826395845353</v>
      </c>
      <c r="E1287" t="s">
        <v>607</v>
      </c>
      <c r="H1287" t="s">
        <v>588</v>
      </c>
      <c r="I1287">
        <v>0.382826395845353</v>
      </c>
      <c r="J1287">
        <v>1.1051709180756477</v>
      </c>
      <c r="N1287" t="s">
        <v>848</v>
      </c>
      <c r="O1287" t="s">
        <v>1263</v>
      </c>
      <c r="Q1287" t="s">
        <v>595</v>
      </c>
    </row>
    <row r="1288" spans="1:17">
      <c r="B1288" t="s">
        <v>605</v>
      </c>
      <c r="C1288" t="s">
        <v>606</v>
      </c>
      <c r="D1288">
        <v>1.1157446784559001E-2</v>
      </c>
      <c r="E1288" t="s">
        <v>607</v>
      </c>
      <c r="H1288" t="s">
        <v>588</v>
      </c>
      <c r="I1288">
        <v>1.1157446784559001E-2</v>
      </c>
      <c r="J1288">
        <v>1.1712995782321958</v>
      </c>
      <c r="N1288" t="s">
        <v>1043</v>
      </c>
      <c r="O1288" t="s">
        <v>2711</v>
      </c>
      <c r="Q1288" t="s">
        <v>2785</v>
      </c>
    </row>
    <row r="1289" spans="1:17">
      <c r="B1289" t="s">
        <v>605</v>
      </c>
      <c r="C1289" t="s">
        <v>606</v>
      </c>
      <c r="D1289">
        <v>1.3349219714036799E-2</v>
      </c>
      <c r="E1289" t="s">
        <v>607</v>
      </c>
      <c r="H1289" t="s">
        <v>588</v>
      </c>
      <c r="I1289">
        <v>1.3349219714036799E-2</v>
      </c>
      <c r="J1289">
        <v>1.0247973619913604</v>
      </c>
      <c r="N1289" t="s">
        <v>2786</v>
      </c>
      <c r="O1289" t="s">
        <v>2772</v>
      </c>
      <c r="Q1289" t="s">
        <v>595</v>
      </c>
    </row>
    <row r="1290" spans="1:17">
      <c r="B1290" t="s">
        <v>605</v>
      </c>
      <c r="C1290" t="s">
        <v>606</v>
      </c>
      <c r="D1290">
        <v>5.3782305578237197E-2</v>
      </c>
      <c r="E1290" t="s">
        <v>607</v>
      </c>
      <c r="H1290" t="s">
        <v>588</v>
      </c>
      <c r="I1290">
        <v>5.3782305578237197E-2</v>
      </c>
      <c r="J1290">
        <v>1.0247973619913604</v>
      </c>
      <c r="N1290" t="s">
        <v>2787</v>
      </c>
      <c r="O1290" t="s">
        <v>2780</v>
      </c>
      <c r="Q1290" t="s">
        <v>2781</v>
      </c>
    </row>
    <row r="1291" spans="1:17">
      <c r="B1291" t="s">
        <v>605</v>
      </c>
      <c r="C1291" t="s">
        <v>606</v>
      </c>
      <c r="D1291">
        <v>5.1646162983969396E-10</v>
      </c>
      <c r="E1291" t="s">
        <v>607</v>
      </c>
      <c r="H1291" t="s">
        <v>588</v>
      </c>
      <c r="I1291">
        <v>5.1646162983969396E-10</v>
      </c>
      <c r="J1291">
        <v>1</v>
      </c>
      <c r="N1291" t="s">
        <v>1261</v>
      </c>
      <c r="O1291" t="s">
        <v>1157</v>
      </c>
      <c r="Q1291" t="s">
        <v>1257</v>
      </c>
    </row>
    <row r="1292" spans="1:17">
      <c r="B1292" t="s">
        <v>605</v>
      </c>
      <c r="C1292" t="s">
        <v>606</v>
      </c>
      <c r="D1292">
        <v>1.47822425846675E-8</v>
      </c>
      <c r="E1292" t="s">
        <v>607</v>
      </c>
      <c r="H1292" t="s">
        <v>588</v>
      </c>
      <c r="I1292">
        <v>1.47822425846675E-8</v>
      </c>
      <c r="J1292">
        <v>1</v>
      </c>
      <c r="N1292" t="s">
        <v>611</v>
      </c>
      <c r="O1292" t="s">
        <v>1157</v>
      </c>
      <c r="Q1292" t="s">
        <v>595</v>
      </c>
    </row>
    <row r="1293" spans="1:17">
      <c r="B1293" t="s">
        <v>605</v>
      </c>
      <c r="C1293" t="s">
        <v>606</v>
      </c>
      <c r="D1293">
        <v>4.1042593781266999E-3</v>
      </c>
      <c r="E1293" t="s">
        <v>607</v>
      </c>
      <c r="N1293" t="s">
        <v>608</v>
      </c>
      <c r="Q1293" t="s">
        <v>2788</v>
      </c>
    </row>
    <row r="1294" spans="1:17">
      <c r="B1294" t="s">
        <v>605</v>
      </c>
      <c r="C1294" t="s">
        <v>606</v>
      </c>
      <c r="D1294">
        <v>9.0420305016974001E-4</v>
      </c>
      <c r="E1294" t="s">
        <v>607</v>
      </c>
      <c r="H1294" t="s">
        <v>588</v>
      </c>
      <c r="I1294">
        <v>9.0420305016974001E-4</v>
      </c>
      <c r="J1294">
        <v>1.0247973619913604</v>
      </c>
      <c r="N1294" t="s">
        <v>611</v>
      </c>
      <c r="O1294" t="s">
        <v>1951</v>
      </c>
      <c r="Q1294" t="s">
        <v>2785</v>
      </c>
    </row>
    <row r="1295" spans="1:17">
      <c r="B1295" t="s">
        <v>605</v>
      </c>
      <c r="C1295" t="s">
        <v>606</v>
      </c>
      <c r="D1295">
        <v>1.6047605455025999E-2</v>
      </c>
      <c r="E1295" t="s">
        <v>607</v>
      </c>
      <c r="H1295" t="s">
        <v>588</v>
      </c>
      <c r="I1295">
        <v>1.6047605455025999E-2</v>
      </c>
      <c r="J1295">
        <v>1</v>
      </c>
      <c r="N1295" t="s">
        <v>848</v>
      </c>
      <c r="O1295" t="s">
        <v>921</v>
      </c>
    </row>
    <row r="1296" spans="1:17">
      <c r="B1296" t="s">
        <v>605</v>
      </c>
      <c r="C1296" t="s">
        <v>606</v>
      </c>
      <c r="D1296">
        <v>0.10710442679129099</v>
      </c>
      <c r="E1296" t="s">
        <v>607</v>
      </c>
      <c r="H1296" t="s">
        <v>588</v>
      </c>
      <c r="I1296">
        <v>0.10710442679129099</v>
      </c>
      <c r="J1296">
        <v>1.1051709180756477</v>
      </c>
      <c r="N1296" t="s">
        <v>1262</v>
      </c>
      <c r="O1296" t="s">
        <v>1263</v>
      </c>
      <c r="Q1296" t="s">
        <v>1264</v>
      </c>
    </row>
    <row r="1297" spans="2:17">
      <c r="B1297" t="s">
        <v>605</v>
      </c>
      <c r="C1297" t="s">
        <v>606</v>
      </c>
      <c r="D1297">
        <v>1.33577586570271E-2</v>
      </c>
      <c r="E1297" t="s">
        <v>607</v>
      </c>
      <c r="H1297" t="s">
        <v>588</v>
      </c>
      <c r="I1297">
        <v>1.33577586570271E-2</v>
      </c>
      <c r="J1297">
        <v>1.1712995782321958</v>
      </c>
      <c r="N1297" t="s">
        <v>1043</v>
      </c>
      <c r="O1297" t="s">
        <v>2387</v>
      </c>
      <c r="Q1297" t="s">
        <v>2785</v>
      </c>
    </row>
    <row r="1298" spans="2:17">
      <c r="B1298" t="s">
        <v>605</v>
      </c>
      <c r="C1298" t="s">
        <v>606</v>
      </c>
      <c r="D1298">
        <v>4.71124523246049E-6</v>
      </c>
      <c r="E1298" t="s">
        <v>607</v>
      </c>
      <c r="H1298" t="s">
        <v>588</v>
      </c>
      <c r="I1298">
        <v>4.71124523246049E-6</v>
      </c>
      <c r="J1298">
        <v>1.0247973619913604</v>
      </c>
      <c r="N1298" t="s">
        <v>1261</v>
      </c>
      <c r="O1298" t="s">
        <v>641</v>
      </c>
      <c r="Q1298" t="s">
        <v>1643</v>
      </c>
    </row>
    <row r="1299" spans="2:17">
      <c r="B1299" t="s">
        <v>605</v>
      </c>
      <c r="C1299" t="s">
        <v>606</v>
      </c>
      <c r="D1299">
        <v>5.7918836079974404E-4</v>
      </c>
      <c r="E1299" t="s">
        <v>607</v>
      </c>
      <c r="H1299" t="s">
        <v>588</v>
      </c>
      <c r="I1299">
        <v>5.7918836079974404E-4</v>
      </c>
      <c r="J1299">
        <v>1.151909910168909</v>
      </c>
      <c r="N1299" t="s">
        <v>611</v>
      </c>
      <c r="O1299" t="s">
        <v>2789</v>
      </c>
      <c r="Q1299" t="s">
        <v>2790</v>
      </c>
    </row>
    <row r="1300" spans="2:17">
      <c r="B1300" t="s">
        <v>605</v>
      </c>
      <c r="C1300" t="s">
        <v>606</v>
      </c>
      <c r="D1300">
        <v>3.65179611438546E-3</v>
      </c>
      <c r="E1300" t="s">
        <v>607</v>
      </c>
      <c r="H1300" t="s">
        <v>588</v>
      </c>
      <c r="I1300">
        <v>3.65179611438546E-3</v>
      </c>
      <c r="J1300">
        <v>1</v>
      </c>
      <c r="N1300" t="s">
        <v>608</v>
      </c>
      <c r="O1300" t="s">
        <v>798</v>
      </c>
      <c r="Q1300" t="s">
        <v>2791</v>
      </c>
    </row>
    <row r="1301" spans="2:17">
      <c r="B1301" t="s">
        <v>605</v>
      </c>
      <c r="C1301" t="s">
        <v>606</v>
      </c>
      <c r="D1301">
        <v>9.45273283919504E-3</v>
      </c>
      <c r="E1301" t="s">
        <v>607</v>
      </c>
      <c r="H1301" t="s">
        <v>588</v>
      </c>
      <c r="I1301">
        <v>9.45273283919504E-3</v>
      </c>
      <c r="J1301">
        <v>1.1051709180756477</v>
      </c>
      <c r="N1301" t="s">
        <v>848</v>
      </c>
      <c r="O1301" t="s">
        <v>1263</v>
      </c>
      <c r="Q1301" t="s">
        <v>595</v>
      </c>
    </row>
    <row r="1302" spans="2:17">
      <c r="B1302" t="s">
        <v>605</v>
      </c>
      <c r="C1302" t="s">
        <v>606</v>
      </c>
      <c r="D1302">
        <v>3.5400025404622101E-3</v>
      </c>
      <c r="E1302" t="s">
        <v>607</v>
      </c>
      <c r="H1302" t="s">
        <v>588</v>
      </c>
      <c r="I1302">
        <v>3.5400025404622101E-3</v>
      </c>
      <c r="J1302">
        <v>1.3223000000000458</v>
      </c>
      <c r="N1302" t="s">
        <v>848</v>
      </c>
      <c r="O1302" t="s">
        <v>2792</v>
      </c>
      <c r="Q1302" t="s">
        <v>2793</v>
      </c>
    </row>
    <row r="1303" spans="2:17">
      <c r="B1303" t="s">
        <v>605</v>
      </c>
      <c r="C1303" t="s">
        <v>606</v>
      </c>
      <c r="D1303">
        <v>4.06376707782438E-3</v>
      </c>
      <c r="E1303" t="s">
        <v>607</v>
      </c>
      <c r="H1303" t="s">
        <v>588</v>
      </c>
      <c r="I1303">
        <v>4.06376707782438E-3</v>
      </c>
      <c r="J1303">
        <v>1.0247973619913604</v>
      </c>
      <c r="N1303" t="s">
        <v>608</v>
      </c>
      <c r="O1303" t="s">
        <v>641</v>
      </c>
      <c r="Q1303" t="s">
        <v>1643</v>
      </c>
    </row>
    <row r="1304" spans="2:17">
      <c r="B1304" t="s">
        <v>605</v>
      </c>
      <c r="C1304" t="s">
        <v>606</v>
      </c>
      <c r="D1304">
        <v>2.7278441312455499E-2</v>
      </c>
      <c r="E1304" t="s">
        <v>607</v>
      </c>
      <c r="H1304" t="s">
        <v>588</v>
      </c>
      <c r="I1304">
        <v>2.7278441312455499E-2</v>
      </c>
      <c r="J1304">
        <v>1.1051709180756477</v>
      </c>
      <c r="N1304" t="s">
        <v>1262</v>
      </c>
      <c r="O1304" t="s">
        <v>2794</v>
      </c>
      <c r="Q1304" t="s">
        <v>595</v>
      </c>
    </row>
    <row r="1305" spans="2:17">
      <c r="B1305" t="s">
        <v>605</v>
      </c>
      <c r="C1305" t="s">
        <v>606</v>
      </c>
      <c r="D1305">
        <v>5.3292534459128396E-3</v>
      </c>
      <c r="E1305" t="s">
        <v>607</v>
      </c>
      <c r="H1305" t="s">
        <v>588</v>
      </c>
      <c r="I1305">
        <v>5.3292534459128396E-3</v>
      </c>
      <c r="J1305">
        <v>1.1712995782321958</v>
      </c>
      <c r="N1305" t="s">
        <v>2795</v>
      </c>
      <c r="O1305" t="s">
        <v>1951</v>
      </c>
      <c r="Q1305" t="s">
        <v>2796</v>
      </c>
    </row>
    <row r="1306" spans="2:17">
      <c r="B1306" t="s">
        <v>605</v>
      </c>
      <c r="C1306" t="s">
        <v>606</v>
      </c>
      <c r="D1306">
        <v>2.3463742599120501E-4</v>
      </c>
      <c r="E1306" t="s">
        <v>607</v>
      </c>
      <c r="H1306" t="s">
        <v>588</v>
      </c>
      <c r="I1306">
        <v>2.3463742599120501E-4</v>
      </c>
      <c r="J1306">
        <v>1.0247973619913604</v>
      </c>
      <c r="N1306" t="s">
        <v>611</v>
      </c>
      <c r="O1306" t="s">
        <v>641</v>
      </c>
      <c r="Q1306" t="s">
        <v>1643</v>
      </c>
    </row>
    <row r="1307" spans="2:17">
      <c r="B1307" t="s">
        <v>2797</v>
      </c>
      <c r="C1307" t="s">
        <v>606</v>
      </c>
      <c r="D1307">
        <v>2.4445923491221901E-2</v>
      </c>
      <c r="E1307" t="s">
        <v>607</v>
      </c>
      <c r="H1307" t="s">
        <v>588</v>
      </c>
      <c r="I1307">
        <v>2.4445923491221901E-2</v>
      </c>
      <c r="J1307">
        <v>1</v>
      </c>
      <c r="N1307" t="s">
        <v>2798</v>
      </c>
      <c r="O1307" t="s">
        <v>1157</v>
      </c>
      <c r="Q1307" t="s">
        <v>2799</v>
      </c>
    </row>
    <row r="1308" spans="2:17">
      <c r="B1308" t="s">
        <v>2797</v>
      </c>
      <c r="C1308" t="s">
        <v>606</v>
      </c>
      <c r="D1308">
        <v>1.6559051689084999E-2</v>
      </c>
      <c r="E1308" t="s">
        <v>607</v>
      </c>
      <c r="H1308" t="s">
        <v>588</v>
      </c>
      <c r="I1308">
        <v>1.6559051689084999E-2</v>
      </c>
      <c r="J1308">
        <v>1</v>
      </c>
      <c r="N1308" t="s">
        <v>2798</v>
      </c>
      <c r="O1308" t="s">
        <v>1157</v>
      </c>
      <c r="Q1308" t="s">
        <v>2799</v>
      </c>
    </row>
    <row r="1309" spans="2:17">
      <c r="B1309" t="s">
        <v>2800</v>
      </c>
      <c r="C1309" t="s">
        <v>664</v>
      </c>
      <c r="D1309">
        <v>6.5558690418206797E-4</v>
      </c>
      <c r="E1309" t="s">
        <v>94</v>
      </c>
      <c r="N1309" t="s">
        <v>2801</v>
      </c>
    </row>
    <row r="1310" spans="2:17">
      <c r="B1310" t="s">
        <v>2800</v>
      </c>
      <c r="C1310" t="s">
        <v>664</v>
      </c>
      <c r="D1310">
        <v>6.6246875566243297E-3</v>
      </c>
      <c r="E1310" t="s">
        <v>94</v>
      </c>
      <c r="N1310" t="s">
        <v>2802</v>
      </c>
    </row>
    <row r="1311" spans="2:17">
      <c r="B1311" t="s">
        <v>2800</v>
      </c>
      <c r="C1311" t="s">
        <v>664</v>
      </c>
      <c r="D1311">
        <v>9.7406419790262502E-3</v>
      </c>
      <c r="E1311" t="s">
        <v>94</v>
      </c>
      <c r="N1311" t="s">
        <v>2802</v>
      </c>
    </row>
    <row r="1312" spans="2:17">
      <c r="B1312" t="s">
        <v>2800</v>
      </c>
      <c r="C1312" t="s">
        <v>664</v>
      </c>
      <c r="D1312">
        <v>1.8675524397829599E-4</v>
      </c>
      <c r="E1312" t="s">
        <v>94</v>
      </c>
      <c r="H1312" t="s">
        <v>588</v>
      </c>
      <c r="I1312">
        <v>1.8675524397829599E-4</v>
      </c>
      <c r="J1312">
        <v>1.0247973619913604</v>
      </c>
      <c r="N1312" t="s">
        <v>2803</v>
      </c>
      <c r="O1312" t="s">
        <v>641</v>
      </c>
      <c r="Q1312" t="s">
        <v>1672</v>
      </c>
    </row>
    <row r="1313" spans="2:17">
      <c r="B1313" t="s">
        <v>2800</v>
      </c>
      <c r="C1313" t="s">
        <v>664</v>
      </c>
      <c r="D1313">
        <v>1.70664164674189E-5</v>
      </c>
      <c r="E1313" t="s">
        <v>94</v>
      </c>
      <c r="N1313" t="s">
        <v>2801</v>
      </c>
    </row>
    <row r="1314" spans="2:17">
      <c r="B1314" t="s">
        <v>2800</v>
      </c>
      <c r="C1314" t="s">
        <v>664</v>
      </c>
      <c r="D1314">
        <v>9.2131729341332104E-4</v>
      </c>
      <c r="E1314" t="s">
        <v>94</v>
      </c>
      <c r="H1314" t="s">
        <v>588</v>
      </c>
      <c r="I1314">
        <v>9.2131729341332104E-4</v>
      </c>
      <c r="J1314">
        <v>1.0247973619913604</v>
      </c>
      <c r="N1314" t="s">
        <v>2803</v>
      </c>
      <c r="O1314" t="s">
        <v>641</v>
      </c>
      <c r="Q1314" t="s">
        <v>1672</v>
      </c>
    </row>
    <row r="1315" spans="2:17">
      <c r="B1315" t="s">
        <v>2800</v>
      </c>
      <c r="C1315" t="s">
        <v>664</v>
      </c>
      <c r="D1315">
        <v>9.5158803415420299E-3</v>
      </c>
      <c r="E1315" t="s">
        <v>94</v>
      </c>
      <c r="N1315" t="s">
        <v>2802</v>
      </c>
    </row>
    <row r="1316" spans="2:17">
      <c r="B1316" t="s">
        <v>2800</v>
      </c>
      <c r="C1316" t="s">
        <v>664</v>
      </c>
      <c r="D1316">
        <v>9.7576652517765098E-3</v>
      </c>
      <c r="E1316" t="s">
        <v>94</v>
      </c>
      <c r="N1316" t="s">
        <v>2804</v>
      </c>
    </row>
    <row r="1317" spans="2:17">
      <c r="B1317" t="s">
        <v>2800</v>
      </c>
      <c r="C1317" t="s">
        <v>664</v>
      </c>
      <c r="D1317">
        <v>3.56680716160097E-3</v>
      </c>
      <c r="E1317" t="s">
        <v>94</v>
      </c>
      <c r="H1317" t="s">
        <v>588</v>
      </c>
      <c r="I1317">
        <v>3.56680716160097E-3</v>
      </c>
      <c r="J1317">
        <v>2.2394398661220611</v>
      </c>
      <c r="N1317" t="s">
        <v>2803</v>
      </c>
      <c r="O1317" t="s">
        <v>798</v>
      </c>
      <c r="Q1317" t="s">
        <v>2805</v>
      </c>
    </row>
    <row r="1318" spans="2:17">
      <c r="B1318" t="s">
        <v>2800</v>
      </c>
      <c r="C1318" t="s">
        <v>664</v>
      </c>
      <c r="D1318">
        <v>0.31368295614523101</v>
      </c>
      <c r="E1318" t="s">
        <v>94</v>
      </c>
      <c r="H1318" t="s">
        <v>588</v>
      </c>
      <c r="I1318">
        <v>0.31368295614523101</v>
      </c>
      <c r="J1318">
        <v>1.0247973619913604</v>
      </c>
      <c r="N1318" t="s">
        <v>2803</v>
      </c>
      <c r="O1318" t="s">
        <v>641</v>
      </c>
      <c r="Q1318" t="s">
        <v>1672</v>
      </c>
    </row>
    <row r="1319" spans="2:17">
      <c r="B1319" t="s">
        <v>2800</v>
      </c>
      <c r="C1319" t="s">
        <v>664</v>
      </c>
      <c r="D1319">
        <v>4.9493093568879999E-3</v>
      </c>
      <c r="E1319" t="s">
        <v>94</v>
      </c>
      <c r="H1319" t="s">
        <v>588</v>
      </c>
      <c r="I1319">
        <v>4.9493093568879999E-3</v>
      </c>
      <c r="J1319">
        <v>1.0247973619913604</v>
      </c>
      <c r="N1319" t="s">
        <v>2803</v>
      </c>
      <c r="O1319" t="s">
        <v>641</v>
      </c>
      <c r="Q1319" t="s">
        <v>1672</v>
      </c>
    </row>
    <row r="1320" spans="2:17">
      <c r="B1320" t="s">
        <v>2800</v>
      </c>
      <c r="C1320" t="s">
        <v>664</v>
      </c>
      <c r="D1320">
        <v>1.7498781643653601E-2</v>
      </c>
      <c r="E1320" t="s">
        <v>94</v>
      </c>
      <c r="H1320" t="s">
        <v>588</v>
      </c>
      <c r="I1320">
        <v>1.7498781643653601E-2</v>
      </c>
      <c r="J1320">
        <v>1.0247973619913604</v>
      </c>
      <c r="N1320" t="s">
        <v>2803</v>
      </c>
      <c r="O1320" t="s">
        <v>641</v>
      </c>
      <c r="Q1320" t="s">
        <v>1672</v>
      </c>
    </row>
    <row r="1321" spans="2:17">
      <c r="B1321" t="s">
        <v>2800</v>
      </c>
      <c r="C1321" t="s">
        <v>664</v>
      </c>
      <c r="D1321">
        <v>2.4774339346872801E-3</v>
      </c>
      <c r="E1321" t="s">
        <v>94</v>
      </c>
      <c r="N1321" t="s">
        <v>2806</v>
      </c>
    </row>
    <row r="1322" spans="2:17">
      <c r="B1322" t="s">
        <v>2800</v>
      </c>
      <c r="C1322" t="s">
        <v>664</v>
      </c>
      <c r="D1322">
        <v>1.3684909537019699E-4</v>
      </c>
      <c r="E1322" t="s">
        <v>94</v>
      </c>
      <c r="H1322" t="s">
        <v>588</v>
      </c>
      <c r="I1322">
        <v>1.3684909537019699E-4</v>
      </c>
      <c r="J1322">
        <v>1.0247973619913604</v>
      </c>
      <c r="N1322" t="s">
        <v>2807</v>
      </c>
      <c r="O1322" t="s">
        <v>641</v>
      </c>
      <c r="Q1322" t="s">
        <v>1672</v>
      </c>
    </row>
    <row r="1323" spans="2:17">
      <c r="B1323" t="s">
        <v>2800</v>
      </c>
      <c r="C1323" t="s">
        <v>664</v>
      </c>
      <c r="D1323">
        <v>9.7577083954936694E-3</v>
      </c>
      <c r="E1323" t="s">
        <v>94</v>
      </c>
      <c r="N1323" t="s">
        <v>2802</v>
      </c>
    </row>
    <row r="1324" spans="2:17">
      <c r="B1324" t="s">
        <v>2800</v>
      </c>
      <c r="C1324" t="s">
        <v>664</v>
      </c>
      <c r="D1324">
        <v>4.2167404880143304E-3</v>
      </c>
      <c r="E1324" t="s">
        <v>94</v>
      </c>
      <c r="H1324" t="s">
        <v>588</v>
      </c>
      <c r="I1324">
        <v>4.2167404880143304E-3</v>
      </c>
      <c r="J1324">
        <v>1.0247973619913604</v>
      </c>
      <c r="N1324" t="s">
        <v>2803</v>
      </c>
      <c r="O1324" t="s">
        <v>641</v>
      </c>
      <c r="Q1324" t="s">
        <v>1672</v>
      </c>
    </row>
    <row r="1325" spans="2:17">
      <c r="B1325" t="s">
        <v>2800</v>
      </c>
      <c r="C1325" t="s">
        <v>664</v>
      </c>
      <c r="D1325">
        <v>2.4182805395164299E-4</v>
      </c>
      <c r="E1325" t="s">
        <v>94</v>
      </c>
      <c r="N1325" t="s">
        <v>2801</v>
      </c>
    </row>
    <row r="1326" spans="2:17">
      <c r="B1326" t="s">
        <v>2800</v>
      </c>
      <c r="C1326" t="s">
        <v>664</v>
      </c>
      <c r="D1326">
        <v>0.16197013096475199</v>
      </c>
      <c r="E1326" t="s">
        <v>94</v>
      </c>
      <c r="H1326" t="s">
        <v>588</v>
      </c>
      <c r="I1326">
        <v>0.16197013096475199</v>
      </c>
      <c r="J1326">
        <v>1.0247973619913604</v>
      </c>
      <c r="N1326" t="s">
        <v>2803</v>
      </c>
      <c r="O1326" t="s">
        <v>641</v>
      </c>
      <c r="Q1326" t="s">
        <v>2808</v>
      </c>
    </row>
    <row r="1327" spans="2:17">
      <c r="B1327" t="s">
        <v>2809</v>
      </c>
      <c r="C1327" t="s">
        <v>1138</v>
      </c>
      <c r="D1327">
        <v>1.22628353800403E-7</v>
      </c>
      <c r="E1327" t="s">
        <v>94</v>
      </c>
      <c r="H1327" t="s">
        <v>588</v>
      </c>
      <c r="I1327">
        <v>1.22628353800403E-7</v>
      </c>
      <c r="J1327">
        <v>1.0247973619913604</v>
      </c>
      <c r="N1327" t="s">
        <v>2810</v>
      </c>
      <c r="O1327" t="s">
        <v>1779</v>
      </c>
      <c r="Q1327" t="s">
        <v>1780</v>
      </c>
    </row>
    <row r="1328" spans="2:17">
      <c r="B1328" t="s">
        <v>2811</v>
      </c>
      <c r="C1328" t="s">
        <v>673</v>
      </c>
      <c r="D1328">
        <v>5.1287447608285099E-7</v>
      </c>
      <c r="E1328" t="s">
        <v>94</v>
      </c>
      <c r="H1328" t="s">
        <v>588</v>
      </c>
      <c r="I1328">
        <v>5.1287447608285099E-7</v>
      </c>
      <c r="J1328">
        <v>1.0247973619913604</v>
      </c>
      <c r="N1328" t="s">
        <v>2812</v>
      </c>
      <c r="O1328" t="s">
        <v>1779</v>
      </c>
      <c r="Q1328" t="s">
        <v>1780</v>
      </c>
    </row>
    <row r="1329" spans="2:17">
      <c r="B1329" t="s">
        <v>2813</v>
      </c>
      <c r="C1329" t="s">
        <v>664</v>
      </c>
      <c r="D1329">
        <v>7.7917819757315705E-6</v>
      </c>
      <c r="E1329" t="s">
        <v>94</v>
      </c>
      <c r="H1329" t="s">
        <v>588</v>
      </c>
      <c r="I1329">
        <v>7.7917819757315705E-6</v>
      </c>
      <c r="J1329">
        <v>1</v>
      </c>
      <c r="N1329" t="s">
        <v>2814</v>
      </c>
      <c r="O1329" t="s">
        <v>1054</v>
      </c>
      <c r="Q1329" t="s">
        <v>595</v>
      </c>
    </row>
    <row r="1330" spans="2:17">
      <c r="B1330" t="s">
        <v>2815</v>
      </c>
      <c r="C1330" t="s">
        <v>673</v>
      </c>
      <c r="D1330">
        <v>4.4823693983179497E-5</v>
      </c>
      <c r="E1330" t="s">
        <v>94</v>
      </c>
      <c r="H1330" t="s">
        <v>588</v>
      </c>
      <c r="I1330">
        <v>4.4823693983179497E-5</v>
      </c>
      <c r="J1330">
        <v>1.151909910168909</v>
      </c>
      <c r="N1330" t="s">
        <v>2816</v>
      </c>
      <c r="O1330" t="s">
        <v>2817</v>
      </c>
      <c r="Q1330" t="s">
        <v>811</v>
      </c>
    </row>
    <row r="1331" spans="2:17">
      <c r="B1331" t="s">
        <v>2818</v>
      </c>
      <c r="C1331" t="s">
        <v>673</v>
      </c>
      <c r="D1331">
        <v>8.8255181427299802E-7</v>
      </c>
      <c r="E1331" t="s">
        <v>94</v>
      </c>
      <c r="H1331" t="s">
        <v>588</v>
      </c>
      <c r="I1331">
        <v>8.8255181427299802E-7</v>
      </c>
      <c r="J1331">
        <v>1</v>
      </c>
      <c r="N1331" t="s">
        <v>2819</v>
      </c>
      <c r="O1331" t="s">
        <v>921</v>
      </c>
      <c r="Q1331" t="s">
        <v>811</v>
      </c>
    </row>
    <row r="1332" spans="2:17">
      <c r="B1332" t="s">
        <v>2820</v>
      </c>
      <c r="C1332" t="s">
        <v>664</v>
      </c>
      <c r="D1332">
        <v>1.1200382395834799E-5</v>
      </c>
      <c r="E1332" t="s">
        <v>94</v>
      </c>
      <c r="H1332" t="s">
        <v>588</v>
      </c>
      <c r="I1332">
        <v>1.1200382395834799E-5</v>
      </c>
      <c r="J1332">
        <v>1.0247973619913604</v>
      </c>
      <c r="N1332" t="s">
        <v>2821</v>
      </c>
      <c r="O1332" t="s">
        <v>2822</v>
      </c>
      <c r="Q1332" t="s">
        <v>595</v>
      </c>
    </row>
    <row r="1333" spans="2:17">
      <c r="B1333" t="s">
        <v>2823</v>
      </c>
      <c r="C1333" t="s">
        <v>1810</v>
      </c>
      <c r="D1333">
        <v>7.8016556173942596E-7</v>
      </c>
      <c r="E1333" t="s">
        <v>1811</v>
      </c>
      <c r="H1333" t="s">
        <v>588</v>
      </c>
      <c r="I1333">
        <v>7.8016556173942596E-7</v>
      </c>
      <c r="J1333">
        <v>1</v>
      </c>
      <c r="N1333" t="s">
        <v>2824</v>
      </c>
      <c r="O1333" t="s">
        <v>1756</v>
      </c>
      <c r="Q1333" t="s">
        <v>1816</v>
      </c>
    </row>
    <row r="1334" spans="2:17">
      <c r="B1334" t="s">
        <v>2823</v>
      </c>
      <c r="C1334" t="s">
        <v>1810</v>
      </c>
      <c r="D1334">
        <v>1.3113262925014699E-6</v>
      </c>
      <c r="E1334" t="s">
        <v>1811</v>
      </c>
      <c r="H1334" t="s">
        <v>588</v>
      </c>
      <c r="I1334">
        <v>1.3113262925014699E-6</v>
      </c>
      <c r="J1334">
        <v>1.0247973619913604</v>
      </c>
      <c r="N1334" t="s">
        <v>2825</v>
      </c>
      <c r="O1334" t="s">
        <v>1756</v>
      </c>
      <c r="Q1334" t="s">
        <v>2826</v>
      </c>
    </row>
    <row r="1335" spans="2:17">
      <c r="B1335" t="s">
        <v>1265</v>
      </c>
      <c r="C1335" t="s">
        <v>821</v>
      </c>
      <c r="D1335">
        <v>4.8839536652642503E-7</v>
      </c>
      <c r="E1335" t="s">
        <v>94</v>
      </c>
      <c r="H1335" t="s">
        <v>588</v>
      </c>
      <c r="I1335">
        <v>4.8839536652642503E-7</v>
      </c>
      <c r="J1335">
        <v>1</v>
      </c>
      <c r="N1335" t="s">
        <v>1266</v>
      </c>
      <c r="O1335" t="s">
        <v>1157</v>
      </c>
      <c r="Q1335" t="s">
        <v>1267</v>
      </c>
    </row>
    <row r="1336" spans="2:17">
      <c r="B1336" t="s">
        <v>2827</v>
      </c>
      <c r="C1336" t="s">
        <v>857</v>
      </c>
      <c r="D1336">
        <v>6.5483280156153903E-13</v>
      </c>
      <c r="E1336" t="s">
        <v>616</v>
      </c>
      <c r="H1336" t="s">
        <v>588</v>
      </c>
      <c r="I1336">
        <v>6.5483280156153903E-13</v>
      </c>
      <c r="J1336">
        <v>1.7293101253499219</v>
      </c>
      <c r="N1336" t="s">
        <v>2828</v>
      </c>
      <c r="O1336" t="s">
        <v>2829</v>
      </c>
      <c r="Q1336" t="s">
        <v>2830</v>
      </c>
    </row>
    <row r="1337" spans="2:17">
      <c r="B1337" t="s">
        <v>2831</v>
      </c>
      <c r="C1337" t="s">
        <v>673</v>
      </c>
      <c r="D1337">
        <v>4.7126178148896798E-9</v>
      </c>
      <c r="E1337" t="s">
        <v>94</v>
      </c>
      <c r="H1337" t="s">
        <v>588</v>
      </c>
      <c r="I1337">
        <v>4.7126178148896798E-9</v>
      </c>
      <c r="J1337">
        <v>1.0247973619913604</v>
      </c>
      <c r="N1337" t="s">
        <v>2832</v>
      </c>
      <c r="O1337" t="s">
        <v>1779</v>
      </c>
      <c r="Q1337" t="s">
        <v>1780</v>
      </c>
    </row>
    <row r="1338" spans="2:17">
      <c r="B1338" t="s">
        <v>2831</v>
      </c>
      <c r="C1338" t="s">
        <v>673</v>
      </c>
      <c r="D1338">
        <v>7.8075152664843199E-8</v>
      </c>
      <c r="E1338" t="s">
        <v>94</v>
      </c>
      <c r="H1338" t="s">
        <v>588</v>
      </c>
      <c r="I1338">
        <v>7.8075152664843199E-8</v>
      </c>
      <c r="J1338">
        <v>1.0247973619913604</v>
      </c>
      <c r="N1338" t="s">
        <v>2832</v>
      </c>
      <c r="O1338" t="s">
        <v>1779</v>
      </c>
      <c r="Q1338" t="s">
        <v>1780</v>
      </c>
    </row>
    <row r="1339" spans="2:17">
      <c r="B1339" t="s">
        <v>672</v>
      </c>
      <c r="C1339" t="s">
        <v>673</v>
      </c>
      <c r="D1339">
        <v>1.7397702458970799E-3</v>
      </c>
      <c r="E1339" t="s">
        <v>94</v>
      </c>
      <c r="H1339" t="s">
        <v>588</v>
      </c>
      <c r="I1339">
        <v>1.7397702458970799E-3</v>
      </c>
      <c r="J1339">
        <v>1.0247973619913604</v>
      </c>
      <c r="N1339" t="s">
        <v>674</v>
      </c>
      <c r="O1339" t="s">
        <v>641</v>
      </c>
      <c r="Q1339" t="s">
        <v>1672</v>
      </c>
    </row>
    <row r="1340" spans="2:17">
      <c r="B1340" t="s">
        <v>672</v>
      </c>
      <c r="C1340" t="s">
        <v>673</v>
      </c>
      <c r="D1340">
        <v>3.5056489613712703E-5</v>
      </c>
      <c r="E1340" t="s">
        <v>94</v>
      </c>
      <c r="H1340" t="s">
        <v>588</v>
      </c>
      <c r="I1340">
        <v>3.5056489613712703E-5</v>
      </c>
      <c r="J1340">
        <v>1.0247973619913604</v>
      </c>
      <c r="N1340" t="s">
        <v>674</v>
      </c>
      <c r="O1340" t="s">
        <v>1002</v>
      </c>
      <c r="Q1340" t="s">
        <v>1444</v>
      </c>
    </row>
    <row r="1341" spans="2:17">
      <c r="B1341" t="s">
        <v>2833</v>
      </c>
      <c r="C1341" t="s">
        <v>673</v>
      </c>
      <c r="D1341">
        <v>7.4790306390869595E-8</v>
      </c>
      <c r="E1341" t="s">
        <v>94</v>
      </c>
      <c r="H1341" t="s">
        <v>588</v>
      </c>
      <c r="I1341">
        <v>7.4790306390869595E-8</v>
      </c>
      <c r="J1341">
        <v>1.0247973619913604</v>
      </c>
      <c r="N1341" t="s">
        <v>2834</v>
      </c>
      <c r="O1341" t="s">
        <v>641</v>
      </c>
      <c r="Q1341" t="s">
        <v>1643</v>
      </c>
    </row>
    <row r="1342" spans="2:17">
      <c r="B1342" t="s">
        <v>2833</v>
      </c>
      <c r="C1342" t="s">
        <v>673</v>
      </c>
      <c r="D1342">
        <v>3.3995593814031698E-8</v>
      </c>
      <c r="E1342" t="s">
        <v>94</v>
      </c>
      <c r="H1342" t="s">
        <v>588</v>
      </c>
      <c r="I1342">
        <v>3.3995593814031698E-8</v>
      </c>
      <c r="J1342">
        <v>1.0247973619913604</v>
      </c>
      <c r="N1342" t="s">
        <v>2834</v>
      </c>
      <c r="O1342" t="s">
        <v>641</v>
      </c>
      <c r="Q1342" t="s">
        <v>1643</v>
      </c>
    </row>
    <row r="1343" spans="2:17">
      <c r="B1343" t="s">
        <v>912</v>
      </c>
      <c r="C1343" t="s">
        <v>569</v>
      </c>
      <c r="D1343">
        <v>5.3602598639728303E-5</v>
      </c>
      <c r="E1343" t="s">
        <v>94</v>
      </c>
      <c r="H1343" t="s">
        <v>588</v>
      </c>
      <c r="I1343">
        <v>5.3602598639728303E-5</v>
      </c>
      <c r="J1343">
        <v>1.3028773061287173</v>
      </c>
      <c r="N1343" t="s">
        <v>1013</v>
      </c>
      <c r="O1343" t="s">
        <v>1082</v>
      </c>
      <c r="Q1343" t="s">
        <v>811</v>
      </c>
    </row>
    <row r="1344" spans="2:17">
      <c r="B1344" t="s">
        <v>1268</v>
      </c>
      <c r="C1344" t="s">
        <v>673</v>
      </c>
      <c r="D1344">
        <v>3.3492686286260497E-4</v>
      </c>
      <c r="E1344" t="s">
        <v>94</v>
      </c>
      <c r="H1344" t="s">
        <v>588</v>
      </c>
      <c r="I1344">
        <v>3.3492686286260497E-4</v>
      </c>
      <c r="J1344">
        <v>1.0247973619913604</v>
      </c>
      <c r="N1344" t="s">
        <v>1269</v>
      </c>
      <c r="O1344" t="s">
        <v>641</v>
      </c>
      <c r="Q1344" t="s">
        <v>1672</v>
      </c>
    </row>
    <row r="1345" spans="2:17">
      <c r="B1345" t="s">
        <v>1268</v>
      </c>
      <c r="C1345" t="s">
        <v>673</v>
      </c>
      <c r="D1345">
        <v>7.6276358474290705E-4</v>
      </c>
      <c r="E1345" t="s">
        <v>94</v>
      </c>
      <c r="H1345" t="s">
        <v>588</v>
      </c>
      <c r="I1345">
        <v>7.6276358474290705E-4</v>
      </c>
      <c r="J1345">
        <v>1</v>
      </c>
      <c r="N1345" t="s">
        <v>1269</v>
      </c>
      <c r="O1345" t="s">
        <v>1157</v>
      </c>
      <c r="Q1345" t="s">
        <v>1270</v>
      </c>
    </row>
    <row r="1346" spans="2:17">
      <c r="B1346" t="s">
        <v>1271</v>
      </c>
      <c r="C1346" t="s">
        <v>664</v>
      </c>
      <c r="D1346">
        <v>3.7936475232771099E-6</v>
      </c>
      <c r="E1346" t="s">
        <v>94</v>
      </c>
      <c r="H1346" t="s">
        <v>588</v>
      </c>
      <c r="I1346">
        <v>3.7936475232771099E-6</v>
      </c>
      <c r="J1346">
        <v>1.0247973619913604</v>
      </c>
      <c r="N1346" t="s">
        <v>1272</v>
      </c>
      <c r="O1346" t="s">
        <v>641</v>
      </c>
      <c r="Q1346" t="s">
        <v>1672</v>
      </c>
    </row>
    <row r="1347" spans="2:17">
      <c r="B1347" t="s">
        <v>1271</v>
      </c>
      <c r="C1347" t="s">
        <v>664</v>
      </c>
      <c r="D1347">
        <v>2.0348714859435199E-4</v>
      </c>
      <c r="E1347" t="s">
        <v>94</v>
      </c>
      <c r="H1347" t="s">
        <v>588</v>
      </c>
      <c r="I1347">
        <v>2.0348714859435199E-4</v>
      </c>
      <c r="J1347">
        <v>1.0247973619913604</v>
      </c>
      <c r="N1347" t="s">
        <v>1272</v>
      </c>
      <c r="O1347" t="s">
        <v>1779</v>
      </c>
      <c r="Q1347" t="s">
        <v>1780</v>
      </c>
    </row>
    <row r="1348" spans="2:17">
      <c r="B1348" t="s">
        <v>2835</v>
      </c>
      <c r="C1348" t="s">
        <v>1830</v>
      </c>
      <c r="D1348">
        <v>1.34469007621015E-4</v>
      </c>
      <c r="E1348" t="s">
        <v>94</v>
      </c>
      <c r="H1348" t="s">
        <v>588</v>
      </c>
      <c r="I1348">
        <v>1.34469007621015E-4</v>
      </c>
      <c r="J1348">
        <v>1.0247973619913604</v>
      </c>
      <c r="N1348" t="s">
        <v>2836</v>
      </c>
      <c r="O1348" t="s">
        <v>1806</v>
      </c>
      <c r="Q1348" t="s">
        <v>1728</v>
      </c>
    </row>
    <row r="1349" spans="2:17">
      <c r="B1349" t="s">
        <v>2835</v>
      </c>
      <c r="C1349" t="s">
        <v>1830</v>
      </c>
      <c r="D1349">
        <v>1.1205750635084599E-3</v>
      </c>
      <c r="E1349" t="s">
        <v>94</v>
      </c>
      <c r="N1349" t="s">
        <v>2837</v>
      </c>
    </row>
    <row r="1350" spans="2:17">
      <c r="B1350" t="s">
        <v>2838</v>
      </c>
      <c r="C1350" t="s">
        <v>673</v>
      </c>
      <c r="D1350">
        <v>4.3127133118575901E-9</v>
      </c>
      <c r="E1350" t="s">
        <v>94</v>
      </c>
      <c r="H1350" t="s">
        <v>588</v>
      </c>
      <c r="I1350">
        <v>4.3127133118575901E-9</v>
      </c>
      <c r="J1350">
        <v>1.1051709180756477</v>
      </c>
      <c r="N1350" t="s">
        <v>2839</v>
      </c>
      <c r="O1350" t="s">
        <v>1994</v>
      </c>
      <c r="Q1350" t="s">
        <v>2840</v>
      </c>
    </row>
    <row r="1351" spans="2:17">
      <c r="B1351" t="s">
        <v>1276</v>
      </c>
      <c r="C1351" t="s">
        <v>1170</v>
      </c>
      <c r="D1351">
        <v>2.7879616609012301E-9</v>
      </c>
      <c r="E1351" t="s">
        <v>94</v>
      </c>
      <c r="H1351" t="s">
        <v>588</v>
      </c>
      <c r="I1351">
        <v>2.7879616609012301E-9</v>
      </c>
      <c r="J1351">
        <v>1.0247973619913604</v>
      </c>
      <c r="N1351" t="s">
        <v>1277</v>
      </c>
      <c r="O1351" t="s">
        <v>1914</v>
      </c>
      <c r="Q1351" t="s">
        <v>2841</v>
      </c>
    </row>
    <row r="1352" spans="2:17">
      <c r="B1352" t="s">
        <v>1278</v>
      </c>
      <c r="C1352" t="s">
        <v>1170</v>
      </c>
      <c r="D1352">
        <v>1.8627445302786202E-5</v>
      </c>
      <c r="E1352" t="s">
        <v>94</v>
      </c>
      <c r="H1352" t="s">
        <v>588</v>
      </c>
      <c r="I1352">
        <v>1.8627445302786202E-5</v>
      </c>
      <c r="J1352">
        <v>1.0247973619913604</v>
      </c>
      <c r="N1352" t="s">
        <v>1279</v>
      </c>
      <c r="O1352" t="s">
        <v>2017</v>
      </c>
      <c r="Q1352" t="s">
        <v>2018</v>
      </c>
    </row>
    <row r="1353" spans="2:17">
      <c r="B1353" t="s">
        <v>2842</v>
      </c>
      <c r="C1353" t="s">
        <v>2629</v>
      </c>
      <c r="D1353">
        <v>3.56089949518612E-10</v>
      </c>
      <c r="E1353" t="s">
        <v>616</v>
      </c>
      <c r="H1353" t="s">
        <v>588</v>
      </c>
      <c r="I1353">
        <v>3.56089949518612E-10</v>
      </c>
      <c r="J1353">
        <v>1.7293101253499219</v>
      </c>
      <c r="N1353" t="s">
        <v>2843</v>
      </c>
      <c r="O1353" t="s">
        <v>2109</v>
      </c>
      <c r="Q1353" t="s">
        <v>2110</v>
      </c>
    </row>
    <row r="1354" spans="2:17">
      <c r="B1354" t="s">
        <v>2844</v>
      </c>
      <c r="C1354" t="s">
        <v>2629</v>
      </c>
      <c r="D1354">
        <v>1.98265328058763E-9</v>
      </c>
      <c r="E1354" t="s">
        <v>616</v>
      </c>
      <c r="H1354" t="s">
        <v>588</v>
      </c>
      <c r="I1354">
        <v>1.98265328058763E-9</v>
      </c>
      <c r="J1354">
        <v>1.2214027581601699</v>
      </c>
      <c r="N1354" t="s">
        <v>2845</v>
      </c>
      <c r="O1354" t="s">
        <v>2109</v>
      </c>
      <c r="Q1354" t="s">
        <v>2110</v>
      </c>
    </row>
    <row r="1355" spans="2:17">
      <c r="B1355" t="s">
        <v>2846</v>
      </c>
      <c r="C1355" t="s">
        <v>2847</v>
      </c>
      <c r="D1355">
        <v>3.38047211263894E-5</v>
      </c>
      <c r="E1355" t="s">
        <v>94</v>
      </c>
      <c r="H1355" t="s">
        <v>588</v>
      </c>
      <c r="I1355">
        <v>3.38047211263894E-5</v>
      </c>
      <c r="J1355">
        <v>1.0247973619913604</v>
      </c>
      <c r="N1355" t="s">
        <v>2848</v>
      </c>
      <c r="O1355" t="s">
        <v>1157</v>
      </c>
      <c r="Q1355" t="s">
        <v>2849</v>
      </c>
    </row>
    <row r="1356" spans="2:17">
      <c r="B1356" t="s">
        <v>2846</v>
      </c>
      <c r="C1356" t="s">
        <v>2847</v>
      </c>
      <c r="D1356">
        <v>3.70352432278213E-5</v>
      </c>
      <c r="E1356" t="s">
        <v>94</v>
      </c>
      <c r="H1356" t="s">
        <v>588</v>
      </c>
      <c r="I1356">
        <v>3.70352432278213E-5</v>
      </c>
      <c r="J1356">
        <v>1.0247973619913604</v>
      </c>
      <c r="N1356" t="s">
        <v>2848</v>
      </c>
      <c r="O1356" t="s">
        <v>2850</v>
      </c>
      <c r="Q1356" t="s">
        <v>2849</v>
      </c>
    </row>
    <row r="1357" spans="2:17">
      <c r="B1357" t="s">
        <v>2851</v>
      </c>
      <c r="C1357" t="s">
        <v>615</v>
      </c>
      <c r="D1357">
        <v>8.6480299037910307E-12</v>
      </c>
      <c r="E1357" t="s">
        <v>616</v>
      </c>
      <c r="H1357" t="s">
        <v>588</v>
      </c>
      <c r="I1357">
        <v>8.6480299037910307E-12</v>
      </c>
      <c r="J1357">
        <v>1.7293101253499219</v>
      </c>
      <c r="N1357" t="s">
        <v>2852</v>
      </c>
      <c r="O1357" t="s">
        <v>1770</v>
      </c>
      <c r="Q1357" t="s">
        <v>2853</v>
      </c>
    </row>
    <row r="1358" spans="2:17">
      <c r="B1358" t="s">
        <v>2851</v>
      </c>
      <c r="C1358" t="s">
        <v>615</v>
      </c>
      <c r="D1358">
        <v>2.58340932619701E-11</v>
      </c>
      <c r="E1358" t="s">
        <v>616</v>
      </c>
      <c r="H1358" t="s">
        <v>588</v>
      </c>
      <c r="I1358">
        <v>2.58340932619701E-11</v>
      </c>
      <c r="J1358">
        <v>1.7293101253499219</v>
      </c>
      <c r="N1358" t="s">
        <v>2854</v>
      </c>
      <c r="O1358" t="s">
        <v>1628</v>
      </c>
      <c r="Q1358" t="s">
        <v>2855</v>
      </c>
    </row>
    <row r="1359" spans="2:17">
      <c r="B1359" t="s">
        <v>1280</v>
      </c>
      <c r="C1359" t="s">
        <v>1249</v>
      </c>
      <c r="D1359">
        <v>1.4396399592822101E-4</v>
      </c>
      <c r="E1359" t="s">
        <v>94</v>
      </c>
      <c r="H1359" t="s">
        <v>588</v>
      </c>
      <c r="I1359">
        <v>1.4396399592822101E-4</v>
      </c>
      <c r="J1359">
        <v>1.2214027581601699</v>
      </c>
      <c r="N1359" t="s">
        <v>2856</v>
      </c>
      <c r="O1359" t="s">
        <v>2132</v>
      </c>
      <c r="Q1359" t="s">
        <v>2133</v>
      </c>
    </row>
    <row r="1360" spans="2:17">
      <c r="B1360" t="s">
        <v>1280</v>
      </c>
      <c r="C1360" t="s">
        <v>1249</v>
      </c>
      <c r="D1360">
        <v>5.2555999788489395E-4</v>
      </c>
      <c r="E1360" t="s">
        <v>94</v>
      </c>
      <c r="H1360" t="s">
        <v>588</v>
      </c>
      <c r="I1360">
        <v>5.2555999788489395E-4</v>
      </c>
      <c r="J1360">
        <v>1.0247973619913604</v>
      </c>
      <c r="N1360" t="s">
        <v>1281</v>
      </c>
      <c r="O1360" t="s">
        <v>1914</v>
      </c>
      <c r="Q1360" t="s">
        <v>2857</v>
      </c>
    </row>
    <row r="1361" spans="2:17">
      <c r="B1361" t="s">
        <v>2858</v>
      </c>
      <c r="C1361" t="s">
        <v>1810</v>
      </c>
      <c r="D1361">
        <v>5.4707052957519102E-8</v>
      </c>
      <c r="E1361" t="s">
        <v>94</v>
      </c>
      <c r="H1361" t="s">
        <v>588</v>
      </c>
      <c r="I1361">
        <v>5.4707052957519102E-8</v>
      </c>
      <c r="J1361">
        <v>1</v>
      </c>
      <c r="N1361" t="s">
        <v>2859</v>
      </c>
      <c r="O1361" t="s">
        <v>1756</v>
      </c>
      <c r="Q1361" t="s">
        <v>595</v>
      </c>
    </row>
    <row r="1362" spans="2:17">
      <c r="B1362" t="s">
        <v>2858</v>
      </c>
      <c r="C1362" t="s">
        <v>1810</v>
      </c>
      <c r="D1362">
        <v>4.5674891141718599E-7</v>
      </c>
      <c r="E1362" t="s">
        <v>94</v>
      </c>
      <c r="H1362" t="s">
        <v>588</v>
      </c>
      <c r="I1362">
        <v>4.5674891141718599E-7</v>
      </c>
      <c r="J1362">
        <v>1</v>
      </c>
      <c r="N1362" t="s">
        <v>2859</v>
      </c>
      <c r="O1362" t="s">
        <v>1756</v>
      </c>
      <c r="Q1362" t="s">
        <v>595</v>
      </c>
    </row>
    <row r="1363" spans="2:17">
      <c r="B1363" t="s">
        <v>2858</v>
      </c>
      <c r="C1363" t="s">
        <v>1810</v>
      </c>
      <c r="D1363">
        <v>4.6861381437694203E-7</v>
      </c>
      <c r="E1363" t="s">
        <v>94</v>
      </c>
      <c r="H1363" t="s">
        <v>588</v>
      </c>
      <c r="I1363">
        <v>4.6861381437694203E-7</v>
      </c>
      <c r="J1363">
        <v>1</v>
      </c>
      <c r="N1363" t="s">
        <v>2859</v>
      </c>
      <c r="O1363" t="s">
        <v>1756</v>
      </c>
      <c r="Q1363" t="s">
        <v>595</v>
      </c>
    </row>
    <row r="1364" spans="2:17">
      <c r="B1364" t="s">
        <v>2858</v>
      </c>
      <c r="C1364" t="s">
        <v>1810</v>
      </c>
      <c r="D1364">
        <v>2.6062904484709101E-6</v>
      </c>
      <c r="E1364" t="s">
        <v>94</v>
      </c>
      <c r="H1364" t="s">
        <v>588</v>
      </c>
      <c r="I1364">
        <v>2.6062904484709101E-6</v>
      </c>
      <c r="J1364">
        <v>1</v>
      </c>
      <c r="N1364" t="s">
        <v>2859</v>
      </c>
      <c r="O1364" t="s">
        <v>1756</v>
      </c>
      <c r="Q1364" t="s">
        <v>595</v>
      </c>
    </row>
    <row r="1365" spans="2:17">
      <c r="B1365" t="s">
        <v>2858</v>
      </c>
      <c r="C1365" t="s">
        <v>1810</v>
      </c>
      <c r="D1365">
        <v>9.5267704016741197E-7</v>
      </c>
      <c r="E1365" t="s">
        <v>94</v>
      </c>
      <c r="H1365" t="s">
        <v>588</v>
      </c>
      <c r="I1365">
        <v>9.5267704016741197E-7</v>
      </c>
      <c r="J1365">
        <v>1.1051709180756477</v>
      </c>
      <c r="N1365" t="s">
        <v>2859</v>
      </c>
      <c r="O1365" t="s">
        <v>855</v>
      </c>
      <c r="Q1365" t="s">
        <v>595</v>
      </c>
    </row>
    <row r="1366" spans="2:17">
      <c r="B1366" t="s">
        <v>2858</v>
      </c>
      <c r="C1366" t="s">
        <v>1810</v>
      </c>
      <c r="D1366">
        <v>4.6653958813279098E-7</v>
      </c>
      <c r="E1366" t="s">
        <v>94</v>
      </c>
      <c r="H1366" t="s">
        <v>588</v>
      </c>
      <c r="I1366">
        <v>4.6653958813279098E-7</v>
      </c>
      <c r="J1366">
        <v>1</v>
      </c>
      <c r="N1366" t="s">
        <v>2859</v>
      </c>
      <c r="O1366" t="s">
        <v>1756</v>
      </c>
      <c r="Q1366" t="s">
        <v>595</v>
      </c>
    </row>
    <row r="1367" spans="2:17">
      <c r="B1367" t="s">
        <v>2858</v>
      </c>
      <c r="C1367" t="s">
        <v>1810</v>
      </c>
      <c r="D1367">
        <v>6.6802394815436396E-9</v>
      </c>
      <c r="E1367" t="s">
        <v>94</v>
      </c>
      <c r="H1367" t="s">
        <v>588</v>
      </c>
      <c r="I1367">
        <v>6.6802394815436396E-9</v>
      </c>
      <c r="J1367">
        <v>1</v>
      </c>
      <c r="N1367" t="s">
        <v>2859</v>
      </c>
      <c r="O1367" t="s">
        <v>1756</v>
      </c>
      <c r="Q1367" t="s">
        <v>595</v>
      </c>
    </row>
    <row r="1368" spans="2:17">
      <c r="B1368" t="s">
        <v>2858</v>
      </c>
      <c r="C1368" t="s">
        <v>1810</v>
      </c>
      <c r="D1368">
        <v>1.20144605600897E-7</v>
      </c>
      <c r="E1368" t="s">
        <v>94</v>
      </c>
      <c r="H1368" t="s">
        <v>588</v>
      </c>
      <c r="I1368">
        <v>1.20144605600897E-7</v>
      </c>
      <c r="J1368">
        <v>1</v>
      </c>
      <c r="N1368" t="s">
        <v>2859</v>
      </c>
      <c r="O1368" t="s">
        <v>1756</v>
      </c>
      <c r="Q1368" t="s">
        <v>595</v>
      </c>
    </row>
    <row r="1369" spans="2:17">
      <c r="B1369" t="s">
        <v>2858</v>
      </c>
      <c r="C1369" t="s">
        <v>1810</v>
      </c>
      <c r="D1369">
        <v>1.38998833749552E-6</v>
      </c>
      <c r="E1369" t="s">
        <v>94</v>
      </c>
      <c r="H1369" t="s">
        <v>588</v>
      </c>
      <c r="I1369">
        <v>1.38998833749552E-6</v>
      </c>
      <c r="J1369">
        <v>1</v>
      </c>
      <c r="N1369" t="s">
        <v>2859</v>
      </c>
      <c r="O1369" t="s">
        <v>1756</v>
      </c>
      <c r="Q1369" t="s">
        <v>595</v>
      </c>
    </row>
    <row r="1370" spans="2:17">
      <c r="B1370" t="s">
        <v>2858</v>
      </c>
      <c r="C1370" t="s">
        <v>1810</v>
      </c>
      <c r="D1370">
        <v>4.8318564865440401E-7</v>
      </c>
      <c r="E1370" t="s">
        <v>94</v>
      </c>
      <c r="H1370" t="s">
        <v>588</v>
      </c>
      <c r="I1370">
        <v>4.8318564865440401E-7</v>
      </c>
      <c r="J1370">
        <v>1</v>
      </c>
      <c r="N1370" t="s">
        <v>2859</v>
      </c>
      <c r="O1370" t="s">
        <v>1756</v>
      </c>
      <c r="Q1370" t="s">
        <v>595</v>
      </c>
    </row>
    <row r="1371" spans="2:17">
      <c r="B1371" t="s">
        <v>2858</v>
      </c>
      <c r="C1371" t="s">
        <v>1810</v>
      </c>
      <c r="D1371">
        <v>5.2997457552596701E-7</v>
      </c>
      <c r="E1371" t="s">
        <v>94</v>
      </c>
      <c r="H1371" t="s">
        <v>588</v>
      </c>
      <c r="I1371">
        <v>5.2997457552596701E-7</v>
      </c>
      <c r="J1371">
        <v>1</v>
      </c>
      <c r="N1371" t="s">
        <v>2859</v>
      </c>
      <c r="O1371" t="s">
        <v>1756</v>
      </c>
      <c r="Q1371" t="s">
        <v>595</v>
      </c>
    </row>
    <row r="1372" spans="2:17">
      <c r="B1372" t="s">
        <v>2858</v>
      </c>
      <c r="C1372" t="s">
        <v>1810</v>
      </c>
      <c r="D1372">
        <v>6.6631883763722705E-5</v>
      </c>
      <c r="E1372" t="s">
        <v>94</v>
      </c>
      <c r="H1372" t="s">
        <v>588</v>
      </c>
      <c r="I1372">
        <v>6.6631883763722705E-5</v>
      </c>
      <c r="J1372">
        <v>1.4049000000004648</v>
      </c>
      <c r="N1372" t="s">
        <v>2859</v>
      </c>
      <c r="O1372" t="s">
        <v>1758</v>
      </c>
      <c r="Q1372" t="s">
        <v>2860</v>
      </c>
    </row>
    <row r="1373" spans="2:17">
      <c r="B1373" t="s">
        <v>2858</v>
      </c>
      <c r="C1373" t="s">
        <v>1810</v>
      </c>
      <c r="D1373">
        <v>4.74637671629792E-8</v>
      </c>
      <c r="E1373" t="s">
        <v>94</v>
      </c>
      <c r="H1373" t="s">
        <v>588</v>
      </c>
      <c r="I1373">
        <v>4.74637671629792E-8</v>
      </c>
      <c r="J1373">
        <v>1</v>
      </c>
      <c r="N1373" t="s">
        <v>2859</v>
      </c>
      <c r="O1373" t="s">
        <v>1756</v>
      </c>
      <c r="Q1373" t="s">
        <v>595</v>
      </c>
    </row>
    <row r="1374" spans="2:17">
      <c r="B1374" t="s">
        <v>2858</v>
      </c>
      <c r="C1374" t="s">
        <v>1810</v>
      </c>
      <c r="D1374">
        <v>1.00154817072473E-3</v>
      </c>
      <c r="E1374" t="s">
        <v>94</v>
      </c>
      <c r="H1374" t="s">
        <v>588</v>
      </c>
      <c r="I1374">
        <v>1.00154817072473E-3</v>
      </c>
      <c r="J1374">
        <v>1.4049000000004648</v>
      </c>
      <c r="N1374" t="s">
        <v>2859</v>
      </c>
      <c r="O1374" t="s">
        <v>1758</v>
      </c>
      <c r="Q1374" t="s">
        <v>2861</v>
      </c>
    </row>
    <row r="1375" spans="2:17">
      <c r="B1375" t="s">
        <v>2858</v>
      </c>
      <c r="C1375" t="s">
        <v>1810</v>
      </c>
      <c r="D1375">
        <v>2.5491084301603702E-6</v>
      </c>
      <c r="E1375" t="s">
        <v>94</v>
      </c>
      <c r="H1375" t="s">
        <v>588</v>
      </c>
      <c r="I1375">
        <v>2.5491084301603702E-6</v>
      </c>
      <c r="J1375">
        <v>1</v>
      </c>
      <c r="N1375" t="s">
        <v>2859</v>
      </c>
      <c r="O1375" t="s">
        <v>1756</v>
      </c>
      <c r="Q1375" t="s">
        <v>595</v>
      </c>
    </row>
    <row r="1376" spans="2:17">
      <c r="B1376" t="s">
        <v>2858</v>
      </c>
      <c r="C1376" t="s">
        <v>1810</v>
      </c>
      <c r="D1376">
        <v>1.1530771112674499E-7</v>
      </c>
      <c r="E1376" t="s">
        <v>94</v>
      </c>
      <c r="H1376" t="s">
        <v>588</v>
      </c>
      <c r="I1376">
        <v>1.1530771112674499E-7</v>
      </c>
      <c r="J1376">
        <v>1</v>
      </c>
      <c r="N1376" t="s">
        <v>2859</v>
      </c>
      <c r="O1376" t="s">
        <v>1756</v>
      </c>
      <c r="Q1376" t="s">
        <v>595</v>
      </c>
    </row>
    <row r="1377" spans="2:17">
      <c r="B1377" t="s">
        <v>2858</v>
      </c>
      <c r="C1377" t="s">
        <v>1810</v>
      </c>
      <c r="D1377">
        <v>9.6547151025358607E-9</v>
      </c>
      <c r="E1377" t="s">
        <v>94</v>
      </c>
      <c r="H1377" t="s">
        <v>588</v>
      </c>
      <c r="I1377">
        <v>9.6547151025358607E-9</v>
      </c>
      <c r="J1377">
        <v>1</v>
      </c>
      <c r="N1377" t="s">
        <v>2859</v>
      </c>
      <c r="O1377" t="s">
        <v>1756</v>
      </c>
      <c r="Q1377" t="s">
        <v>595</v>
      </c>
    </row>
    <row r="1378" spans="2:17">
      <c r="B1378" t="s">
        <v>2858</v>
      </c>
      <c r="C1378" t="s">
        <v>1810</v>
      </c>
      <c r="D1378">
        <v>8.2780409080456595E-8</v>
      </c>
      <c r="E1378" t="s">
        <v>94</v>
      </c>
      <c r="H1378" t="s">
        <v>588</v>
      </c>
      <c r="I1378">
        <v>8.2780409080456595E-8</v>
      </c>
      <c r="J1378">
        <v>1</v>
      </c>
      <c r="N1378" t="s">
        <v>2859</v>
      </c>
      <c r="O1378" t="s">
        <v>1756</v>
      </c>
      <c r="Q1378" t="s">
        <v>595</v>
      </c>
    </row>
    <row r="1379" spans="2:17">
      <c r="B1379" t="s">
        <v>2858</v>
      </c>
      <c r="C1379" t="s">
        <v>1810</v>
      </c>
      <c r="D1379">
        <v>1.06624766043849E-8</v>
      </c>
      <c r="E1379" t="s">
        <v>94</v>
      </c>
      <c r="H1379" t="s">
        <v>588</v>
      </c>
      <c r="I1379">
        <v>1.06624766043849E-8</v>
      </c>
      <c r="J1379">
        <v>1</v>
      </c>
      <c r="N1379" t="s">
        <v>2859</v>
      </c>
      <c r="O1379" t="s">
        <v>1756</v>
      </c>
      <c r="Q1379" t="s">
        <v>595</v>
      </c>
    </row>
    <row r="1380" spans="2:17">
      <c r="B1380" t="s">
        <v>2858</v>
      </c>
      <c r="C1380" t="s">
        <v>1810</v>
      </c>
      <c r="D1380">
        <v>3.2392333988004699E-9</v>
      </c>
      <c r="E1380" t="s">
        <v>94</v>
      </c>
      <c r="H1380" t="s">
        <v>588</v>
      </c>
      <c r="I1380">
        <v>3.2392333988004699E-9</v>
      </c>
      <c r="J1380">
        <v>1</v>
      </c>
      <c r="N1380" t="s">
        <v>2859</v>
      </c>
      <c r="O1380" t="s">
        <v>1756</v>
      </c>
      <c r="Q1380" t="s">
        <v>595</v>
      </c>
    </row>
    <row r="1381" spans="2:17">
      <c r="B1381" t="s">
        <v>2858</v>
      </c>
      <c r="C1381" t="s">
        <v>1810</v>
      </c>
      <c r="D1381">
        <v>1.67404807306146E-7</v>
      </c>
      <c r="E1381" t="s">
        <v>94</v>
      </c>
      <c r="H1381" t="s">
        <v>588</v>
      </c>
      <c r="I1381">
        <v>1.67404807306146E-7</v>
      </c>
      <c r="J1381">
        <v>1</v>
      </c>
      <c r="N1381" t="s">
        <v>2859</v>
      </c>
      <c r="O1381" t="s">
        <v>1756</v>
      </c>
      <c r="Q1381" t="s">
        <v>595</v>
      </c>
    </row>
    <row r="1382" spans="2:17">
      <c r="B1382" t="s">
        <v>2858</v>
      </c>
      <c r="C1382" t="s">
        <v>1810</v>
      </c>
      <c r="D1382">
        <v>3.6432231441135001E-7</v>
      </c>
      <c r="E1382" t="s">
        <v>94</v>
      </c>
      <c r="H1382" t="s">
        <v>588</v>
      </c>
      <c r="I1382">
        <v>3.6432231441135001E-7</v>
      </c>
      <c r="J1382">
        <v>1</v>
      </c>
      <c r="N1382" t="s">
        <v>2859</v>
      </c>
      <c r="O1382" t="s">
        <v>1756</v>
      </c>
      <c r="Q1382" t="s">
        <v>595</v>
      </c>
    </row>
    <row r="1383" spans="2:17">
      <c r="B1383" t="s">
        <v>2858</v>
      </c>
      <c r="C1383" t="s">
        <v>1810</v>
      </c>
      <c r="D1383">
        <v>1.1744259828821299E-6</v>
      </c>
      <c r="E1383" t="s">
        <v>94</v>
      </c>
      <c r="H1383" t="s">
        <v>588</v>
      </c>
      <c r="I1383">
        <v>1.1744259828821299E-6</v>
      </c>
      <c r="J1383">
        <v>1</v>
      </c>
      <c r="N1383" t="s">
        <v>2859</v>
      </c>
      <c r="O1383" t="s">
        <v>1756</v>
      </c>
      <c r="Q1383" t="s">
        <v>595</v>
      </c>
    </row>
    <row r="1384" spans="2:17">
      <c r="B1384" t="s">
        <v>2858</v>
      </c>
      <c r="C1384" t="s">
        <v>1810</v>
      </c>
      <c r="D1384">
        <v>5.6146712245874898E-8</v>
      </c>
      <c r="E1384" t="s">
        <v>94</v>
      </c>
      <c r="H1384" t="s">
        <v>588</v>
      </c>
      <c r="I1384">
        <v>5.6146712245874898E-8</v>
      </c>
      <c r="J1384">
        <v>1</v>
      </c>
      <c r="N1384" t="s">
        <v>2859</v>
      </c>
      <c r="O1384" t="s">
        <v>1756</v>
      </c>
      <c r="Q1384" t="s">
        <v>595</v>
      </c>
    </row>
    <row r="1385" spans="2:17">
      <c r="B1385" t="s">
        <v>2858</v>
      </c>
      <c r="C1385" t="s">
        <v>1810</v>
      </c>
      <c r="D1385">
        <v>9.6703944375360908E-7</v>
      </c>
      <c r="E1385" t="s">
        <v>94</v>
      </c>
      <c r="H1385" t="s">
        <v>588</v>
      </c>
      <c r="I1385">
        <v>9.6703944375360908E-7</v>
      </c>
      <c r="J1385">
        <v>1</v>
      </c>
      <c r="N1385" t="s">
        <v>2859</v>
      </c>
      <c r="O1385" t="s">
        <v>1756</v>
      </c>
      <c r="Q1385" t="s">
        <v>595</v>
      </c>
    </row>
    <row r="1386" spans="2:17">
      <c r="B1386" t="s">
        <v>2858</v>
      </c>
      <c r="C1386" t="s">
        <v>1810</v>
      </c>
      <c r="D1386">
        <v>9.0608556460891106E-8</v>
      </c>
      <c r="E1386" t="s">
        <v>94</v>
      </c>
      <c r="H1386" t="s">
        <v>588</v>
      </c>
      <c r="I1386">
        <v>9.0608556460891106E-8</v>
      </c>
      <c r="J1386">
        <v>1</v>
      </c>
      <c r="N1386" t="s">
        <v>2859</v>
      </c>
      <c r="O1386" t="s">
        <v>1756</v>
      </c>
      <c r="Q1386" t="s">
        <v>595</v>
      </c>
    </row>
    <row r="1387" spans="2:17">
      <c r="B1387" t="s">
        <v>2858</v>
      </c>
      <c r="C1387" t="s">
        <v>1810</v>
      </c>
      <c r="D1387">
        <v>1.25377905796954E-5</v>
      </c>
      <c r="E1387" t="s">
        <v>94</v>
      </c>
      <c r="H1387" t="s">
        <v>588</v>
      </c>
      <c r="I1387">
        <v>1.25377905796954E-5</v>
      </c>
      <c r="J1387">
        <v>1.151909910168909</v>
      </c>
      <c r="N1387" t="s">
        <v>2859</v>
      </c>
      <c r="O1387" t="s">
        <v>867</v>
      </c>
      <c r="Q1387" t="s">
        <v>1763</v>
      </c>
    </row>
    <row r="1388" spans="2:17">
      <c r="B1388" t="s">
        <v>2858</v>
      </c>
      <c r="C1388" t="s">
        <v>1810</v>
      </c>
      <c r="D1388">
        <v>3.8979976131372801E-5</v>
      </c>
      <c r="E1388" t="s">
        <v>94</v>
      </c>
      <c r="N1388" t="s">
        <v>2859</v>
      </c>
      <c r="Q1388" t="s">
        <v>2862</v>
      </c>
    </row>
    <row r="1389" spans="2:17">
      <c r="B1389" t="s">
        <v>2858</v>
      </c>
      <c r="C1389" t="s">
        <v>1810</v>
      </c>
      <c r="D1389">
        <v>3.2802410928502701E-5</v>
      </c>
      <c r="E1389" t="s">
        <v>94</v>
      </c>
      <c r="H1389" t="s">
        <v>588</v>
      </c>
      <c r="I1389">
        <v>3.2802410928502701E-5</v>
      </c>
      <c r="J1389">
        <v>1.4049000000004648</v>
      </c>
      <c r="N1389" t="s">
        <v>2859</v>
      </c>
      <c r="O1389" t="s">
        <v>1758</v>
      </c>
      <c r="Q1389" t="s">
        <v>2863</v>
      </c>
    </row>
    <row r="1390" spans="2:17">
      <c r="B1390" t="s">
        <v>2858</v>
      </c>
      <c r="C1390" t="s">
        <v>1810</v>
      </c>
      <c r="D1390">
        <v>7.0633283834954801E-9</v>
      </c>
      <c r="E1390" t="s">
        <v>94</v>
      </c>
      <c r="H1390" t="s">
        <v>588</v>
      </c>
      <c r="I1390">
        <v>7.0633283834954801E-9</v>
      </c>
      <c r="J1390">
        <v>1</v>
      </c>
      <c r="N1390" t="s">
        <v>2859</v>
      </c>
      <c r="O1390" t="s">
        <v>1756</v>
      </c>
      <c r="Q1390" t="s">
        <v>595</v>
      </c>
    </row>
    <row r="1391" spans="2:17">
      <c r="B1391" t="s">
        <v>2858</v>
      </c>
      <c r="C1391" t="s">
        <v>1810</v>
      </c>
      <c r="D1391">
        <v>6.9188102614918403E-6</v>
      </c>
      <c r="E1391" t="s">
        <v>94</v>
      </c>
      <c r="H1391" t="s">
        <v>588</v>
      </c>
      <c r="I1391">
        <v>6.9188102614918403E-6</v>
      </c>
      <c r="J1391">
        <v>1</v>
      </c>
      <c r="N1391" t="s">
        <v>2859</v>
      </c>
      <c r="O1391" t="s">
        <v>1756</v>
      </c>
      <c r="Q1391" t="s">
        <v>595</v>
      </c>
    </row>
    <row r="1392" spans="2:17">
      <c r="B1392" t="s">
        <v>2858</v>
      </c>
      <c r="C1392" t="s">
        <v>1810</v>
      </c>
      <c r="D1392">
        <v>7.7574298018678094E-6</v>
      </c>
      <c r="E1392" t="s">
        <v>94</v>
      </c>
      <c r="H1392" t="s">
        <v>588</v>
      </c>
      <c r="I1392">
        <v>7.7574298018678094E-6</v>
      </c>
      <c r="J1392">
        <v>1.151909910168909</v>
      </c>
      <c r="N1392" t="s">
        <v>2864</v>
      </c>
      <c r="O1392" t="s">
        <v>867</v>
      </c>
      <c r="Q1392" t="s">
        <v>1763</v>
      </c>
    </row>
    <row r="1393" spans="2:17">
      <c r="B1393" t="s">
        <v>2858</v>
      </c>
      <c r="C1393" t="s">
        <v>1810</v>
      </c>
      <c r="D1393">
        <v>4.6114086580145703E-8</v>
      </c>
      <c r="E1393" t="s">
        <v>94</v>
      </c>
      <c r="H1393" t="s">
        <v>588</v>
      </c>
      <c r="I1393">
        <v>4.6114086580145703E-8</v>
      </c>
      <c r="J1393">
        <v>1</v>
      </c>
      <c r="N1393" t="s">
        <v>2859</v>
      </c>
      <c r="O1393" t="s">
        <v>1756</v>
      </c>
      <c r="Q1393" t="s">
        <v>595</v>
      </c>
    </row>
    <row r="1394" spans="2:17">
      <c r="B1394" t="s">
        <v>2858</v>
      </c>
      <c r="C1394" t="s">
        <v>1810</v>
      </c>
      <c r="D1394">
        <v>7.3575587505531902E-8</v>
      </c>
      <c r="E1394" t="s">
        <v>94</v>
      </c>
      <c r="H1394" t="s">
        <v>588</v>
      </c>
      <c r="I1394">
        <v>7.3575587505531902E-8</v>
      </c>
      <c r="J1394">
        <v>1</v>
      </c>
      <c r="N1394" t="s">
        <v>2859</v>
      </c>
      <c r="O1394" t="s">
        <v>1756</v>
      </c>
      <c r="Q1394" t="s">
        <v>595</v>
      </c>
    </row>
    <row r="1395" spans="2:17">
      <c r="B1395" t="s">
        <v>2858</v>
      </c>
      <c r="C1395" t="s">
        <v>1810</v>
      </c>
      <c r="D1395">
        <v>6.8796496153210699E-8</v>
      </c>
      <c r="E1395" t="s">
        <v>94</v>
      </c>
      <c r="H1395" t="s">
        <v>588</v>
      </c>
      <c r="I1395">
        <v>6.8796496153210699E-8</v>
      </c>
      <c r="J1395">
        <v>1</v>
      </c>
      <c r="N1395" t="s">
        <v>2859</v>
      </c>
      <c r="O1395" t="s">
        <v>1756</v>
      </c>
      <c r="Q1395" t="s">
        <v>595</v>
      </c>
    </row>
    <row r="1396" spans="2:17">
      <c r="B1396" t="s">
        <v>2858</v>
      </c>
      <c r="C1396" t="s">
        <v>1810</v>
      </c>
      <c r="D1396">
        <v>5.5336903896174801E-8</v>
      </c>
      <c r="E1396" t="s">
        <v>94</v>
      </c>
      <c r="H1396" t="s">
        <v>588</v>
      </c>
      <c r="I1396">
        <v>5.5336903896174801E-8</v>
      </c>
      <c r="J1396">
        <v>1</v>
      </c>
      <c r="N1396" t="s">
        <v>2859</v>
      </c>
      <c r="O1396" t="s">
        <v>1756</v>
      </c>
      <c r="Q1396" t="s">
        <v>595</v>
      </c>
    </row>
    <row r="1397" spans="2:17">
      <c r="B1397" t="s">
        <v>2858</v>
      </c>
      <c r="C1397" t="s">
        <v>1810</v>
      </c>
      <c r="D1397">
        <v>3.0804209835537298E-7</v>
      </c>
      <c r="E1397" t="s">
        <v>94</v>
      </c>
      <c r="H1397" t="s">
        <v>588</v>
      </c>
      <c r="I1397">
        <v>3.0804209835537298E-7</v>
      </c>
      <c r="J1397">
        <v>1</v>
      </c>
      <c r="N1397" t="s">
        <v>2859</v>
      </c>
      <c r="O1397" t="s">
        <v>1756</v>
      </c>
      <c r="Q1397" t="s">
        <v>595</v>
      </c>
    </row>
    <row r="1398" spans="2:17">
      <c r="B1398" t="s">
        <v>2858</v>
      </c>
      <c r="C1398" t="s">
        <v>1810</v>
      </c>
      <c r="D1398">
        <v>1.7811284758126501E-7</v>
      </c>
      <c r="E1398" t="s">
        <v>94</v>
      </c>
      <c r="H1398" t="s">
        <v>588</v>
      </c>
      <c r="I1398">
        <v>1.7811284758126501E-7</v>
      </c>
      <c r="J1398">
        <v>1</v>
      </c>
      <c r="N1398" t="s">
        <v>2859</v>
      </c>
      <c r="O1398" t="s">
        <v>1756</v>
      </c>
      <c r="Q1398" t="s">
        <v>595</v>
      </c>
    </row>
    <row r="1399" spans="2:17">
      <c r="B1399" t="s">
        <v>2858</v>
      </c>
      <c r="C1399" t="s">
        <v>1810</v>
      </c>
      <c r="D1399">
        <v>1.5881241524674501E-8</v>
      </c>
      <c r="E1399" t="s">
        <v>94</v>
      </c>
      <c r="H1399" t="s">
        <v>588</v>
      </c>
      <c r="I1399">
        <v>1.5881241524674501E-8</v>
      </c>
      <c r="J1399">
        <v>1</v>
      </c>
      <c r="N1399" t="s">
        <v>2859</v>
      </c>
      <c r="O1399" t="s">
        <v>1756</v>
      </c>
      <c r="Q1399" t="s">
        <v>595</v>
      </c>
    </row>
    <row r="1400" spans="2:17">
      <c r="B1400" t="s">
        <v>2858</v>
      </c>
      <c r="C1400" t="s">
        <v>1810</v>
      </c>
      <c r="D1400">
        <v>8.1880622025234206E-9</v>
      </c>
      <c r="E1400" t="s">
        <v>94</v>
      </c>
      <c r="H1400" t="s">
        <v>588</v>
      </c>
      <c r="I1400">
        <v>8.1880622025234206E-9</v>
      </c>
      <c r="J1400">
        <v>1</v>
      </c>
      <c r="N1400" t="s">
        <v>2859</v>
      </c>
      <c r="O1400" t="s">
        <v>1756</v>
      </c>
      <c r="Q1400" t="s">
        <v>595</v>
      </c>
    </row>
    <row r="1401" spans="2:17">
      <c r="B1401" t="s">
        <v>2858</v>
      </c>
      <c r="C1401" t="s">
        <v>1810</v>
      </c>
      <c r="D1401">
        <v>1.7827265959701601E-6</v>
      </c>
      <c r="E1401" t="s">
        <v>94</v>
      </c>
      <c r="H1401" t="s">
        <v>588</v>
      </c>
      <c r="I1401">
        <v>1.7827265959701601E-6</v>
      </c>
      <c r="J1401">
        <v>1</v>
      </c>
      <c r="N1401" t="s">
        <v>2859</v>
      </c>
      <c r="O1401" t="s">
        <v>1756</v>
      </c>
      <c r="Q1401" t="s">
        <v>595</v>
      </c>
    </row>
    <row r="1402" spans="2:17">
      <c r="B1402" t="s">
        <v>2858</v>
      </c>
      <c r="C1402" t="s">
        <v>1810</v>
      </c>
      <c r="D1402">
        <v>3.2304441671942397E-8</v>
      </c>
      <c r="E1402" t="s">
        <v>94</v>
      </c>
      <c r="H1402" t="s">
        <v>588</v>
      </c>
      <c r="I1402">
        <v>3.2304441671942397E-8</v>
      </c>
      <c r="J1402">
        <v>1</v>
      </c>
      <c r="N1402" t="s">
        <v>2859</v>
      </c>
      <c r="O1402" t="s">
        <v>1756</v>
      </c>
      <c r="Q1402" t="s">
        <v>595</v>
      </c>
    </row>
    <row r="1403" spans="2:17">
      <c r="B1403" t="s">
        <v>2858</v>
      </c>
      <c r="C1403" t="s">
        <v>1810</v>
      </c>
      <c r="D1403">
        <v>6.3589705201183403E-7</v>
      </c>
      <c r="E1403" t="s">
        <v>94</v>
      </c>
      <c r="H1403" t="s">
        <v>588</v>
      </c>
      <c r="I1403">
        <v>6.3589705201183403E-7</v>
      </c>
      <c r="J1403">
        <v>1.1051709180756477</v>
      </c>
      <c r="N1403" t="s">
        <v>2859</v>
      </c>
      <c r="O1403" t="s">
        <v>855</v>
      </c>
      <c r="Q1403" t="s">
        <v>595</v>
      </c>
    </row>
    <row r="1404" spans="2:17">
      <c r="B1404" t="s">
        <v>2858</v>
      </c>
      <c r="C1404" t="s">
        <v>1810</v>
      </c>
      <c r="D1404">
        <v>4.4089565705895298E-9</v>
      </c>
      <c r="E1404" t="s">
        <v>94</v>
      </c>
      <c r="H1404" t="s">
        <v>588</v>
      </c>
      <c r="I1404">
        <v>4.4089565705895298E-9</v>
      </c>
      <c r="J1404">
        <v>1</v>
      </c>
      <c r="N1404" t="s">
        <v>2859</v>
      </c>
      <c r="O1404" t="s">
        <v>1756</v>
      </c>
      <c r="Q1404" t="s">
        <v>595</v>
      </c>
    </row>
    <row r="1405" spans="2:17">
      <c r="B1405" t="s">
        <v>2858</v>
      </c>
      <c r="C1405" t="s">
        <v>1810</v>
      </c>
      <c r="D1405">
        <v>3.1042653405171203E-8</v>
      </c>
      <c r="E1405" t="s">
        <v>94</v>
      </c>
      <c r="H1405" t="s">
        <v>588</v>
      </c>
      <c r="I1405">
        <v>3.1042653405171203E-8</v>
      </c>
      <c r="J1405">
        <v>1</v>
      </c>
      <c r="N1405" t="s">
        <v>2859</v>
      </c>
      <c r="O1405" t="s">
        <v>1756</v>
      </c>
      <c r="Q1405" t="s">
        <v>595</v>
      </c>
    </row>
    <row r="1406" spans="2:17">
      <c r="B1406" t="s">
        <v>2858</v>
      </c>
      <c r="C1406" t="s">
        <v>1810</v>
      </c>
      <c r="D1406">
        <v>1.2423251334333401E-6</v>
      </c>
      <c r="E1406" t="s">
        <v>94</v>
      </c>
      <c r="H1406" t="s">
        <v>588</v>
      </c>
      <c r="I1406">
        <v>1.2423251334333401E-6</v>
      </c>
      <c r="J1406">
        <v>1</v>
      </c>
      <c r="N1406" t="s">
        <v>2859</v>
      </c>
      <c r="O1406" t="s">
        <v>1756</v>
      </c>
      <c r="Q1406" t="s">
        <v>595</v>
      </c>
    </row>
    <row r="1407" spans="2:17">
      <c r="B1407" t="s">
        <v>2858</v>
      </c>
      <c r="C1407" t="s">
        <v>1810</v>
      </c>
      <c r="D1407">
        <v>4.3690760310633202E-7</v>
      </c>
      <c r="E1407" t="s">
        <v>94</v>
      </c>
      <c r="H1407" t="s">
        <v>588</v>
      </c>
      <c r="I1407">
        <v>4.3690760310633202E-7</v>
      </c>
      <c r="J1407">
        <v>1</v>
      </c>
      <c r="N1407" t="s">
        <v>2859</v>
      </c>
      <c r="O1407" t="s">
        <v>1756</v>
      </c>
      <c r="Q1407" t="s">
        <v>595</v>
      </c>
    </row>
    <row r="1408" spans="2:17">
      <c r="B1408" t="s">
        <v>2858</v>
      </c>
      <c r="C1408" t="s">
        <v>1810</v>
      </c>
      <c r="D1408">
        <v>9.2219175289739104E-7</v>
      </c>
      <c r="E1408" t="s">
        <v>94</v>
      </c>
      <c r="H1408" t="s">
        <v>588</v>
      </c>
      <c r="I1408">
        <v>9.2219175289739104E-7</v>
      </c>
      <c r="J1408">
        <v>1</v>
      </c>
      <c r="N1408" t="s">
        <v>2859</v>
      </c>
      <c r="O1408" t="s">
        <v>1756</v>
      </c>
      <c r="Q1408" t="s">
        <v>595</v>
      </c>
    </row>
    <row r="1409" spans="2:17">
      <c r="B1409" t="s">
        <v>2858</v>
      </c>
      <c r="C1409" t="s">
        <v>1810</v>
      </c>
      <c r="D1409">
        <v>1.8594994974744601E-7</v>
      </c>
      <c r="E1409" t="s">
        <v>94</v>
      </c>
      <c r="H1409" t="s">
        <v>588</v>
      </c>
      <c r="I1409">
        <v>1.8594994974744601E-7</v>
      </c>
      <c r="J1409">
        <v>1</v>
      </c>
      <c r="N1409" t="s">
        <v>2859</v>
      </c>
      <c r="O1409" t="s">
        <v>1756</v>
      </c>
      <c r="Q1409" t="s">
        <v>595</v>
      </c>
    </row>
    <row r="1410" spans="2:17">
      <c r="B1410" t="s">
        <v>2858</v>
      </c>
      <c r="C1410" t="s">
        <v>1810</v>
      </c>
      <c r="D1410">
        <v>6.2985093865564795E-8</v>
      </c>
      <c r="E1410" t="s">
        <v>94</v>
      </c>
      <c r="H1410" t="s">
        <v>588</v>
      </c>
      <c r="I1410">
        <v>6.2985093865564795E-8</v>
      </c>
      <c r="J1410">
        <v>1</v>
      </c>
      <c r="N1410" t="s">
        <v>2859</v>
      </c>
      <c r="O1410" t="s">
        <v>1756</v>
      </c>
      <c r="Q1410" t="s">
        <v>595</v>
      </c>
    </row>
    <row r="1411" spans="2:17">
      <c r="B1411" t="s">
        <v>2858</v>
      </c>
      <c r="C1411" t="s">
        <v>1810</v>
      </c>
      <c r="D1411">
        <v>2.4609175960331401E-8</v>
      </c>
      <c r="E1411" t="s">
        <v>94</v>
      </c>
      <c r="H1411" t="s">
        <v>588</v>
      </c>
      <c r="I1411">
        <v>2.4609175960331401E-8</v>
      </c>
      <c r="J1411">
        <v>1</v>
      </c>
      <c r="N1411" t="s">
        <v>2859</v>
      </c>
      <c r="O1411" t="s">
        <v>1756</v>
      </c>
      <c r="Q1411" t="s">
        <v>595</v>
      </c>
    </row>
    <row r="1412" spans="2:17">
      <c r="B1412" t="s">
        <v>2858</v>
      </c>
      <c r="C1412" t="s">
        <v>1810</v>
      </c>
      <c r="D1412">
        <v>1.56756306162432E-6</v>
      </c>
      <c r="E1412" t="s">
        <v>94</v>
      </c>
      <c r="H1412" t="s">
        <v>588</v>
      </c>
      <c r="I1412">
        <v>1.56756306162432E-6</v>
      </c>
      <c r="J1412">
        <v>1</v>
      </c>
      <c r="N1412" t="s">
        <v>2859</v>
      </c>
      <c r="O1412" t="s">
        <v>1756</v>
      </c>
      <c r="Q1412" t="s">
        <v>595</v>
      </c>
    </row>
    <row r="1413" spans="2:17">
      <c r="B1413" t="s">
        <v>2858</v>
      </c>
      <c r="C1413" t="s">
        <v>1810</v>
      </c>
      <c r="D1413">
        <v>1.7635826282358101E-7</v>
      </c>
      <c r="E1413" t="s">
        <v>94</v>
      </c>
      <c r="H1413" t="s">
        <v>588</v>
      </c>
      <c r="I1413">
        <v>1.7635826282358101E-7</v>
      </c>
      <c r="J1413">
        <v>1</v>
      </c>
      <c r="N1413" t="s">
        <v>2859</v>
      </c>
      <c r="O1413" t="s">
        <v>1756</v>
      </c>
      <c r="Q1413" t="s">
        <v>595</v>
      </c>
    </row>
    <row r="1414" spans="2:17">
      <c r="B1414" t="s">
        <v>2858</v>
      </c>
      <c r="C1414" t="s">
        <v>1810</v>
      </c>
      <c r="D1414">
        <v>1.07341976487052E-4</v>
      </c>
      <c r="E1414" t="s">
        <v>94</v>
      </c>
      <c r="H1414" t="s">
        <v>588</v>
      </c>
      <c r="I1414">
        <v>1.07341976487052E-4</v>
      </c>
      <c r="J1414">
        <v>1</v>
      </c>
      <c r="N1414" t="s">
        <v>2859</v>
      </c>
      <c r="O1414" t="s">
        <v>1756</v>
      </c>
      <c r="Q1414" t="s">
        <v>595</v>
      </c>
    </row>
    <row r="1415" spans="2:17">
      <c r="B1415" t="s">
        <v>2858</v>
      </c>
      <c r="C1415" t="s">
        <v>1810</v>
      </c>
      <c r="D1415">
        <v>7.7381686749122394E-8</v>
      </c>
      <c r="E1415" t="s">
        <v>94</v>
      </c>
      <c r="H1415" t="s">
        <v>588</v>
      </c>
      <c r="I1415">
        <v>7.7381686749122394E-8</v>
      </c>
      <c r="J1415">
        <v>1</v>
      </c>
      <c r="N1415" t="s">
        <v>2859</v>
      </c>
      <c r="O1415" t="s">
        <v>1756</v>
      </c>
      <c r="Q1415" t="s">
        <v>595</v>
      </c>
    </row>
    <row r="1416" spans="2:17">
      <c r="B1416" t="s">
        <v>2858</v>
      </c>
      <c r="C1416" t="s">
        <v>1810</v>
      </c>
      <c r="D1416">
        <v>3.0740979598695198E-5</v>
      </c>
      <c r="E1416" t="s">
        <v>94</v>
      </c>
      <c r="H1416" t="s">
        <v>588</v>
      </c>
      <c r="I1416">
        <v>3.0740979598695198E-5</v>
      </c>
      <c r="J1416">
        <v>1</v>
      </c>
      <c r="N1416" t="s">
        <v>2859</v>
      </c>
      <c r="O1416" t="s">
        <v>1756</v>
      </c>
      <c r="Q1416" t="s">
        <v>595</v>
      </c>
    </row>
    <row r="1417" spans="2:17">
      <c r="B1417" t="s">
        <v>2858</v>
      </c>
      <c r="C1417" t="s">
        <v>1810</v>
      </c>
      <c r="D1417">
        <v>9.9516448307592404E-8</v>
      </c>
      <c r="E1417" t="s">
        <v>94</v>
      </c>
      <c r="H1417" t="s">
        <v>588</v>
      </c>
      <c r="I1417">
        <v>9.9516448307592404E-8</v>
      </c>
      <c r="J1417">
        <v>1</v>
      </c>
      <c r="N1417" t="s">
        <v>2859</v>
      </c>
      <c r="O1417" t="s">
        <v>1756</v>
      </c>
      <c r="Q1417" t="s">
        <v>595</v>
      </c>
    </row>
    <row r="1418" spans="2:17">
      <c r="B1418" t="s">
        <v>2858</v>
      </c>
      <c r="C1418" t="s">
        <v>1810</v>
      </c>
      <c r="D1418">
        <v>7.0700862930785098E-7</v>
      </c>
      <c r="E1418" t="s">
        <v>94</v>
      </c>
      <c r="H1418" t="s">
        <v>588</v>
      </c>
      <c r="I1418">
        <v>7.0700862930785098E-7</v>
      </c>
      <c r="J1418">
        <v>1</v>
      </c>
      <c r="N1418" t="s">
        <v>2859</v>
      </c>
      <c r="O1418" t="s">
        <v>1756</v>
      </c>
      <c r="Q1418" t="s">
        <v>595</v>
      </c>
    </row>
    <row r="1419" spans="2:17">
      <c r="B1419" t="s">
        <v>2858</v>
      </c>
      <c r="C1419" t="s">
        <v>1810</v>
      </c>
      <c r="D1419">
        <v>5.0051943578133003E-8</v>
      </c>
      <c r="E1419" t="s">
        <v>94</v>
      </c>
      <c r="H1419" t="s">
        <v>588</v>
      </c>
      <c r="I1419">
        <v>5.0051943578133003E-8</v>
      </c>
      <c r="J1419">
        <v>1</v>
      </c>
      <c r="N1419" t="s">
        <v>2859</v>
      </c>
      <c r="O1419" t="s">
        <v>1756</v>
      </c>
      <c r="Q1419" t="s">
        <v>595</v>
      </c>
    </row>
    <row r="1420" spans="2:17">
      <c r="B1420" t="s">
        <v>2858</v>
      </c>
      <c r="C1420" t="s">
        <v>1810</v>
      </c>
      <c r="D1420">
        <v>1.3690260045208099E-7</v>
      </c>
      <c r="E1420" t="s">
        <v>94</v>
      </c>
      <c r="H1420" t="s">
        <v>588</v>
      </c>
      <c r="I1420">
        <v>1.3690260045208099E-7</v>
      </c>
      <c r="J1420">
        <v>1</v>
      </c>
      <c r="N1420" t="s">
        <v>2859</v>
      </c>
      <c r="O1420" t="s">
        <v>1756</v>
      </c>
      <c r="Q1420" t="s">
        <v>595</v>
      </c>
    </row>
    <row r="1421" spans="2:17">
      <c r="B1421" t="s">
        <v>2858</v>
      </c>
      <c r="C1421" t="s">
        <v>1810</v>
      </c>
      <c r="D1421">
        <v>9.0452361802467998E-5</v>
      </c>
      <c r="E1421" t="s">
        <v>94</v>
      </c>
      <c r="H1421" t="s">
        <v>588</v>
      </c>
      <c r="I1421">
        <v>9.0452361802467998E-5</v>
      </c>
      <c r="J1421">
        <v>1</v>
      </c>
      <c r="N1421" t="s">
        <v>2859</v>
      </c>
      <c r="O1421" t="s">
        <v>1756</v>
      </c>
      <c r="Q1421" t="s">
        <v>2721</v>
      </c>
    </row>
    <row r="1422" spans="2:17">
      <c r="B1422" t="s">
        <v>2858</v>
      </c>
      <c r="C1422" t="s">
        <v>1810</v>
      </c>
      <c r="D1422">
        <v>1.6142179770689E-7</v>
      </c>
      <c r="E1422" t="s">
        <v>94</v>
      </c>
      <c r="H1422" t="s">
        <v>588</v>
      </c>
      <c r="I1422">
        <v>1.6142179770689E-7</v>
      </c>
      <c r="J1422">
        <v>1</v>
      </c>
      <c r="N1422" t="s">
        <v>2859</v>
      </c>
      <c r="O1422" t="s">
        <v>1756</v>
      </c>
      <c r="Q1422" t="s">
        <v>595</v>
      </c>
    </row>
    <row r="1423" spans="2:17">
      <c r="B1423" t="s">
        <v>2858</v>
      </c>
      <c r="C1423" t="s">
        <v>1810</v>
      </c>
      <c r="D1423">
        <v>1.94678460787849E-6</v>
      </c>
      <c r="E1423" t="s">
        <v>94</v>
      </c>
      <c r="H1423" t="s">
        <v>588</v>
      </c>
      <c r="I1423">
        <v>1.94678460787849E-6</v>
      </c>
      <c r="J1423">
        <v>1.151909910168909</v>
      </c>
      <c r="N1423" t="s">
        <v>2859</v>
      </c>
      <c r="O1423" t="s">
        <v>867</v>
      </c>
      <c r="Q1423" t="s">
        <v>1763</v>
      </c>
    </row>
    <row r="1424" spans="2:17">
      <c r="B1424" t="s">
        <v>2858</v>
      </c>
      <c r="C1424" t="s">
        <v>1810</v>
      </c>
      <c r="D1424">
        <v>1.934278297641E-7</v>
      </c>
      <c r="E1424" t="s">
        <v>94</v>
      </c>
      <c r="H1424" t="s">
        <v>588</v>
      </c>
      <c r="I1424">
        <v>1.934278297641E-7</v>
      </c>
      <c r="J1424">
        <v>1</v>
      </c>
      <c r="N1424" t="s">
        <v>2859</v>
      </c>
      <c r="O1424" t="s">
        <v>1756</v>
      </c>
      <c r="Q1424" t="s">
        <v>595</v>
      </c>
    </row>
    <row r="1425" spans="2:17">
      <c r="B1425" t="s">
        <v>2858</v>
      </c>
      <c r="C1425" t="s">
        <v>1810</v>
      </c>
      <c r="D1425">
        <v>2.6930626562805103E-7</v>
      </c>
      <c r="E1425" t="s">
        <v>94</v>
      </c>
      <c r="H1425" t="s">
        <v>588</v>
      </c>
      <c r="I1425">
        <v>2.6930626562805103E-7</v>
      </c>
      <c r="J1425">
        <v>1</v>
      </c>
      <c r="N1425" t="s">
        <v>2859</v>
      </c>
      <c r="O1425" t="s">
        <v>1756</v>
      </c>
      <c r="Q1425" t="s">
        <v>595</v>
      </c>
    </row>
    <row r="1426" spans="2:17">
      <c r="B1426" t="s">
        <v>2865</v>
      </c>
      <c r="C1426" t="s">
        <v>1810</v>
      </c>
      <c r="D1426">
        <v>6.5108202011330399E-10</v>
      </c>
      <c r="E1426" t="s">
        <v>94</v>
      </c>
      <c r="H1426" t="s">
        <v>588</v>
      </c>
      <c r="I1426">
        <v>6.5108202011330399E-10</v>
      </c>
      <c r="J1426">
        <v>1</v>
      </c>
      <c r="N1426" t="s">
        <v>2866</v>
      </c>
      <c r="O1426" t="s">
        <v>1756</v>
      </c>
      <c r="Q1426" t="s">
        <v>2620</v>
      </c>
    </row>
    <row r="1427" spans="2:17">
      <c r="B1427" t="s">
        <v>2865</v>
      </c>
      <c r="C1427" t="s">
        <v>1810</v>
      </c>
      <c r="D1427">
        <v>3.84730284612407E-10</v>
      </c>
      <c r="E1427" t="s">
        <v>94</v>
      </c>
      <c r="H1427" t="s">
        <v>588</v>
      </c>
      <c r="I1427">
        <v>3.84730284612407E-10</v>
      </c>
      <c r="J1427">
        <v>1</v>
      </c>
      <c r="N1427" t="s">
        <v>2866</v>
      </c>
      <c r="O1427" t="s">
        <v>1756</v>
      </c>
      <c r="Q1427" t="s">
        <v>2620</v>
      </c>
    </row>
    <row r="1428" spans="2:17">
      <c r="B1428" t="s">
        <v>2865</v>
      </c>
      <c r="C1428" t="s">
        <v>1810</v>
      </c>
      <c r="D1428">
        <v>2.4865684970420801E-7</v>
      </c>
      <c r="E1428" t="s">
        <v>94</v>
      </c>
      <c r="H1428" t="s">
        <v>588</v>
      </c>
      <c r="I1428">
        <v>2.4865684970420801E-7</v>
      </c>
      <c r="J1428">
        <v>1</v>
      </c>
      <c r="N1428" t="s">
        <v>2866</v>
      </c>
      <c r="O1428" t="s">
        <v>1756</v>
      </c>
      <c r="Q1428" t="s">
        <v>2620</v>
      </c>
    </row>
    <row r="1429" spans="2:17">
      <c r="B1429" t="s">
        <v>2865</v>
      </c>
      <c r="C1429" t="s">
        <v>1810</v>
      </c>
      <c r="D1429">
        <v>1.08122483352101E-5</v>
      </c>
      <c r="E1429" t="s">
        <v>94</v>
      </c>
      <c r="H1429" t="s">
        <v>588</v>
      </c>
      <c r="I1429">
        <v>1.08122483352101E-5</v>
      </c>
      <c r="J1429">
        <v>1.4049000000004648</v>
      </c>
      <c r="N1429" t="s">
        <v>2866</v>
      </c>
      <c r="O1429" t="s">
        <v>1758</v>
      </c>
      <c r="Q1429" t="s">
        <v>2867</v>
      </c>
    </row>
    <row r="1430" spans="2:17">
      <c r="B1430" t="s">
        <v>2865</v>
      </c>
      <c r="C1430" t="s">
        <v>1810</v>
      </c>
      <c r="D1430">
        <v>1.10689081676021E-6</v>
      </c>
      <c r="E1430" t="s">
        <v>94</v>
      </c>
      <c r="H1430" t="s">
        <v>588</v>
      </c>
      <c r="I1430">
        <v>1.10689081676021E-6</v>
      </c>
      <c r="J1430">
        <v>1</v>
      </c>
      <c r="N1430" t="s">
        <v>2866</v>
      </c>
      <c r="O1430" t="s">
        <v>1756</v>
      </c>
      <c r="Q1430" t="s">
        <v>2620</v>
      </c>
    </row>
    <row r="1431" spans="2:17">
      <c r="B1431" t="s">
        <v>2865</v>
      </c>
      <c r="C1431" t="s">
        <v>1810</v>
      </c>
      <c r="D1431">
        <v>4.98490773253169E-7</v>
      </c>
      <c r="E1431" t="s">
        <v>94</v>
      </c>
      <c r="H1431" t="s">
        <v>588</v>
      </c>
      <c r="I1431">
        <v>4.98490773253169E-7</v>
      </c>
      <c r="J1431">
        <v>1</v>
      </c>
      <c r="N1431" t="s">
        <v>2866</v>
      </c>
      <c r="O1431" t="s">
        <v>1756</v>
      </c>
      <c r="Q1431" t="s">
        <v>2620</v>
      </c>
    </row>
    <row r="1432" spans="2:17">
      <c r="B1432" t="s">
        <v>2865</v>
      </c>
      <c r="C1432" t="s">
        <v>1810</v>
      </c>
      <c r="D1432">
        <v>9.6314067346967107E-7</v>
      </c>
      <c r="E1432" t="s">
        <v>94</v>
      </c>
      <c r="H1432" t="s">
        <v>588</v>
      </c>
      <c r="I1432">
        <v>9.6314067346967107E-7</v>
      </c>
      <c r="J1432">
        <v>1</v>
      </c>
      <c r="N1432" t="s">
        <v>2866</v>
      </c>
      <c r="O1432" t="s">
        <v>1756</v>
      </c>
      <c r="Q1432" t="s">
        <v>2620</v>
      </c>
    </row>
    <row r="1433" spans="2:17">
      <c r="B1433" t="s">
        <v>2865</v>
      </c>
      <c r="C1433" t="s">
        <v>1810</v>
      </c>
      <c r="D1433">
        <v>8.2864984378056896E-10</v>
      </c>
      <c r="E1433" t="s">
        <v>94</v>
      </c>
      <c r="H1433" t="s">
        <v>588</v>
      </c>
      <c r="I1433">
        <v>8.2864984378056896E-10</v>
      </c>
      <c r="J1433">
        <v>1</v>
      </c>
      <c r="N1433" t="s">
        <v>2866</v>
      </c>
      <c r="O1433" t="s">
        <v>1756</v>
      </c>
      <c r="Q1433" t="s">
        <v>2620</v>
      </c>
    </row>
    <row r="1434" spans="2:17">
      <c r="B1434" t="s">
        <v>2865</v>
      </c>
      <c r="C1434" t="s">
        <v>1810</v>
      </c>
      <c r="D1434">
        <v>1.25185315685422E-8</v>
      </c>
      <c r="E1434" t="s">
        <v>94</v>
      </c>
      <c r="H1434" t="s">
        <v>588</v>
      </c>
      <c r="I1434">
        <v>1.25185315685422E-8</v>
      </c>
      <c r="J1434">
        <v>1</v>
      </c>
      <c r="N1434" t="s">
        <v>2866</v>
      </c>
      <c r="O1434" t="s">
        <v>1756</v>
      </c>
      <c r="Q1434" t="s">
        <v>2620</v>
      </c>
    </row>
    <row r="1435" spans="2:17">
      <c r="B1435" t="s">
        <v>2865</v>
      </c>
      <c r="C1435" t="s">
        <v>1810</v>
      </c>
      <c r="D1435">
        <v>4.9482233528611101E-9</v>
      </c>
      <c r="E1435" t="s">
        <v>94</v>
      </c>
      <c r="H1435" t="s">
        <v>588</v>
      </c>
      <c r="I1435">
        <v>4.9482233528611101E-9</v>
      </c>
      <c r="J1435">
        <v>1</v>
      </c>
      <c r="N1435" t="s">
        <v>2866</v>
      </c>
      <c r="O1435" t="s">
        <v>1756</v>
      </c>
      <c r="Q1435" t="s">
        <v>2620</v>
      </c>
    </row>
    <row r="1436" spans="2:17">
      <c r="B1436" t="s">
        <v>2865</v>
      </c>
      <c r="C1436" t="s">
        <v>1810</v>
      </c>
      <c r="D1436">
        <v>3.5017946881421002E-8</v>
      </c>
      <c r="E1436" t="s">
        <v>94</v>
      </c>
      <c r="H1436" t="s">
        <v>588</v>
      </c>
      <c r="I1436">
        <v>3.5017946881421002E-8</v>
      </c>
      <c r="J1436">
        <v>1</v>
      </c>
      <c r="N1436" t="s">
        <v>2866</v>
      </c>
      <c r="O1436" t="s">
        <v>1756</v>
      </c>
      <c r="Q1436" t="s">
        <v>2620</v>
      </c>
    </row>
    <row r="1437" spans="2:17">
      <c r="B1437" t="s">
        <v>2865</v>
      </c>
      <c r="C1437" t="s">
        <v>1810</v>
      </c>
      <c r="D1437">
        <v>5.2323318707287396E-10</v>
      </c>
      <c r="E1437" t="s">
        <v>94</v>
      </c>
      <c r="H1437" t="s">
        <v>588</v>
      </c>
      <c r="I1437">
        <v>5.2323318707287396E-10</v>
      </c>
      <c r="J1437">
        <v>1</v>
      </c>
      <c r="N1437" t="s">
        <v>2866</v>
      </c>
      <c r="O1437" t="s">
        <v>1756</v>
      </c>
      <c r="Q1437" t="s">
        <v>2620</v>
      </c>
    </row>
    <row r="1438" spans="2:17">
      <c r="B1438" t="s">
        <v>2865</v>
      </c>
      <c r="C1438" t="s">
        <v>1810</v>
      </c>
      <c r="D1438">
        <v>2.6635173550089699E-10</v>
      </c>
      <c r="E1438" t="s">
        <v>94</v>
      </c>
      <c r="H1438" t="s">
        <v>588</v>
      </c>
      <c r="I1438">
        <v>2.6635173550089699E-10</v>
      </c>
      <c r="J1438">
        <v>1</v>
      </c>
      <c r="N1438" t="s">
        <v>2866</v>
      </c>
      <c r="O1438" t="s">
        <v>1756</v>
      </c>
      <c r="Q1438" t="s">
        <v>2620</v>
      </c>
    </row>
    <row r="1439" spans="2:17">
      <c r="B1439" t="s">
        <v>2865</v>
      </c>
      <c r="C1439" t="s">
        <v>1810</v>
      </c>
      <c r="D1439">
        <v>1.69281325229459E-9</v>
      </c>
      <c r="E1439" t="s">
        <v>94</v>
      </c>
      <c r="H1439" t="s">
        <v>588</v>
      </c>
      <c r="I1439">
        <v>1.69281325229459E-9</v>
      </c>
      <c r="J1439">
        <v>1</v>
      </c>
      <c r="N1439" t="s">
        <v>2866</v>
      </c>
      <c r="O1439" t="s">
        <v>1756</v>
      </c>
      <c r="Q1439" t="s">
        <v>2620</v>
      </c>
    </row>
    <row r="1440" spans="2:17">
      <c r="B1440" t="s">
        <v>2865</v>
      </c>
      <c r="C1440" t="s">
        <v>1810</v>
      </c>
      <c r="D1440">
        <v>1.03581230472571E-9</v>
      </c>
      <c r="E1440" t="s">
        <v>94</v>
      </c>
      <c r="H1440" t="s">
        <v>588</v>
      </c>
      <c r="I1440">
        <v>1.03581230472571E-9</v>
      </c>
      <c r="J1440">
        <v>1</v>
      </c>
      <c r="N1440" t="s">
        <v>2866</v>
      </c>
      <c r="O1440" t="s">
        <v>1756</v>
      </c>
      <c r="Q1440" t="s">
        <v>2620</v>
      </c>
    </row>
    <row r="1441" spans="2:17">
      <c r="B1441" t="s">
        <v>2865</v>
      </c>
      <c r="C1441" t="s">
        <v>1810</v>
      </c>
      <c r="D1441">
        <v>2.2506721649825801E-10</v>
      </c>
      <c r="E1441" t="s">
        <v>94</v>
      </c>
      <c r="H1441" t="s">
        <v>588</v>
      </c>
      <c r="I1441">
        <v>2.2506721649825801E-10</v>
      </c>
      <c r="J1441">
        <v>1</v>
      </c>
      <c r="N1441" t="s">
        <v>2866</v>
      </c>
      <c r="O1441" t="s">
        <v>1756</v>
      </c>
      <c r="Q1441" t="s">
        <v>2620</v>
      </c>
    </row>
    <row r="1442" spans="2:17">
      <c r="B1442" t="s">
        <v>2865</v>
      </c>
      <c r="C1442" t="s">
        <v>1810</v>
      </c>
      <c r="D1442">
        <v>7.6509799908986992E-9</v>
      </c>
      <c r="E1442" t="s">
        <v>94</v>
      </c>
      <c r="H1442" t="s">
        <v>588</v>
      </c>
      <c r="I1442">
        <v>7.6509799908986992E-9</v>
      </c>
      <c r="J1442">
        <v>1</v>
      </c>
      <c r="N1442" t="s">
        <v>2866</v>
      </c>
      <c r="O1442" t="s">
        <v>1756</v>
      </c>
      <c r="Q1442" t="s">
        <v>2620</v>
      </c>
    </row>
    <row r="1443" spans="2:17">
      <c r="B1443" t="s">
        <v>2865</v>
      </c>
      <c r="C1443" t="s">
        <v>1810</v>
      </c>
      <c r="D1443">
        <v>9.1743375561420103E-10</v>
      </c>
      <c r="E1443" t="s">
        <v>94</v>
      </c>
      <c r="H1443" t="s">
        <v>588</v>
      </c>
      <c r="I1443">
        <v>9.1743375561420103E-10</v>
      </c>
      <c r="J1443">
        <v>1</v>
      </c>
      <c r="N1443" t="s">
        <v>2866</v>
      </c>
      <c r="O1443" t="s">
        <v>1756</v>
      </c>
      <c r="Q1443" t="s">
        <v>2620</v>
      </c>
    </row>
    <row r="1444" spans="2:17">
      <c r="B1444" t="s">
        <v>2865</v>
      </c>
      <c r="C1444" t="s">
        <v>1810</v>
      </c>
      <c r="D1444">
        <v>4.8072192516269797E-6</v>
      </c>
      <c r="E1444" t="s">
        <v>94</v>
      </c>
      <c r="H1444" t="s">
        <v>588</v>
      </c>
      <c r="I1444">
        <v>4.8072192516269797E-6</v>
      </c>
      <c r="J1444">
        <v>1.4049000000004648</v>
      </c>
      <c r="N1444" t="s">
        <v>2868</v>
      </c>
      <c r="O1444" t="s">
        <v>2069</v>
      </c>
      <c r="Q1444" t="s">
        <v>2869</v>
      </c>
    </row>
    <row r="1445" spans="2:17">
      <c r="B1445" t="s">
        <v>2865</v>
      </c>
      <c r="C1445" t="s">
        <v>1810</v>
      </c>
      <c r="D1445">
        <v>5.3748134436063404E-7</v>
      </c>
      <c r="E1445" t="s">
        <v>94</v>
      </c>
      <c r="H1445" t="s">
        <v>588</v>
      </c>
      <c r="I1445">
        <v>5.3748134436063404E-7</v>
      </c>
      <c r="J1445">
        <v>1</v>
      </c>
      <c r="N1445" t="s">
        <v>2866</v>
      </c>
      <c r="O1445" t="s">
        <v>1756</v>
      </c>
      <c r="Q1445" t="s">
        <v>2620</v>
      </c>
    </row>
    <row r="1446" spans="2:17">
      <c r="B1446" t="s">
        <v>2865</v>
      </c>
      <c r="C1446" t="s">
        <v>1810</v>
      </c>
      <c r="D1446">
        <v>3.61346594918881E-4</v>
      </c>
      <c r="E1446" t="s">
        <v>94</v>
      </c>
      <c r="H1446" t="s">
        <v>588</v>
      </c>
      <c r="I1446">
        <v>3.61346594918881E-4</v>
      </c>
      <c r="J1446">
        <v>1.4049000000004648</v>
      </c>
      <c r="N1446" t="s">
        <v>2866</v>
      </c>
      <c r="O1446" t="s">
        <v>1758</v>
      </c>
      <c r="Q1446" t="s">
        <v>2870</v>
      </c>
    </row>
    <row r="1447" spans="2:17">
      <c r="B1447" t="s">
        <v>2865</v>
      </c>
      <c r="C1447" t="s">
        <v>1810</v>
      </c>
      <c r="D1447">
        <v>1.5890496904174199E-6</v>
      </c>
      <c r="E1447" t="s">
        <v>94</v>
      </c>
      <c r="H1447" t="s">
        <v>588</v>
      </c>
      <c r="I1447">
        <v>1.5890496904174199E-6</v>
      </c>
      <c r="J1447">
        <v>1</v>
      </c>
      <c r="N1447" t="s">
        <v>2866</v>
      </c>
      <c r="O1447" t="s">
        <v>1756</v>
      </c>
      <c r="Q1447" t="s">
        <v>2620</v>
      </c>
    </row>
    <row r="1448" spans="2:17">
      <c r="B1448" t="s">
        <v>2865</v>
      </c>
      <c r="C1448" t="s">
        <v>1810</v>
      </c>
      <c r="D1448">
        <v>9.2694565274349704E-9</v>
      </c>
      <c r="E1448" t="s">
        <v>94</v>
      </c>
      <c r="H1448" t="s">
        <v>588</v>
      </c>
      <c r="I1448">
        <v>9.2694565274349704E-9</v>
      </c>
      <c r="J1448">
        <v>1</v>
      </c>
      <c r="N1448" t="s">
        <v>2866</v>
      </c>
      <c r="O1448" t="s">
        <v>1756</v>
      </c>
      <c r="Q1448" t="s">
        <v>2620</v>
      </c>
    </row>
    <row r="1449" spans="2:17">
      <c r="B1449" t="s">
        <v>2865</v>
      </c>
      <c r="C1449" t="s">
        <v>1810</v>
      </c>
      <c r="D1449">
        <v>6.1260899165206297E-10</v>
      </c>
      <c r="E1449" t="s">
        <v>94</v>
      </c>
      <c r="H1449" t="s">
        <v>588</v>
      </c>
      <c r="I1449">
        <v>6.1260899165206297E-10</v>
      </c>
      <c r="J1449">
        <v>1</v>
      </c>
      <c r="N1449" t="s">
        <v>2866</v>
      </c>
      <c r="O1449" t="s">
        <v>1756</v>
      </c>
      <c r="Q1449" t="s">
        <v>2620</v>
      </c>
    </row>
    <row r="1450" spans="2:17">
      <c r="B1450" t="s">
        <v>2865</v>
      </c>
      <c r="C1450" t="s">
        <v>1810</v>
      </c>
      <c r="D1450">
        <v>6.9547397603011997E-10</v>
      </c>
      <c r="E1450" t="s">
        <v>94</v>
      </c>
      <c r="H1450" t="s">
        <v>588</v>
      </c>
      <c r="I1450">
        <v>6.9547397603011997E-10</v>
      </c>
      <c r="J1450">
        <v>1</v>
      </c>
      <c r="N1450" t="s">
        <v>2866</v>
      </c>
      <c r="O1450" t="s">
        <v>1756</v>
      </c>
      <c r="Q1450" t="s">
        <v>2620</v>
      </c>
    </row>
    <row r="1451" spans="2:17">
      <c r="B1451" t="s">
        <v>2865</v>
      </c>
      <c r="C1451" t="s">
        <v>1810</v>
      </c>
      <c r="D1451">
        <v>1.03408821149217E-5</v>
      </c>
      <c r="E1451" t="s">
        <v>94</v>
      </c>
      <c r="H1451" t="s">
        <v>588</v>
      </c>
      <c r="I1451">
        <v>1.03408821149217E-5</v>
      </c>
      <c r="J1451">
        <v>1.4049000000004648</v>
      </c>
      <c r="N1451" t="s">
        <v>2866</v>
      </c>
      <c r="O1451" t="s">
        <v>1758</v>
      </c>
      <c r="Q1451" t="s">
        <v>2869</v>
      </c>
    </row>
    <row r="1452" spans="2:17">
      <c r="B1452" t="s">
        <v>2865</v>
      </c>
      <c r="C1452" t="s">
        <v>1810</v>
      </c>
      <c r="D1452">
        <v>1.4945291825328099E-9</v>
      </c>
      <c r="E1452" t="s">
        <v>94</v>
      </c>
      <c r="H1452" t="s">
        <v>588</v>
      </c>
      <c r="I1452">
        <v>1.4945291825328099E-9</v>
      </c>
      <c r="J1452">
        <v>1</v>
      </c>
      <c r="N1452" t="s">
        <v>2866</v>
      </c>
      <c r="O1452" t="s">
        <v>1756</v>
      </c>
      <c r="Q1452" t="s">
        <v>2620</v>
      </c>
    </row>
    <row r="1453" spans="2:17">
      <c r="B1453" t="s">
        <v>2865</v>
      </c>
      <c r="C1453" t="s">
        <v>1810</v>
      </c>
      <c r="D1453">
        <v>1.41101727139843E-7</v>
      </c>
      <c r="E1453" t="s">
        <v>94</v>
      </c>
      <c r="H1453" t="s">
        <v>588</v>
      </c>
      <c r="I1453">
        <v>1.41101727139843E-7</v>
      </c>
      <c r="J1453">
        <v>1</v>
      </c>
      <c r="N1453" t="s">
        <v>2866</v>
      </c>
      <c r="O1453" t="s">
        <v>1756</v>
      </c>
      <c r="Q1453" t="s">
        <v>2620</v>
      </c>
    </row>
    <row r="1454" spans="2:17">
      <c r="B1454" t="s">
        <v>2865</v>
      </c>
      <c r="C1454" t="s">
        <v>1810</v>
      </c>
      <c r="D1454">
        <v>2.02853481757483E-7</v>
      </c>
      <c r="E1454" t="s">
        <v>94</v>
      </c>
      <c r="H1454" t="s">
        <v>588</v>
      </c>
      <c r="I1454">
        <v>2.02853481757483E-7</v>
      </c>
      <c r="J1454">
        <v>1</v>
      </c>
      <c r="N1454" t="s">
        <v>2866</v>
      </c>
      <c r="O1454" t="s">
        <v>1756</v>
      </c>
      <c r="Q1454" t="s">
        <v>2620</v>
      </c>
    </row>
    <row r="1455" spans="2:17">
      <c r="B1455" t="s">
        <v>2865</v>
      </c>
      <c r="C1455" t="s">
        <v>1810</v>
      </c>
      <c r="D1455">
        <v>2.9002744532319898E-10</v>
      </c>
      <c r="E1455" t="s">
        <v>94</v>
      </c>
      <c r="H1455" t="s">
        <v>588</v>
      </c>
      <c r="I1455">
        <v>2.9002744532319898E-10</v>
      </c>
      <c r="J1455">
        <v>1</v>
      </c>
      <c r="N1455" t="s">
        <v>2866</v>
      </c>
      <c r="O1455" t="s">
        <v>1756</v>
      </c>
      <c r="Q1455" t="s">
        <v>2620</v>
      </c>
    </row>
    <row r="1456" spans="2:17">
      <c r="B1456" t="s">
        <v>2865</v>
      </c>
      <c r="C1456" t="s">
        <v>1810</v>
      </c>
      <c r="D1456">
        <v>2.27878707039656E-10</v>
      </c>
      <c r="E1456" t="s">
        <v>94</v>
      </c>
      <c r="H1456" t="s">
        <v>588</v>
      </c>
      <c r="I1456">
        <v>2.27878707039656E-10</v>
      </c>
      <c r="J1456">
        <v>1</v>
      </c>
      <c r="N1456" t="s">
        <v>2866</v>
      </c>
      <c r="O1456" t="s">
        <v>1756</v>
      </c>
      <c r="Q1456" t="s">
        <v>2620</v>
      </c>
    </row>
    <row r="1457" spans="2:17">
      <c r="B1457" t="s">
        <v>2865</v>
      </c>
      <c r="C1457" t="s">
        <v>1810</v>
      </c>
      <c r="D1457">
        <v>1.9980828514693101E-7</v>
      </c>
      <c r="E1457" t="s">
        <v>94</v>
      </c>
      <c r="H1457" t="s">
        <v>588</v>
      </c>
      <c r="I1457">
        <v>1.9980828514693101E-7</v>
      </c>
      <c r="J1457">
        <v>1</v>
      </c>
      <c r="N1457" t="s">
        <v>2866</v>
      </c>
      <c r="O1457" t="s">
        <v>1756</v>
      </c>
      <c r="Q1457" t="s">
        <v>2620</v>
      </c>
    </row>
    <row r="1458" spans="2:17">
      <c r="B1458" t="s">
        <v>2865</v>
      </c>
      <c r="C1458" t="s">
        <v>1810</v>
      </c>
      <c r="D1458">
        <v>9.2709278697409103E-7</v>
      </c>
      <c r="E1458" t="s">
        <v>94</v>
      </c>
      <c r="H1458" t="s">
        <v>588</v>
      </c>
      <c r="I1458">
        <v>9.2709278697409103E-7</v>
      </c>
      <c r="J1458">
        <v>1</v>
      </c>
      <c r="N1458" t="s">
        <v>2866</v>
      </c>
      <c r="O1458" t="s">
        <v>1756</v>
      </c>
      <c r="Q1458" t="s">
        <v>2620</v>
      </c>
    </row>
    <row r="1459" spans="2:17">
      <c r="B1459" t="s">
        <v>2865</v>
      </c>
      <c r="C1459" t="s">
        <v>1810</v>
      </c>
      <c r="D1459">
        <v>1.1956233460262501E-9</v>
      </c>
      <c r="E1459" t="s">
        <v>94</v>
      </c>
      <c r="H1459" t="s">
        <v>588</v>
      </c>
      <c r="I1459">
        <v>1.1956233460262501E-9</v>
      </c>
      <c r="J1459">
        <v>1</v>
      </c>
      <c r="N1459" t="s">
        <v>2866</v>
      </c>
      <c r="O1459" t="s">
        <v>1756</v>
      </c>
      <c r="Q1459" t="s">
        <v>2620</v>
      </c>
    </row>
    <row r="1460" spans="2:17">
      <c r="B1460" t="s">
        <v>2865</v>
      </c>
      <c r="C1460" t="s">
        <v>1810</v>
      </c>
      <c r="D1460">
        <v>1.78035361703601E-5</v>
      </c>
      <c r="E1460" t="s">
        <v>94</v>
      </c>
      <c r="H1460" t="s">
        <v>588</v>
      </c>
      <c r="I1460">
        <v>1.78035361703601E-5</v>
      </c>
      <c r="J1460">
        <v>1</v>
      </c>
      <c r="N1460" t="s">
        <v>2866</v>
      </c>
      <c r="O1460" t="s">
        <v>1756</v>
      </c>
      <c r="Q1460" t="s">
        <v>2620</v>
      </c>
    </row>
    <row r="1461" spans="2:17">
      <c r="B1461" t="s">
        <v>2865</v>
      </c>
      <c r="C1461" t="s">
        <v>1810</v>
      </c>
      <c r="D1461">
        <v>3.5606483803797798E-8</v>
      </c>
      <c r="E1461" t="s">
        <v>94</v>
      </c>
      <c r="H1461" t="s">
        <v>588</v>
      </c>
      <c r="I1461">
        <v>3.5606483803797798E-8</v>
      </c>
      <c r="J1461">
        <v>1</v>
      </c>
      <c r="N1461" t="s">
        <v>2866</v>
      </c>
      <c r="O1461" t="s">
        <v>1756</v>
      </c>
      <c r="Q1461" t="s">
        <v>2620</v>
      </c>
    </row>
    <row r="1462" spans="2:17">
      <c r="B1462" t="s">
        <v>2865</v>
      </c>
      <c r="C1462" t="s">
        <v>1810</v>
      </c>
      <c r="D1462">
        <v>9.7662303016995598E-10</v>
      </c>
      <c r="E1462" t="s">
        <v>94</v>
      </c>
      <c r="H1462" t="s">
        <v>588</v>
      </c>
      <c r="I1462">
        <v>9.7662303016995598E-10</v>
      </c>
      <c r="J1462">
        <v>1</v>
      </c>
      <c r="N1462" t="s">
        <v>2866</v>
      </c>
      <c r="O1462" t="s">
        <v>1756</v>
      </c>
      <c r="Q1462" t="s">
        <v>2620</v>
      </c>
    </row>
    <row r="1463" spans="2:17">
      <c r="B1463" t="s">
        <v>2865</v>
      </c>
      <c r="C1463" t="s">
        <v>1810</v>
      </c>
      <c r="D1463">
        <v>6.5474732614421596E-8</v>
      </c>
      <c r="E1463" t="s">
        <v>94</v>
      </c>
      <c r="H1463" t="s">
        <v>588</v>
      </c>
      <c r="I1463">
        <v>6.5474732614421596E-8</v>
      </c>
      <c r="J1463">
        <v>1</v>
      </c>
      <c r="N1463" t="s">
        <v>2866</v>
      </c>
      <c r="O1463" t="s">
        <v>1756</v>
      </c>
      <c r="Q1463" t="s">
        <v>2620</v>
      </c>
    </row>
    <row r="1464" spans="2:17">
      <c r="B1464" t="s">
        <v>2865</v>
      </c>
      <c r="C1464" t="s">
        <v>1810</v>
      </c>
      <c r="D1464">
        <v>5.6821703573524699E-9</v>
      </c>
      <c r="E1464" t="s">
        <v>94</v>
      </c>
      <c r="H1464" t="s">
        <v>588</v>
      </c>
      <c r="I1464">
        <v>5.6821703573524699E-9</v>
      </c>
      <c r="J1464">
        <v>1</v>
      </c>
      <c r="N1464" t="s">
        <v>2866</v>
      </c>
      <c r="O1464" t="s">
        <v>1756</v>
      </c>
      <c r="Q1464" t="s">
        <v>2620</v>
      </c>
    </row>
    <row r="1465" spans="2:17">
      <c r="B1465" t="s">
        <v>2865</v>
      </c>
      <c r="C1465" t="s">
        <v>1810</v>
      </c>
      <c r="D1465">
        <v>3.94319737992472E-7</v>
      </c>
      <c r="E1465" t="s">
        <v>94</v>
      </c>
      <c r="H1465" t="s">
        <v>588</v>
      </c>
      <c r="I1465">
        <v>3.94319737992472E-7</v>
      </c>
      <c r="J1465">
        <v>1</v>
      </c>
      <c r="N1465" t="s">
        <v>2866</v>
      </c>
      <c r="O1465" t="s">
        <v>1756</v>
      </c>
      <c r="Q1465" t="s">
        <v>2620</v>
      </c>
    </row>
    <row r="1466" spans="2:17">
      <c r="B1466" t="s">
        <v>2865</v>
      </c>
      <c r="C1466" t="s">
        <v>1810</v>
      </c>
      <c r="D1466">
        <v>1.4886102550772399E-9</v>
      </c>
      <c r="E1466" t="s">
        <v>94</v>
      </c>
      <c r="H1466" t="s">
        <v>588</v>
      </c>
      <c r="I1466">
        <v>1.4886102550772399E-9</v>
      </c>
      <c r="J1466">
        <v>1</v>
      </c>
      <c r="N1466" t="s">
        <v>2866</v>
      </c>
      <c r="O1466" t="s">
        <v>1756</v>
      </c>
      <c r="Q1466" t="s">
        <v>2620</v>
      </c>
    </row>
    <row r="1467" spans="2:17">
      <c r="B1467" t="s">
        <v>2865</v>
      </c>
      <c r="C1467" t="s">
        <v>1810</v>
      </c>
      <c r="D1467">
        <v>2.58953076181428E-9</v>
      </c>
      <c r="E1467" t="s">
        <v>94</v>
      </c>
      <c r="H1467" t="s">
        <v>588</v>
      </c>
      <c r="I1467">
        <v>2.58953076181428E-9</v>
      </c>
      <c r="J1467">
        <v>1</v>
      </c>
      <c r="N1467" t="s">
        <v>2866</v>
      </c>
      <c r="O1467" t="s">
        <v>1756</v>
      </c>
      <c r="Q1467" t="s">
        <v>2620</v>
      </c>
    </row>
    <row r="1468" spans="2:17">
      <c r="B1468" t="s">
        <v>2865</v>
      </c>
      <c r="C1468" t="s">
        <v>1810</v>
      </c>
      <c r="D1468">
        <v>5.74559170470374E-7</v>
      </c>
      <c r="E1468" t="s">
        <v>94</v>
      </c>
      <c r="H1468" t="s">
        <v>588</v>
      </c>
      <c r="I1468">
        <v>5.74559170470374E-7</v>
      </c>
      <c r="J1468">
        <v>1</v>
      </c>
      <c r="N1468" t="s">
        <v>2866</v>
      </c>
      <c r="O1468" t="s">
        <v>1756</v>
      </c>
      <c r="Q1468" t="s">
        <v>2620</v>
      </c>
    </row>
    <row r="1469" spans="2:17">
      <c r="B1469" t="s">
        <v>2865</v>
      </c>
      <c r="C1469" t="s">
        <v>1810</v>
      </c>
      <c r="D1469">
        <v>1.39094795206024E-10</v>
      </c>
      <c r="E1469" t="s">
        <v>94</v>
      </c>
      <c r="H1469" t="s">
        <v>588</v>
      </c>
      <c r="I1469">
        <v>1.39094795206024E-10</v>
      </c>
      <c r="J1469">
        <v>1</v>
      </c>
      <c r="N1469" t="s">
        <v>2866</v>
      </c>
      <c r="O1469" t="s">
        <v>1756</v>
      </c>
      <c r="Q1469" t="s">
        <v>2620</v>
      </c>
    </row>
    <row r="1470" spans="2:17">
      <c r="B1470" t="s">
        <v>2865</v>
      </c>
      <c r="C1470" t="s">
        <v>1810</v>
      </c>
      <c r="D1470">
        <v>1.6750564699278599E-9</v>
      </c>
      <c r="E1470" t="s">
        <v>94</v>
      </c>
      <c r="H1470" t="s">
        <v>588</v>
      </c>
      <c r="I1470">
        <v>1.6750564699278599E-9</v>
      </c>
      <c r="J1470">
        <v>1</v>
      </c>
      <c r="N1470" t="s">
        <v>2866</v>
      </c>
      <c r="O1470" t="s">
        <v>1756</v>
      </c>
      <c r="Q1470" t="s">
        <v>2620</v>
      </c>
    </row>
    <row r="1471" spans="2:17">
      <c r="B1471" t="s">
        <v>2865</v>
      </c>
      <c r="C1471" t="s">
        <v>1810</v>
      </c>
      <c r="D1471">
        <v>9.7484735193328399E-9</v>
      </c>
      <c r="E1471" t="s">
        <v>94</v>
      </c>
      <c r="H1471" t="s">
        <v>588</v>
      </c>
      <c r="I1471">
        <v>9.7484735193328399E-9</v>
      </c>
      <c r="J1471">
        <v>1</v>
      </c>
      <c r="N1471" t="s">
        <v>2866</v>
      </c>
      <c r="O1471" t="s">
        <v>1756</v>
      </c>
      <c r="Q1471" t="s">
        <v>2620</v>
      </c>
    </row>
    <row r="1472" spans="2:17">
      <c r="B1472" t="s">
        <v>2865</v>
      </c>
      <c r="C1472" t="s">
        <v>1810</v>
      </c>
      <c r="D1472">
        <v>7.2816907753553102E-6</v>
      </c>
      <c r="E1472" t="s">
        <v>94</v>
      </c>
      <c r="H1472" t="s">
        <v>588</v>
      </c>
      <c r="I1472">
        <v>7.2816907753553102E-6</v>
      </c>
      <c r="J1472">
        <v>1.4049000000004648</v>
      </c>
      <c r="N1472" t="s">
        <v>2866</v>
      </c>
      <c r="O1472" t="s">
        <v>2069</v>
      </c>
      <c r="Q1472" t="s">
        <v>2869</v>
      </c>
    </row>
    <row r="1473" spans="2:17">
      <c r="B1473" t="s">
        <v>2865</v>
      </c>
      <c r="C1473" t="s">
        <v>1810</v>
      </c>
      <c r="D1473">
        <v>3.6993296597346798E-10</v>
      </c>
      <c r="E1473" t="s">
        <v>94</v>
      </c>
      <c r="H1473" t="s">
        <v>588</v>
      </c>
      <c r="I1473">
        <v>3.6993296597346798E-10</v>
      </c>
      <c r="J1473">
        <v>1</v>
      </c>
      <c r="N1473" t="s">
        <v>2866</v>
      </c>
      <c r="O1473" t="s">
        <v>1756</v>
      </c>
      <c r="Q1473" t="s">
        <v>2620</v>
      </c>
    </row>
    <row r="1474" spans="2:17">
      <c r="B1474" t="s">
        <v>2865</v>
      </c>
      <c r="C1474" t="s">
        <v>1810</v>
      </c>
      <c r="D1474">
        <v>2.38236830086914E-9</v>
      </c>
      <c r="E1474" t="s">
        <v>94</v>
      </c>
      <c r="H1474" t="s">
        <v>588</v>
      </c>
      <c r="I1474">
        <v>2.38236830086914E-9</v>
      </c>
      <c r="J1474">
        <v>1</v>
      </c>
      <c r="N1474" t="s">
        <v>2866</v>
      </c>
      <c r="O1474" t="s">
        <v>1756</v>
      </c>
      <c r="Q1474" t="s">
        <v>2620</v>
      </c>
    </row>
    <row r="1475" spans="2:17">
      <c r="B1475" t="s">
        <v>2865</v>
      </c>
      <c r="C1475" t="s">
        <v>1810</v>
      </c>
      <c r="D1475">
        <v>9.7958249389774409E-10</v>
      </c>
      <c r="E1475" t="s">
        <v>94</v>
      </c>
      <c r="H1475" t="s">
        <v>588</v>
      </c>
      <c r="I1475">
        <v>9.7958249389774409E-10</v>
      </c>
      <c r="J1475">
        <v>1</v>
      </c>
      <c r="N1475" t="s">
        <v>2866</v>
      </c>
      <c r="O1475" t="s">
        <v>1756</v>
      </c>
      <c r="Q1475" t="s">
        <v>2620</v>
      </c>
    </row>
    <row r="1476" spans="2:17">
      <c r="B1476" t="s">
        <v>2865</v>
      </c>
      <c r="C1476" t="s">
        <v>1810</v>
      </c>
      <c r="D1476">
        <v>6.9480756310810006E-5</v>
      </c>
      <c r="E1476" t="s">
        <v>94</v>
      </c>
      <c r="H1476" t="s">
        <v>588</v>
      </c>
      <c r="I1476">
        <v>6.9480756310810006E-5</v>
      </c>
      <c r="J1476">
        <v>1</v>
      </c>
      <c r="N1476" t="s">
        <v>2866</v>
      </c>
      <c r="O1476" t="s">
        <v>1756</v>
      </c>
      <c r="Q1476" t="s">
        <v>2620</v>
      </c>
    </row>
    <row r="1477" spans="2:17">
      <c r="B1477" t="s">
        <v>2865</v>
      </c>
      <c r="C1477" t="s">
        <v>1810</v>
      </c>
      <c r="D1477">
        <v>7.5700561640718902E-7</v>
      </c>
      <c r="E1477" t="s">
        <v>94</v>
      </c>
      <c r="H1477" t="s">
        <v>588</v>
      </c>
      <c r="I1477">
        <v>7.5700561640718902E-7</v>
      </c>
      <c r="J1477">
        <v>1</v>
      </c>
      <c r="N1477" t="s">
        <v>2866</v>
      </c>
      <c r="O1477" t="s">
        <v>1756</v>
      </c>
      <c r="Q1477" t="s">
        <v>2620</v>
      </c>
    </row>
    <row r="1478" spans="2:17">
      <c r="B1478" t="s">
        <v>2865</v>
      </c>
      <c r="C1478" t="s">
        <v>1810</v>
      </c>
      <c r="D1478">
        <v>1.2028223351076299E-6</v>
      </c>
      <c r="E1478" t="s">
        <v>94</v>
      </c>
      <c r="H1478" t="s">
        <v>588</v>
      </c>
      <c r="I1478">
        <v>1.2028223351076299E-6</v>
      </c>
      <c r="J1478">
        <v>1</v>
      </c>
      <c r="N1478" t="s">
        <v>2866</v>
      </c>
      <c r="O1478" t="s">
        <v>1756</v>
      </c>
      <c r="Q1478" t="s">
        <v>2620</v>
      </c>
    </row>
    <row r="1479" spans="2:17">
      <c r="B1479" t="s">
        <v>2865</v>
      </c>
      <c r="C1479" t="s">
        <v>1810</v>
      </c>
      <c r="D1479">
        <v>1.33738165858728E-8</v>
      </c>
      <c r="E1479" t="s">
        <v>94</v>
      </c>
      <c r="H1479" t="s">
        <v>588</v>
      </c>
      <c r="I1479">
        <v>1.33738165858728E-8</v>
      </c>
      <c r="J1479">
        <v>1</v>
      </c>
      <c r="N1479" t="s">
        <v>2866</v>
      </c>
      <c r="O1479" t="s">
        <v>1756</v>
      </c>
      <c r="Q1479" t="s">
        <v>2620</v>
      </c>
    </row>
    <row r="1480" spans="2:17">
      <c r="B1480" t="s">
        <v>2865</v>
      </c>
      <c r="C1480" t="s">
        <v>1810</v>
      </c>
      <c r="D1480">
        <v>2.45208259959189E-6</v>
      </c>
      <c r="E1480" t="s">
        <v>94</v>
      </c>
      <c r="H1480" t="s">
        <v>588</v>
      </c>
      <c r="I1480">
        <v>2.45208259959189E-6</v>
      </c>
      <c r="J1480">
        <v>1</v>
      </c>
      <c r="N1480" t="s">
        <v>2866</v>
      </c>
      <c r="O1480" t="s">
        <v>1756</v>
      </c>
      <c r="Q1480" t="s">
        <v>2721</v>
      </c>
    </row>
    <row r="1481" spans="2:17">
      <c r="B1481" t="s">
        <v>2865</v>
      </c>
      <c r="C1481" t="s">
        <v>1810</v>
      </c>
      <c r="D1481">
        <v>2.7552607305703898E-9</v>
      </c>
      <c r="E1481" t="s">
        <v>94</v>
      </c>
      <c r="H1481" t="s">
        <v>588</v>
      </c>
      <c r="I1481">
        <v>2.7552607305703898E-9</v>
      </c>
      <c r="J1481">
        <v>1</v>
      </c>
      <c r="N1481" t="s">
        <v>2866</v>
      </c>
      <c r="O1481" t="s">
        <v>1756</v>
      </c>
      <c r="Q1481" t="s">
        <v>2620</v>
      </c>
    </row>
    <row r="1482" spans="2:17">
      <c r="B1482" t="s">
        <v>2865</v>
      </c>
      <c r="C1482" t="s">
        <v>1810</v>
      </c>
      <c r="D1482">
        <v>6.8659558484675703E-11</v>
      </c>
      <c r="E1482" t="s">
        <v>94</v>
      </c>
      <c r="H1482" t="s">
        <v>588</v>
      </c>
      <c r="I1482">
        <v>6.8659558484675703E-11</v>
      </c>
      <c r="J1482">
        <v>1</v>
      </c>
      <c r="N1482" t="s">
        <v>2866</v>
      </c>
      <c r="O1482" t="s">
        <v>1756</v>
      </c>
      <c r="Q1482" t="s">
        <v>2620</v>
      </c>
    </row>
    <row r="1483" spans="2:17">
      <c r="B1483" t="s">
        <v>2865</v>
      </c>
      <c r="C1483" t="s">
        <v>1810</v>
      </c>
      <c r="D1483">
        <v>8.6623503312347296E-9</v>
      </c>
      <c r="E1483" t="s">
        <v>94</v>
      </c>
      <c r="H1483" t="s">
        <v>588</v>
      </c>
      <c r="I1483">
        <v>8.6623503312347296E-9</v>
      </c>
      <c r="J1483">
        <v>1</v>
      </c>
      <c r="N1483" t="s">
        <v>2866</v>
      </c>
      <c r="O1483" t="s">
        <v>1756</v>
      </c>
      <c r="Q1483" t="s">
        <v>2620</v>
      </c>
    </row>
    <row r="1484" spans="2:17">
      <c r="B1484" t="s">
        <v>2865</v>
      </c>
      <c r="C1484" t="s">
        <v>1810</v>
      </c>
      <c r="D1484">
        <v>1.72588452487003E-7</v>
      </c>
      <c r="E1484" t="s">
        <v>94</v>
      </c>
      <c r="H1484" t="s">
        <v>588</v>
      </c>
      <c r="I1484">
        <v>1.72588452487003E-7</v>
      </c>
      <c r="J1484">
        <v>1</v>
      </c>
      <c r="N1484" t="s">
        <v>2866</v>
      </c>
      <c r="O1484" t="s">
        <v>1756</v>
      </c>
      <c r="Q1484" t="s">
        <v>2620</v>
      </c>
    </row>
    <row r="1485" spans="2:17">
      <c r="B1485" t="s">
        <v>2865</v>
      </c>
      <c r="C1485" t="s">
        <v>1810</v>
      </c>
      <c r="D1485">
        <v>4.1487236418331002E-5</v>
      </c>
      <c r="E1485" t="s">
        <v>94</v>
      </c>
      <c r="N1485" t="s">
        <v>2866</v>
      </c>
      <c r="Q1485" t="s">
        <v>2871</v>
      </c>
    </row>
    <row r="1486" spans="2:17">
      <c r="B1486" t="s">
        <v>2865</v>
      </c>
      <c r="C1486" t="s">
        <v>1810</v>
      </c>
      <c r="D1486">
        <v>1.0680466729464201E-6</v>
      </c>
      <c r="E1486" t="s">
        <v>94</v>
      </c>
      <c r="H1486" t="s">
        <v>588</v>
      </c>
      <c r="I1486">
        <v>1.0680466729464201E-6</v>
      </c>
      <c r="J1486">
        <v>1.4049000000004648</v>
      </c>
      <c r="N1486" t="s">
        <v>2866</v>
      </c>
      <c r="O1486" t="s">
        <v>2069</v>
      </c>
      <c r="Q1486" t="s">
        <v>2869</v>
      </c>
    </row>
    <row r="1487" spans="2:17">
      <c r="B1487" t="s">
        <v>2865</v>
      </c>
      <c r="C1487" t="s">
        <v>1810</v>
      </c>
      <c r="D1487">
        <v>1.21190039652908E-10</v>
      </c>
      <c r="E1487" t="s">
        <v>94</v>
      </c>
      <c r="H1487" t="s">
        <v>588</v>
      </c>
      <c r="I1487">
        <v>1.21190039652908E-10</v>
      </c>
      <c r="J1487">
        <v>1</v>
      </c>
      <c r="N1487" t="s">
        <v>2866</v>
      </c>
      <c r="O1487" t="s">
        <v>1756</v>
      </c>
      <c r="Q1487" t="s">
        <v>2620</v>
      </c>
    </row>
    <row r="1488" spans="2:17">
      <c r="B1488" t="s">
        <v>2865</v>
      </c>
      <c r="C1488" t="s">
        <v>1810</v>
      </c>
      <c r="D1488">
        <v>6.3709121847291101E-8</v>
      </c>
      <c r="E1488" t="s">
        <v>94</v>
      </c>
      <c r="H1488" t="s">
        <v>588</v>
      </c>
      <c r="I1488">
        <v>6.3709121847291101E-8</v>
      </c>
      <c r="J1488">
        <v>1</v>
      </c>
      <c r="N1488" t="s">
        <v>2866</v>
      </c>
      <c r="O1488" t="s">
        <v>1756</v>
      </c>
      <c r="Q1488" t="s">
        <v>2620</v>
      </c>
    </row>
    <row r="1489" spans="2:17">
      <c r="B1489" t="s">
        <v>2872</v>
      </c>
      <c r="C1489" t="s">
        <v>1810</v>
      </c>
      <c r="D1489">
        <v>1.2293106557665101E-7</v>
      </c>
      <c r="E1489" t="s">
        <v>94</v>
      </c>
      <c r="H1489" t="s">
        <v>588</v>
      </c>
      <c r="I1489">
        <v>1.2293106557665101E-7</v>
      </c>
      <c r="J1489">
        <v>1.4049000000004648</v>
      </c>
      <c r="N1489" t="s">
        <v>2873</v>
      </c>
      <c r="O1489" t="s">
        <v>2069</v>
      </c>
      <c r="Q1489" t="s">
        <v>2874</v>
      </c>
    </row>
    <row r="1490" spans="2:17">
      <c r="B1490" t="s">
        <v>2872</v>
      </c>
      <c r="C1490" t="s">
        <v>1810</v>
      </c>
      <c r="D1490">
        <v>9.8907061018689898E-10</v>
      </c>
      <c r="E1490" t="s">
        <v>94</v>
      </c>
      <c r="H1490" t="s">
        <v>588</v>
      </c>
      <c r="I1490">
        <v>9.8907061018689898E-10</v>
      </c>
      <c r="J1490">
        <v>1.4049000000004648</v>
      </c>
      <c r="N1490" t="s">
        <v>2873</v>
      </c>
      <c r="O1490" t="s">
        <v>2069</v>
      </c>
      <c r="Q1490" t="s">
        <v>2874</v>
      </c>
    </row>
    <row r="1491" spans="2:17">
      <c r="B1491" t="s">
        <v>2872</v>
      </c>
      <c r="C1491" t="s">
        <v>1810</v>
      </c>
      <c r="D1491">
        <v>1.5773073415085801E-8</v>
      </c>
      <c r="E1491" t="s">
        <v>94</v>
      </c>
      <c r="H1491" t="s">
        <v>588</v>
      </c>
      <c r="I1491">
        <v>1.5773073415085801E-8</v>
      </c>
      <c r="J1491">
        <v>1.4049000000004648</v>
      </c>
      <c r="N1491" t="s">
        <v>2873</v>
      </c>
      <c r="O1491" t="s">
        <v>2069</v>
      </c>
      <c r="Q1491" t="s">
        <v>2874</v>
      </c>
    </row>
    <row r="1492" spans="2:17">
      <c r="B1492" t="s">
        <v>2872</v>
      </c>
      <c r="C1492" t="s">
        <v>1810</v>
      </c>
      <c r="D1492">
        <v>1.6302505341337399E-6</v>
      </c>
      <c r="E1492" t="s">
        <v>94</v>
      </c>
      <c r="H1492" t="s">
        <v>588</v>
      </c>
      <c r="I1492">
        <v>1.6302505341337399E-6</v>
      </c>
      <c r="J1492">
        <v>1.4049000000004648</v>
      </c>
      <c r="N1492" t="s">
        <v>2873</v>
      </c>
      <c r="O1492" t="s">
        <v>1758</v>
      </c>
      <c r="Q1492" t="s">
        <v>2875</v>
      </c>
    </row>
    <row r="1493" spans="2:17">
      <c r="B1493" t="s">
        <v>2872</v>
      </c>
      <c r="C1493" t="s">
        <v>1810</v>
      </c>
      <c r="D1493">
        <v>1.3610392441390299E-6</v>
      </c>
      <c r="E1493" t="s">
        <v>94</v>
      </c>
      <c r="H1493" t="s">
        <v>588</v>
      </c>
      <c r="I1493">
        <v>1.3610392441390299E-6</v>
      </c>
      <c r="J1493">
        <v>1.4049000000004648</v>
      </c>
      <c r="N1493" t="s">
        <v>2873</v>
      </c>
      <c r="O1493" t="s">
        <v>2069</v>
      </c>
      <c r="Q1493" t="s">
        <v>2874</v>
      </c>
    </row>
    <row r="1494" spans="2:17">
      <c r="B1494" t="s">
        <v>2872</v>
      </c>
      <c r="C1494" t="s">
        <v>1810</v>
      </c>
      <c r="D1494">
        <v>2.62624275178574E-8</v>
      </c>
      <c r="E1494" t="s">
        <v>94</v>
      </c>
      <c r="H1494" t="s">
        <v>588</v>
      </c>
      <c r="I1494">
        <v>2.62624275178574E-8</v>
      </c>
      <c r="J1494">
        <v>1.4049000000004648</v>
      </c>
      <c r="N1494" t="s">
        <v>2873</v>
      </c>
      <c r="O1494" t="s">
        <v>2069</v>
      </c>
      <c r="Q1494" t="s">
        <v>2874</v>
      </c>
    </row>
    <row r="1495" spans="2:17">
      <c r="B1495" t="s">
        <v>2872</v>
      </c>
      <c r="C1495" t="s">
        <v>1810</v>
      </c>
      <c r="D1495">
        <v>3.52421475313963E-8</v>
      </c>
      <c r="E1495" t="s">
        <v>94</v>
      </c>
      <c r="H1495" t="s">
        <v>588</v>
      </c>
      <c r="I1495">
        <v>3.52421475313963E-8</v>
      </c>
      <c r="J1495">
        <v>1.4049000000004648</v>
      </c>
      <c r="N1495" t="s">
        <v>2873</v>
      </c>
      <c r="O1495" t="s">
        <v>2069</v>
      </c>
      <c r="Q1495" t="s">
        <v>2874</v>
      </c>
    </row>
    <row r="1496" spans="2:17">
      <c r="B1496" t="s">
        <v>2872</v>
      </c>
      <c r="C1496" t="s">
        <v>1810</v>
      </c>
      <c r="D1496">
        <v>4.7891840072207696E-9</v>
      </c>
      <c r="E1496" t="s">
        <v>94</v>
      </c>
      <c r="H1496" t="s">
        <v>588</v>
      </c>
      <c r="I1496">
        <v>4.7891840072207696E-9</v>
      </c>
      <c r="J1496">
        <v>1.4049000000004648</v>
      </c>
      <c r="N1496" t="s">
        <v>2873</v>
      </c>
      <c r="O1496" t="s">
        <v>2069</v>
      </c>
      <c r="Q1496" t="s">
        <v>2874</v>
      </c>
    </row>
    <row r="1497" spans="2:17">
      <c r="B1497" t="s">
        <v>2872</v>
      </c>
      <c r="C1497" t="s">
        <v>1810</v>
      </c>
      <c r="D1497">
        <v>4.0265585104187701E-8</v>
      </c>
      <c r="E1497" t="s">
        <v>94</v>
      </c>
      <c r="H1497" t="s">
        <v>588</v>
      </c>
      <c r="I1497">
        <v>4.0265585104187701E-8</v>
      </c>
      <c r="J1497">
        <v>1.4049000000004648</v>
      </c>
      <c r="N1497" t="s">
        <v>2873</v>
      </c>
      <c r="O1497" t="s">
        <v>2069</v>
      </c>
      <c r="Q1497" t="s">
        <v>2874</v>
      </c>
    </row>
    <row r="1498" spans="2:17">
      <c r="B1498" t="s">
        <v>2872</v>
      </c>
      <c r="C1498" t="s">
        <v>1810</v>
      </c>
      <c r="D1498">
        <v>7.6002267940677506E-8</v>
      </c>
      <c r="E1498" t="s">
        <v>94</v>
      </c>
      <c r="H1498" t="s">
        <v>588</v>
      </c>
      <c r="I1498">
        <v>7.6002267940677506E-8</v>
      </c>
      <c r="J1498">
        <v>1.4049000000004648</v>
      </c>
      <c r="N1498" t="s">
        <v>2873</v>
      </c>
      <c r="O1498" t="s">
        <v>2069</v>
      </c>
      <c r="Q1498" t="s">
        <v>2874</v>
      </c>
    </row>
    <row r="1499" spans="2:17">
      <c r="B1499" t="s">
        <v>2872</v>
      </c>
      <c r="C1499" t="s">
        <v>1810</v>
      </c>
      <c r="D1499">
        <v>9.4156919272397501E-7</v>
      </c>
      <c r="E1499" t="s">
        <v>94</v>
      </c>
      <c r="H1499" t="s">
        <v>588</v>
      </c>
      <c r="I1499">
        <v>9.4156919272397501E-7</v>
      </c>
      <c r="J1499">
        <v>1.4049000000004648</v>
      </c>
      <c r="N1499" t="s">
        <v>2876</v>
      </c>
      <c r="O1499" t="s">
        <v>2069</v>
      </c>
      <c r="Q1499" t="s">
        <v>2874</v>
      </c>
    </row>
    <row r="1500" spans="2:17">
      <c r="B1500" t="s">
        <v>2872</v>
      </c>
      <c r="C1500" t="s">
        <v>1810</v>
      </c>
      <c r="D1500">
        <v>2.55169806158639E-6</v>
      </c>
      <c r="E1500" t="s">
        <v>94</v>
      </c>
      <c r="H1500" t="s">
        <v>588</v>
      </c>
      <c r="I1500">
        <v>2.55169806158639E-6</v>
      </c>
      <c r="J1500">
        <v>1.4049000000004648</v>
      </c>
      <c r="N1500" t="s">
        <v>2873</v>
      </c>
      <c r="O1500" t="s">
        <v>2069</v>
      </c>
      <c r="Q1500" t="s">
        <v>2874</v>
      </c>
    </row>
    <row r="1501" spans="2:17">
      <c r="B1501" t="s">
        <v>2872</v>
      </c>
      <c r="C1501" t="s">
        <v>1810</v>
      </c>
      <c r="D1501">
        <v>1.23217375490126E-7</v>
      </c>
      <c r="E1501" t="s">
        <v>94</v>
      </c>
      <c r="H1501" t="s">
        <v>588</v>
      </c>
      <c r="I1501">
        <v>1.23217375490126E-7</v>
      </c>
      <c r="J1501">
        <v>1.4049000000004648</v>
      </c>
      <c r="N1501" t="s">
        <v>2873</v>
      </c>
      <c r="O1501" t="s">
        <v>2069</v>
      </c>
      <c r="Q1501" t="s">
        <v>2874</v>
      </c>
    </row>
    <row r="1502" spans="2:17">
      <c r="B1502" t="s">
        <v>2872</v>
      </c>
      <c r="C1502" t="s">
        <v>1810</v>
      </c>
      <c r="D1502">
        <v>3.5398316575110098E-8</v>
      </c>
      <c r="E1502" t="s">
        <v>94</v>
      </c>
      <c r="H1502" t="s">
        <v>588</v>
      </c>
      <c r="I1502">
        <v>3.5398316575110098E-8</v>
      </c>
      <c r="J1502">
        <v>1.4049000000004648</v>
      </c>
      <c r="N1502" t="s">
        <v>2873</v>
      </c>
      <c r="O1502" t="s">
        <v>2069</v>
      </c>
      <c r="Q1502" t="s">
        <v>2874</v>
      </c>
    </row>
    <row r="1503" spans="2:17">
      <c r="B1503" t="s">
        <v>2872</v>
      </c>
      <c r="C1503" t="s">
        <v>1810</v>
      </c>
      <c r="D1503">
        <v>9.3701426228232495E-9</v>
      </c>
      <c r="E1503" t="s">
        <v>94</v>
      </c>
      <c r="H1503" t="s">
        <v>588</v>
      </c>
      <c r="I1503">
        <v>9.3701426228232495E-9</v>
      </c>
      <c r="J1503">
        <v>1.4049000000004648</v>
      </c>
      <c r="N1503" t="s">
        <v>2873</v>
      </c>
      <c r="O1503" t="s">
        <v>2069</v>
      </c>
      <c r="Q1503" t="s">
        <v>2874</v>
      </c>
    </row>
    <row r="1504" spans="2:17">
      <c r="B1504" t="s">
        <v>2872</v>
      </c>
      <c r="C1504" t="s">
        <v>1810</v>
      </c>
      <c r="D1504">
        <v>3.2691386484072198E-8</v>
      </c>
      <c r="E1504" t="s">
        <v>94</v>
      </c>
      <c r="H1504" t="s">
        <v>588</v>
      </c>
      <c r="I1504">
        <v>3.2691386484072198E-8</v>
      </c>
      <c r="J1504">
        <v>1.4049000000004648</v>
      </c>
      <c r="N1504" t="s">
        <v>2873</v>
      </c>
      <c r="O1504" t="s">
        <v>2069</v>
      </c>
      <c r="Q1504" t="s">
        <v>2874</v>
      </c>
    </row>
    <row r="1505" spans="2:17">
      <c r="B1505" t="s">
        <v>2872</v>
      </c>
      <c r="C1505" t="s">
        <v>1810</v>
      </c>
      <c r="D1505">
        <v>3.6212998419816597E-7</v>
      </c>
      <c r="E1505" t="s">
        <v>94</v>
      </c>
      <c r="H1505" t="s">
        <v>588</v>
      </c>
      <c r="I1505">
        <v>3.6212998419816597E-7</v>
      </c>
      <c r="J1505">
        <v>1.4049000000004648</v>
      </c>
      <c r="N1505" t="s">
        <v>2873</v>
      </c>
      <c r="O1505" t="s">
        <v>2069</v>
      </c>
      <c r="Q1505" t="s">
        <v>2874</v>
      </c>
    </row>
    <row r="1506" spans="2:17">
      <c r="B1506" t="s">
        <v>2872</v>
      </c>
      <c r="C1506" t="s">
        <v>1810</v>
      </c>
      <c r="D1506">
        <v>3.3316062658927098E-8</v>
      </c>
      <c r="E1506" t="s">
        <v>94</v>
      </c>
      <c r="H1506" t="s">
        <v>588</v>
      </c>
      <c r="I1506">
        <v>3.3316062658927098E-8</v>
      </c>
      <c r="J1506">
        <v>1.4049000000004648</v>
      </c>
      <c r="N1506" t="s">
        <v>2873</v>
      </c>
      <c r="O1506" t="s">
        <v>2069</v>
      </c>
      <c r="Q1506" t="s">
        <v>2874</v>
      </c>
    </row>
    <row r="1507" spans="2:17">
      <c r="B1507" t="s">
        <v>2872</v>
      </c>
      <c r="C1507" t="s">
        <v>1810</v>
      </c>
      <c r="D1507">
        <v>6.0749758004637406E-8</v>
      </c>
      <c r="E1507" t="s">
        <v>94</v>
      </c>
      <c r="H1507" t="s">
        <v>588</v>
      </c>
      <c r="I1507">
        <v>6.0749758004637406E-8</v>
      </c>
      <c r="J1507">
        <v>1.4049000000004648</v>
      </c>
      <c r="N1507" t="s">
        <v>2873</v>
      </c>
      <c r="O1507" t="s">
        <v>2069</v>
      </c>
      <c r="Q1507" t="s">
        <v>2874</v>
      </c>
    </row>
    <row r="1508" spans="2:17">
      <c r="B1508" t="s">
        <v>2872</v>
      </c>
      <c r="C1508" t="s">
        <v>1810</v>
      </c>
      <c r="D1508">
        <v>2.1863666119920899E-8</v>
      </c>
      <c r="E1508" t="s">
        <v>94</v>
      </c>
      <c r="H1508" t="s">
        <v>588</v>
      </c>
      <c r="I1508">
        <v>2.1863666119920899E-8</v>
      </c>
      <c r="J1508">
        <v>1.4049000000004648</v>
      </c>
      <c r="N1508" t="s">
        <v>2873</v>
      </c>
      <c r="O1508" t="s">
        <v>2069</v>
      </c>
      <c r="Q1508" t="s">
        <v>2874</v>
      </c>
    </row>
    <row r="1509" spans="2:17">
      <c r="B1509" t="s">
        <v>2872</v>
      </c>
      <c r="C1509" t="s">
        <v>1810</v>
      </c>
      <c r="D1509">
        <v>8.2925762211985805E-8</v>
      </c>
      <c r="E1509" t="s">
        <v>94</v>
      </c>
      <c r="H1509" t="s">
        <v>588</v>
      </c>
      <c r="I1509">
        <v>8.2925762211985805E-8</v>
      </c>
      <c r="J1509">
        <v>1.4049000000004648</v>
      </c>
      <c r="N1509" t="s">
        <v>2873</v>
      </c>
      <c r="O1509" t="s">
        <v>2069</v>
      </c>
      <c r="Q1509" t="s">
        <v>2874</v>
      </c>
    </row>
    <row r="1510" spans="2:17">
      <c r="B1510" t="s">
        <v>2872</v>
      </c>
      <c r="C1510" t="s">
        <v>1810</v>
      </c>
      <c r="D1510">
        <v>1.22592699315271E-8</v>
      </c>
      <c r="E1510" t="s">
        <v>94</v>
      </c>
      <c r="H1510" t="s">
        <v>588</v>
      </c>
      <c r="I1510">
        <v>1.22592699315271E-8</v>
      </c>
      <c r="J1510">
        <v>1.4049000000004648</v>
      </c>
      <c r="N1510" t="s">
        <v>2873</v>
      </c>
      <c r="O1510" t="s">
        <v>2069</v>
      </c>
      <c r="Q1510" t="s">
        <v>2874</v>
      </c>
    </row>
    <row r="1511" spans="2:17">
      <c r="B1511" t="s">
        <v>2872</v>
      </c>
      <c r="C1511" t="s">
        <v>1810</v>
      </c>
      <c r="D1511">
        <v>1.09058048860082E-7</v>
      </c>
      <c r="E1511" t="s">
        <v>94</v>
      </c>
      <c r="H1511" t="s">
        <v>588</v>
      </c>
      <c r="I1511">
        <v>1.09058048860082E-7</v>
      </c>
      <c r="J1511">
        <v>1.4049000000004648</v>
      </c>
      <c r="N1511" t="s">
        <v>2873</v>
      </c>
      <c r="O1511" t="s">
        <v>2069</v>
      </c>
      <c r="Q1511" t="s">
        <v>2874</v>
      </c>
    </row>
    <row r="1512" spans="2:17">
      <c r="B1512" t="s">
        <v>2872</v>
      </c>
      <c r="C1512" t="s">
        <v>1810</v>
      </c>
      <c r="D1512">
        <v>4.5319972443226703E-5</v>
      </c>
      <c r="E1512" t="s">
        <v>94</v>
      </c>
      <c r="H1512" t="s">
        <v>588</v>
      </c>
      <c r="I1512">
        <v>4.5319972443226703E-5</v>
      </c>
      <c r="J1512">
        <v>1.4049000000004648</v>
      </c>
      <c r="N1512" t="s">
        <v>2873</v>
      </c>
      <c r="O1512" t="s">
        <v>1758</v>
      </c>
      <c r="Q1512" t="s">
        <v>2877</v>
      </c>
    </row>
    <row r="1513" spans="2:17">
      <c r="B1513" t="s">
        <v>2872</v>
      </c>
      <c r="C1513" t="s">
        <v>1810</v>
      </c>
      <c r="D1513">
        <v>3.1167810271823299E-5</v>
      </c>
      <c r="E1513" t="s">
        <v>94</v>
      </c>
      <c r="H1513" t="s">
        <v>588</v>
      </c>
      <c r="I1513">
        <v>3.1167810271823299E-5</v>
      </c>
      <c r="J1513">
        <v>1.4049000000004648</v>
      </c>
      <c r="N1513" t="s">
        <v>2873</v>
      </c>
      <c r="O1513" t="s">
        <v>1758</v>
      </c>
      <c r="Q1513" t="s">
        <v>2874</v>
      </c>
    </row>
    <row r="1514" spans="2:17">
      <c r="B1514" t="s">
        <v>2872</v>
      </c>
      <c r="C1514" t="s">
        <v>1810</v>
      </c>
      <c r="D1514">
        <v>1.38209603686643E-8</v>
      </c>
      <c r="E1514" t="s">
        <v>94</v>
      </c>
      <c r="H1514" t="s">
        <v>588</v>
      </c>
      <c r="I1514">
        <v>1.38209603686643E-8</v>
      </c>
      <c r="J1514">
        <v>1.4049000000004648</v>
      </c>
      <c r="N1514" t="s">
        <v>2873</v>
      </c>
      <c r="O1514" t="s">
        <v>2069</v>
      </c>
      <c r="Q1514" t="s">
        <v>2874</v>
      </c>
    </row>
    <row r="1515" spans="2:17">
      <c r="B1515" t="s">
        <v>2872</v>
      </c>
      <c r="C1515" t="s">
        <v>1810</v>
      </c>
      <c r="D1515">
        <v>4.2139613628752303E-8</v>
      </c>
      <c r="E1515" t="s">
        <v>94</v>
      </c>
      <c r="H1515" t="s">
        <v>588</v>
      </c>
      <c r="I1515">
        <v>4.2139613628752303E-8</v>
      </c>
      <c r="J1515">
        <v>1.4049000000004648</v>
      </c>
      <c r="N1515" t="s">
        <v>2873</v>
      </c>
      <c r="O1515" t="s">
        <v>2069</v>
      </c>
      <c r="Q1515" t="s">
        <v>2874</v>
      </c>
    </row>
    <row r="1516" spans="2:17">
      <c r="B1516" t="s">
        <v>2872</v>
      </c>
      <c r="C1516" t="s">
        <v>1810</v>
      </c>
      <c r="D1516">
        <v>5.10823934522542E-8</v>
      </c>
      <c r="E1516" t="s">
        <v>94</v>
      </c>
      <c r="H1516" t="s">
        <v>588</v>
      </c>
      <c r="I1516">
        <v>5.10823934522542E-8</v>
      </c>
      <c r="J1516">
        <v>1.4049000000004648</v>
      </c>
      <c r="N1516" t="s">
        <v>2873</v>
      </c>
      <c r="O1516" t="s">
        <v>2069</v>
      </c>
      <c r="Q1516" t="s">
        <v>2874</v>
      </c>
    </row>
    <row r="1517" spans="2:17">
      <c r="B1517" t="s">
        <v>2872</v>
      </c>
      <c r="C1517" t="s">
        <v>1810</v>
      </c>
      <c r="D1517">
        <v>9.8475513894560892E-6</v>
      </c>
      <c r="E1517" t="s">
        <v>94</v>
      </c>
      <c r="H1517" t="s">
        <v>588</v>
      </c>
      <c r="I1517">
        <v>9.8475513894560892E-6</v>
      </c>
      <c r="J1517">
        <v>1.4049000000004648</v>
      </c>
      <c r="N1517" t="s">
        <v>2873</v>
      </c>
      <c r="O1517" t="s">
        <v>2069</v>
      </c>
      <c r="Q1517" t="s">
        <v>2874</v>
      </c>
    </row>
    <row r="1518" spans="2:17">
      <c r="B1518" t="s">
        <v>2878</v>
      </c>
      <c r="C1518" t="s">
        <v>1698</v>
      </c>
      <c r="D1518">
        <v>6.7972379986532805E-5</v>
      </c>
      <c r="E1518" t="s">
        <v>1171</v>
      </c>
      <c r="H1518" t="s">
        <v>588</v>
      </c>
      <c r="I1518">
        <v>6.7972379986532805E-5</v>
      </c>
      <c r="J1518">
        <v>1</v>
      </c>
      <c r="N1518" t="s">
        <v>2879</v>
      </c>
      <c r="O1518" t="s">
        <v>1700</v>
      </c>
      <c r="Q1518" t="s">
        <v>595</v>
      </c>
    </row>
    <row r="1519" spans="2:17">
      <c r="B1519" t="s">
        <v>1285</v>
      </c>
      <c r="C1519" t="s">
        <v>1170</v>
      </c>
      <c r="D1519">
        <v>1.4022874450601899E-6</v>
      </c>
      <c r="E1519" t="s">
        <v>94</v>
      </c>
      <c r="H1519" t="s">
        <v>588</v>
      </c>
      <c r="I1519">
        <v>1.4022874450601899E-6</v>
      </c>
      <c r="J1519">
        <v>1.0805386501323246</v>
      </c>
      <c r="N1519" t="s">
        <v>1286</v>
      </c>
      <c r="O1519" t="s">
        <v>952</v>
      </c>
      <c r="Q1519" t="s">
        <v>2880</v>
      </c>
    </row>
    <row r="1520" spans="2:17">
      <c r="B1520" t="s">
        <v>2881</v>
      </c>
      <c r="C1520" t="s">
        <v>1170</v>
      </c>
      <c r="D1520">
        <v>5.7366764512432802E-8</v>
      </c>
      <c r="E1520" t="s">
        <v>94</v>
      </c>
      <c r="H1520" t="s">
        <v>588</v>
      </c>
      <c r="I1520">
        <v>5.7366764512432802E-8</v>
      </c>
      <c r="J1520">
        <v>1.0805386501323246</v>
      </c>
      <c r="N1520" t="s">
        <v>2882</v>
      </c>
      <c r="O1520" t="s">
        <v>1665</v>
      </c>
      <c r="Q1520" t="s">
        <v>2883</v>
      </c>
    </row>
    <row r="1521" spans="2:17">
      <c r="B1521" t="s">
        <v>2884</v>
      </c>
      <c r="C1521" t="s">
        <v>948</v>
      </c>
      <c r="D1521">
        <v>8.4163632643376798E-7</v>
      </c>
      <c r="E1521" t="s">
        <v>94</v>
      </c>
      <c r="H1521" t="s">
        <v>588</v>
      </c>
      <c r="I1521">
        <v>8.4163632643376798E-7</v>
      </c>
      <c r="J1521">
        <v>1.0247973619913604</v>
      </c>
      <c r="N1521" t="s">
        <v>2885</v>
      </c>
      <c r="O1521" t="s">
        <v>1150</v>
      </c>
      <c r="Q1521" t="s">
        <v>2096</v>
      </c>
    </row>
    <row r="1522" spans="2:17">
      <c r="B1522" t="s">
        <v>2886</v>
      </c>
      <c r="C1522" t="s">
        <v>673</v>
      </c>
      <c r="D1522">
        <v>2.3057451084199198E-5</v>
      </c>
      <c r="E1522" t="s">
        <v>94</v>
      </c>
      <c r="H1522" t="s">
        <v>588</v>
      </c>
      <c r="I1522">
        <v>2.3057451084199198E-5</v>
      </c>
      <c r="J1522">
        <v>1.6275285290387915</v>
      </c>
      <c r="N1522" t="s">
        <v>2887</v>
      </c>
      <c r="O1522" t="s">
        <v>1157</v>
      </c>
      <c r="Q1522" t="s">
        <v>2888</v>
      </c>
    </row>
    <row r="1523" spans="2:17">
      <c r="B1523" t="s">
        <v>2889</v>
      </c>
      <c r="C1523" t="s">
        <v>2890</v>
      </c>
      <c r="D1523">
        <v>1.9883499228043199E-3</v>
      </c>
      <c r="E1523" t="s">
        <v>94</v>
      </c>
      <c r="H1523" t="s">
        <v>588</v>
      </c>
      <c r="I1523">
        <v>1.9883499228043199E-3</v>
      </c>
      <c r="J1523">
        <v>1.1051709180756477</v>
      </c>
      <c r="N1523" t="s">
        <v>2891</v>
      </c>
      <c r="O1523" t="s">
        <v>2069</v>
      </c>
      <c r="Q1523" t="s">
        <v>2000</v>
      </c>
    </row>
    <row r="1524" spans="2:17">
      <c r="B1524" t="s">
        <v>806</v>
      </c>
      <c r="C1524" t="s">
        <v>673</v>
      </c>
      <c r="D1524">
        <v>1.0548866159515999E-5</v>
      </c>
      <c r="E1524" t="s">
        <v>94</v>
      </c>
      <c r="H1524" t="s">
        <v>588</v>
      </c>
      <c r="I1524">
        <v>1.0548866159515999E-5</v>
      </c>
      <c r="J1524">
        <v>1.0247973619913604</v>
      </c>
      <c r="N1524" t="s">
        <v>807</v>
      </c>
      <c r="O1524" t="s">
        <v>641</v>
      </c>
      <c r="Q1524" t="s">
        <v>1643</v>
      </c>
    </row>
    <row r="1525" spans="2:17">
      <c r="B1525" t="s">
        <v>806</v>
      </c>
      <c r="C1525" t="s">
        <v>673</v>
      </c>
      <c r="D1525">
        <v>4.49161523652008E-6</v>
      </c>
      <c r="E1525" t="s">
        <v>94</v>
      </c>
      <c r="H1525" t="s">
        <v>588</v>
      </c>
      <c r="I1525">
        <v>4.49161523652008E-6</v>
      </c>
      <c r="J1525">
        <v>1.0247973619913604</v>
      </c>
      <c r="N1525" t="s">
        <v>807</v>
      </c>
      <c r="O1525" t="s">
        <v>641</v>
      </c>
      <c r="Q1525" t="s">
        <v>1643</v>
      </c>
    </row>
    <row r="1526" spans="2:17">
      <c r="B1526" t="s">
        <v>2892</v>
      </c>
      <c r="C1526" t="s">
        <v>673</v>
      </c>
      <c r="D1526">
        <v>5.3843201375425803E-8</v>
      </c>
      <c r="E1526" t="s">
        <v>94</v>
      </c>
      <c r="H1526" t="s">
        <v>588</v>
      </c>
      <c r="I1526">
        <v>5.3843201375425803E-8</v>
      </c>
      <c r="J1526">
        <v>1.0247973619913604</v>
      </c>
      <c r="N1526" t="s">
        <v>2893</v>
      </c>
      <c r="O1526" t="s">
        <v>641</v>
      </c>
      <c r="Q1526" t="s">
        <v>1672</v>
      </c>
    </row>
    <row r="1527" spans="2:17">
      <c r="B1527" t="s">
        <v>2894</v>
      </c>
      <c r="C1527" t="s">
        <v>673</v>
      </c>
      <c r="D1527">
        <v>5.2906397415341001E-12</v>
      </c>
      <c r="E1527" t="s">
        <v>94</v>
      </c>
      <c r="H1527" t="s">
        <v>588</v>
      </c>
      <c r="I1527">
        <v>5.2906397415341001E-12</v>
      </c>
      <c r="J1527">
        <v>1.0247973619913604</v>
      </c>
      <c r="N1527" t="s">
        <v>2895</v>
      </c>
      <c r="O1527" t="s">
        <v>2139</v>
      </c>
      <c r="Q1527" t="s">
        <v>2896</v>
      </c>
    </row>
    <row r="1528" spans="2:17">
      <c r="B1528" t="s">
        <v>2897</v>
      </c>
      <c r="C1528" t="s">
        <v>673</v>
      </c>
      <c r="D1528">
        <v>2.2436026293248399E-7</v>
      </c>
      <c r="E1528" t="s">
        <v>94</v>
      </c>
      <c r="H1528" t="s">
        <v>588</v>
      </c>
      <c r="I1528">
        <v>2.2436026293248399E-7</v>
      </c>
      <c r="J1528">
        <v>1.0247973619913604</v>
      </c>
      <c r="N1528" t="s">
        <v>2898</v>
      </c>
      <c r="O1528" t="s">
        <v>641</v>
      </c>
      <c r="Q1528" t="s">
        <v>1672</v>
      </c>
    </row>
    <row r="1529" spans="2:17">
      <c r="B1529" t="s">
        <v>2899</v>
      </c>
      <c r="C1529" t="s">
        <v>587</v>
      </c>
      <c r="D1529">
        <v>2.8396869555688401E-4</v>
      </c>
      <c r="E1529" t="s">
        <v>94</v>
      </c>
      <c r="H1529" t="s">
        <v>588</v>
      </c>
      <c r="I1529">
        <v>2.8396869555688401E-4</v>
      </c>
      <c r="J1529">
        <v>1.0247973619913604</v>
      </c>
      <c r="O1529" t="s">
        <v>641</v>
      </c>
      <c r="Q1529" t="s">
        <v>1643</v>
      </c>
    </row>
    <row r="1530" spans="2:17">
      <c r="B1530" t="s">
        <v>2900</v>
      </c>
      <c r="C1530" t="s">
        <v>821</v>
      </c>
      <c r="D1530">
        <v>6.1540067373549797E-5</v>
      </c>
      <c r="E1530" t="s">
        <v>94</v>
      </c>
      <c r="H1530" t="s">
        <v>588</v>
      </c>
      <c r="I1530">
        <v>6.1540067373549797E-5</v>
      </c>
      <c r="J1530">
        <v>1.0247973619913604</v>
      </c>
      <c r="N1530" t="s">
        <v>2901</v>
      </c>
      <c r="O1530" t="s">
        <v>2902</v>
      </c>
      <c r="Q1530" t="s">
        <v>2903</v>
      </c>
    </row>
    <row r="1531" spans="2:17">
      <c r="B1531" t="s">
        <v>2900</v>
      </c>
      <c r="C1531" t="s">
        <v>821</v>
      </c>
      <c r="D1531">
        <v>1.01168822231479E-7</v>
      </c>
      <c r="E1531" t="s">
        <v>94</v>
      </c>
      <c r="H1531" t="s">
        <v>588</v>
      </c>
      <c r="I1531">
        <v>1.01168822231479E-7</v>
      </c>
      <c r="J1531">
        <v>1.0247973619913604</v>
      </c>
      <c r="N1531" t="s">
        <v>2904</v>
      </c>
      <c r="O1531" t="s">
        <v>1765</v>
      </c>
      <c r="Q1531" t="s">
        <v>2905</v>
      </c>
    </row>
    <row r="1532" spans="2:17">
      <c r="B1532" t="s">
        <v>2906</v>
      </c>
      <c r="C1532" t="s">
        <v>1810</v>
      </c>
      <c r="D1532">
        <v>5.3039667450394405E-4</v>
      </c>
      <c r="E1532" t="s">
        <v>640</v>
      </c>
      <c r="H1532" t="s">
        <v>588</v>
      </c>
      <c r="I1532">
        <v>5.3039667450394405E-4</v>
      </c>
      <c r="J1532">
        <v>1.4049000000004648</v>
      </c>
      <c r="N1532" t="s">
        <v>2907</v>
      </c>
      <c r="O1532" t="s">
        <v>1758</v>
      </c>
      <c r="Q1532" t="s">
        <v>2908</v>
      </c>
    </row>
    <row r="1533" spans="2:17">
      <c r="B1533" t="s">
        <v>2906</v>
      </c>
      <c r="C1533" t="s">
        <v>1810</v>
      </c>
      <c r="D1533">
        <v>6.5219182549493102E-6</v>
      </c>
      <c r="E1533" t="s">
        <v>640</v>
      </c>
      <c r="H1533" t="s">
        <v>588</v>
      </c>
      <c r="I1533">
        <v>6.5219182549493102E-6</v>
      </c>
      <c r="J1533">
        <v>1.4049000000004648</v>
      </c>
      <c r="N1533" t="s">
        <v>2907</v>
      </c>
      <c r="O1533" t="s">
        <v>2069</v>
      </c>
      <c r="Q1533" t="s">
        <v>2909</v>
      </c>
    </row>
    <row r="1534" spans="2:17">
      <c r="B1534" t="s">
        <v>2906</v>
      </c>
      <c r="C1534" t="s">
        <v>1810</v>
      </c>
      <c r="D1534">
        <v>1.4592010423176999E-6</v>
      </c>
      <c r="E1534" t="s">
        <v>640</v>
      </c>
      <c r="H1534" t="s">
        <v>588</v>
      </c>
      <c r="I1534">
        <v>1.4592010423176999E-6</v>
      </c>
      <c r="J1534">
        <v>1.4049000000004648</v>
      </c>
      <c r="N1534" t="s">
        <v>2907</v>
      </c>
      <c r="O1534" t="s">
        <v>2069</v>
      </c>
      <c r="Q1534" t="s">
        <v>2909</v>
      </c>
    </row>
    <row r="1535" spans="2:17">
      <c r="B1535" t="s">
        <v>2906</v>
      </c>
      <c r="C1535" t="s">
        <v>1810</v>
      </c>
      <c r="D1535">
        <v>9.0237207209510704E-4</v>
      </c>
      <c r="E1535" t="s">
        <v>640</v>
      </c>
      <c r="H1535" t="s">
        <v>588</v>
      </c>
      <c r="I1535">
        <v>9.0237207209510704E-4</v>
      </c>
      <c r="J1535">
        <v>1.4049000000004648</v>
      </c>
      <c r="N1535" t="s">
        <v>2907</v>
      </c>
      <c r="O1535" t="s">
        <v>1435</v>
      </c>
      <c r="Q1535" t="s">
        <v>2910</v>
      </c>
    </row>
    <row r="1536" spans="2:17">
      <c r="B1536" t="s">
        <v>2906</v>
      </c>
      <c r="C1536" t="s">
        <v>1810</v>
      </c>
      <c r="D1536">
        <v>1.57881116109209E-7</v>
      </c>
      <c r="E1536" t="s">
        <v>640</v>
      </c>
      <c r="H1536" t="s">
        <v>588</v>
      </c>
      <c r="I1536">
        <v>1.57881116109209E-7</v>
      </c>
      <c r="J1536">
        <v>1.4049000000004648</v>
      </c>
      <c r="N1536" t="s">
        <v>2907</v>
      </c>
      <c r="O1536" t="s">
        <v>2069</v>
      </c>
      <c r="Q1536" t="s">
        <v>2909</v>
      </c>
    </row>
    <row r="1537" spans="2:17">
      <c r="B1537" t="s">
        <v>2906</v>
      </c>
      <c r="C1537" t="s">
        <v>1810</v>
      </c>
      <c r="D1537">
        <v>1.9267077924226101E-4</v>
      </c>
      <c r="E1537" t="s">
        <v>640</v>
      </c>
      <c r="H1537" t="s">
        <v>588</v>
      </c>
      <c r="I1537">
        <v>1.9267077924226101E-4</v>
      </c>
      <c r="J1537">
        <v>1.4049000000004648</v>
      </c>
      <c r="N1537" t="s">
        <v>2907</v>
      </c>
      <c r="O1537" t="s">
        <v>2069</v>
      </c>
      <c r="Q1537" t="s">
        <v>2909</v>
      </c>
    </row>
    <row r="1538" spans="2:17">
      <c r="B1538" t="s">
        <v>2906</v>
      </c>
      <c r="C1538" t="s">
        <v>1810</v>
      </c>
      <c r="D1538">
        <v>7.1171193103147803E-6</v>
      </c>
      <c r="E1538" t="s">
        <v>640</v>
      </c>
      <c r="H1538" t="s">
        <v>588</v>
      </c>
      <c r="I1538">
        <v>7.1171193103147803E-6</v>
      </c>
      <c r="J1538">
        <v>1.4049000000004648</v>
      </c>
      <c r="N1538" t="s">
        <v>2907</v>
      </c>
      <c r="O1538" t="s">
        <v>2069</v>
      </c>
      <c r="Q1538" t="s">
        <v>2909</v>
      </c>
    </row>
    <row r="1539" spans="2:17">
      <c r="B1539" t="s">
        <v>2906</v>
      </c>
      <c r="C1539" t="s">
        <v>1810</v>
      </c>
      <c r="D1539">
        <v>9.1906821114901696E-5</v>
      </c>
      <c r="E1539" t="s">
        <v>640</v>
      </c>
      <c r="H1539" t="s">
        <v>588</v>
      </c>
      <c r="I1539">
        <v>9.1906821114901696E-5</v>
      </c>
      <c r="J1539">
        <v>1.4049000000004648</v>
      </c>
      <c r="N1539" t="s">
        <v>2907</v>
      </c>
      <c r="O1539" t="s">
        <v>1758</v>
      </c>
      <c r="Q1539" t="s">
        <v>2909</v>
      </c>
    </row>
    <row r="1540" spans="2:17">
      <c r="B1540" t="s">
        <v>2906</v>
      </c>
      <c r="C1540" t="s">
        <v>1810</v>
      </c>
      <c r="D1540">
        <v>8.5509112751704902E-5</v>
      </c>
      <c r="E1540" t="s">
        <v>640</v>
      </c>
      <c r="H1540" t="s">
        <v>588</v>
      </c>
      <c r="I1540">
        <v>8.5509112751704902E-5</v>
      </c>
      <c r="J1540">
        <v>1.4049000000004648</v>
      </c>
      <c r="N1540" t="s">
        <v>2907</v>
      </c>
      <c r="O1540" t="s">
        <v>2069</v>
      </c>
      <c r="Q1540" t="s">
        <v>2909</v>
      </c>
    </row>
    <row r="1541" spans="2:17">
      <c r="B1541" t="s">
        <v>2906</v>
      </c>
      <c r="C1541" t="s">
        <v>1810</v>
      </c>
      <c r="D1541">
        <v>5.0048551671778801E-6</v>
      </c>
      <c r="E1541" t="s">
        <v>640</v>
      </c>
      <c r="H1541" t="s">
        <v>588</v>
      </c>
      <c r="I1541">
        <v>5.0048551671778801E-6</v>
      </c>
      <c r="J1541">
        <v>1.4049000000004648</v>
      </c>
      <c r="N1541" t="s">
        <v>2907</v>
      </c>
      <c r="O1541" t="s">
        <v>2069</v>
      </c>
      <c r="Q1541" t="s">
        <v>2909</v>
      </c>
    </row>
    <row r="1542" spans="2:17">
      <c r="B1542" t="s">
        <v>2906</v>
      </c>
      <c r="C1542" t="s">
        <v>1810</v>
      </c>
      <c r="D1542">
        <v>7.1196733867290101E-4</v>
      </c>
      <c r="E1542" t="s">
        <v>640</v>
      </c>
      <c r="H1542" t="s">
        <v>588</v>
      </c>
      <c r="I1542">
        <v>7.1196733867290101E-4</v>
      </c>
      <c r="J1542">
        <v>1.4049000000004648</v>
      </c>
      <c r="N1542" t="s">
        <v>2907</v>
      </c>
      <c r="O1542" t="s">
        <v>1758</v>
      </c>
      <c r="Q1542" t="s">
        <v>2908</v>
      </c>
    </row>
    <row r="1543" spans="2:17">
      <c r="B1543" t="s">
        <v>2906</v>
      </c>
      <c r="C1543" t="s">
        <v>1810</v>
      </c>
      <c r="D1543">
        <v>9.14865998301332E-7</v>
      </c>
      <c r="E1543" t="s">
        <v>640</v>
      </c>
      <c r="H1543" t="s">
        <v>588</v>
      </c>
      <c r="I1543">
        <v>9.14865998301332E-7</v>
      </c>
      <c r="J1543">
        <v>1.4049000000004648</v>
      </c>
      <c r="N1543" t="s">
        <v>2907</v>
      </c>
      <c r="O1543" t="s">
        <v>2069</v>
      </c>
      <c r="Q1543" t="s">
        <v>2909</v>
      </c>
    </row>
    <row r="1544" spans="2:17">
      <c r="B1544" t="s">
        <v>2906</v>
      </c>
      <c r="C1544" t="s">
        <v>1810</v>
      </c>
      <c r="D1544">
        <v>1.74831729389841E-4</v>
      </c>
      <c r="E1544" t="s">
        <v>640</v>
      </c>
      <c r="H1544" t="s">
        <v>588</v>
      </c>
      <c r="I1544">
        <v>1.74831729389841E-4</v>
      </c>
      <c r="J1544">
        <v>1.0457364348384068</v>
      </c>
      <c r="N1544" t="s">
        <v>2907</v>
      </c>
      <c r="O1544" t="s">
        <v>834</v>
      </c>
      <c r="Q1544" t="s">
        <v>2911</v>
      </c>
    </row>
    <row r="1545" spans="2:17">
      <c r="B1545" t="s">
        <v>2906</v>
      </c>
      <c r="C1545" t="s">
        <v>1810</v>
      </c>
      <c r="D1545">
        <v>8.9648999985945194E-6</v>
      </c>
      <c r="E1545" t="s">
        <v>640</v>
      </c>
      <c r="H1545" t="s">
        <v>588</v>
      </c>
      <c r="I1545">
        <v>8.9648999985945194E-6</v>
      </c>
      <c r="J1545">
        <v>1.4049000000004648</v>
      </c>
      <c r="N1545" t="s">
        <v>2907</v>
      </c>
      <c r="O1545" t="s">
        <v>2069</v>
      </c>
      <c r="Q1545" t="s">
        <v>2909</v>
      </c>
    </row>
    <row r="1546" spans="2:17">
      <c r="B1546" t="s">
        <v>2906</v>
      </c>
      <c r="C1546" t="s">
        <v>1810</v>
      </c>
      <c r="D1546">
        <v>1.42288570559337E-6</v>
      </c>
      <c r="E1546" t="s">
        <v>640</v>
      </c>
      <c r="H1546" t="s">
        <v>588</v>
      </c>
      <c r="I1546">
        <v>1.42288570559337E-6</v>
      </c>
      <c r="J1546">
        <v>1.4049000000004648</v>
      </c>
      <c r="N1546" t="s">
        <v>2907</v>
      </c>
      <c r="O1546" t="s">
        <v>2069</v>
      </c>
      <c r="Q1546" t="s">
        <v>2909</v>
      </c>
    </row>
    <row r="1547" spans="2:17">
      <c r="B1547" t="s">
        <v>2906</v>
      </c>
      <c r="C1547" t="s">
        <v>1810</v>
      </c>
      <c r="D1547">
        <v>2.43246724254237E-6</v>
      </c>
      <c r="E1547" t="s">
        <v>640</v>
      </c>
      <c r="H1547" t="s">
        <v>588</v>
      </c>
      <c r="I1547">
        <v>2.43246724254237E-6</v>
      </c>
      <c r="J1547">
        <v>1.4049000000004648</v>
      </c>
      <c r="N1547" t="s">
        <v>2907</v>
      </c>
      <c r="O1547" t="s">
        <v>2069</v>
      </c>
      <c r="Q1547" t="s">
        <v>2909</v>
      </c>
    </row>
    <row r="1548" spans="2:17">
      <c r="B1548" t="s">
        <v>2906</v>
      </c>
      <c r="C1548" t="s">
        <v>1810</v>
      </c>
      <c r="D1548">
        <v>3.6091813434692797E-5</v>
      </c>
      <c r="E1548" t="s">
        <v>640</v>
      </c>
      <c r="H1548" t="s">
        <v>588</v>
      </c>
      <c r="I1548">
        <v>3.6091813434692797E-5</v>
      </c>
      <c r="J1548">
        <v>1.4049000000004648</v>
      </c>
      <c r="N1548" t="s">
        <v>2907</v>
      </c>
      <c r="O1548" t="s">
        <v>2069</v>
      </c>
      <c r="Q1548" t="s">
        <v>2909</v>
      </c>
    </row>
    <row r="1549" spans="2:17">
      <c r="B1549" t="s">
        <v>1287</v>
      </c>
      <c r="C1549" t="s">
        <v>673</v>
      </c>
      <c r="D1549">
        <v>2.54981020257753E-6</v>
      </c>
      <c r="E1549" t="s">
        <v>94</v>
      </c>
      <c r="H1549" t="s">
        <v>588</v>
      </c>
      <c r="I1549">
        <v>2.54981020257753E-6</v>
      </c>
      <c r="J1549">
        <v>1.0247973619913604</v>
      </c>
      <c r="N1549" t="s">
        <v>1288</v>
      </c>
      <c r="O1549" t="s">
        <v>1657</v>
      </c>
      <c r="Q1549" t="s">
        <v>2912</v>
      </c>
    </row>
    <row r="1550" spans="2:17">
      <c r="B1550" t="s">
        <v>1287</v>
      </c>
      <c r="C1550" t="s">
        <v>673</v>
      </c>
      <c r="D1550">
        <v>1.1956368903902601E-5</v>
      </c>
      <c r="E1550" t="s">
        <v>94</v>
      </c>
      <c r="H1550" t="s">
        <v>588</v>
      </c>
      <c r="I1550">
        <v>1.1956368903902601E-5</v>
      </c>
      <c r="J1550">
        <v>1.0247973619913604</v>
      </c>
      <c r="N1550" t="s">
        <v>1288</v>
      </c>
      <c r="O1550" t="s">
        <v>1659</v>
      </c>
      <c r="Q1550" t="s">
        <v>2912</v>
      </c>
    </row>
    <row r="1551" spans="2:17">
      <c r="B1551" t="s">
        <v>675</v>
      </c>
      <c r="C1551" t="s">
        <v>676</v>
      </c>
      <c r="D1551">
        <v>3.1192486289940901E-3</v>
      </c>
      <c r="E1551" t="s">
        <v>94</v>
      </c>
      <c r="H1551" t="s">
        <v>588</v>
      </c>
      <c r="I1551">
        <v>3.1192486289940901E-3</v>
      </c>
      <c r="J1551">
        <v>1.0247973619913604</v>
      </c>
      <c r="N1551" t="s">
        <v>677</v>
      </c>
      <c r="O1551" t="s">
        <v>2913</v>
      </c>
      <c r="Q1551" t="s">
        <v>2914</v>
      </c>
    </row>
    <row r="1552" spans="2:17">
      <c r="B1552" t="s">
        <v>2915</v>
      </c>
      <c r="C1552" t="s">
        <v>664</v>
      </c>
      <c r="D1552">
        <v>2.1795890119534299E-4</v>
      </c>
      <c r="E1552" t="s">
        <v>94</v>
      </c>
      <c r="N1552" t="s">
        <v>2916</v>
      </c>
    </row>
    <row r="1553" spans="2:17">
      <c r="B1553" t="s">
        <v>2915</v>
      </c>
      <c r="C1553" t="s">
        <v>664</v>
      </c>
      <c r="D1553">
        <v>3.4723790199235301E-3</v>
      </c>
      <c r="E1553" t="s">
        <v>94</v>
      </c>
      <c r="N1553" t="s">
        <v>2917</v>
      </c>
    </row>
    <row r="1554" spans="2:17">
      <c r="B1554" t="s">
        <v>2915</v>
      </c>
      <c r="C1554" t="s">
        <v>664</v>
      </c>
      <c r="D1554">
        <v>2.4241028598950401E-2</v>
      </c>
      <c r="E1554" t="s">
        <v>94</v>
      </c>
      <c r="H1554" t="s">
        <v>588</v>
      </c>
      <c r="I1554">
        <v>2.4241028598950401E-2</v>
      </c>
      <c r="J1554">
        <v>1.0247973619913604</v>
      </c>
      <c r="N1554" t="s">
        <v>2918</v>
      </c>
      <c r="O1554" t="s">
        <v>1752</v>
      </c>
      <c r="Q1554" t="s">
        <v>2919</v>
      </c>
    </row>
    <row r="1555" spans="2:17">
      <c r="B1555" t="s">
        <v>2915</v>
      </c>
      <c r="C1555" t="s">
        <v>664</v>
      </c>
      <c r="D1555">
        <v>3.4958206171502E-3</v>
      </c>
      <c r="E1555" t="s">
        <v>94</v>
      </c>
      <c r="N1555" t="s">
        <v>2917</v>
      </c>
    </row>
    <row r="1556" spans="2:17">
      <c r="B1556" t="s">
        <v>2915</v>
      </c>
      <c r="C1556" t="s">
        <v>664</v>
      </c>
      <c r="D1556">
        <v>1.0615419161485601E-3</v>
      </c>
      <c r="E1556" t="s">
        <v>94</v>
      </c>
      <c r="N1556" t="s">
        <v>2916</v>
      </c>
    </row>
    <row r="1557" spans="2:17">
      <c r="B1557" t="s">
        <v>2915</v>
      </c>
      <c r="C1557" t="s">
        <v>664</v>
      </c>
      <c r="D1557">
        <v>8.5821240325371895E-4</v>
      </c>
      <c r="E1557" t="s">
        <v>94</v>
      </c>
      <c r="H1557" t="s">
        <v>588</v>
      </c>
      <c r="I1557">
        <v>8.5821240325371895E-4</v>
      </c>
      <c r="J1557">
        <v>1.0247973619913604</v>
      </c>
      <c r="N1557" t="s">
        <v>2918</v>
      </c>
      <c r="O1557" t="s">
        <v>2920</v>
      </c>
      <c r="Q1557" t="s">
        <v>2921</v>
      </c>
    </row>
    <row r="1558" spans="2:17">
      <c r="B1558" t="s">
        <v>2915</v>
      </c>
      <c r="C1558" t="s">
        <v>664</v>
      </c>
      <c r="D1558">
        <v>1.81857614643134E-4</v>
      </c>
      <c r="E1558" t="s">
        <v>94</v>
      </c>
      <c r="H1558" t="s">
        <v>588</v>
      </c>
      <c r="I1558">
        <v>1.81857614643134E-4</v>
      </c>
      <c r="J1558">
        <v>1.0247973619913604</v>
      </c>
      <c r="N1558" t="s">
        <v>2918</v>
      </c>
      <c r="O1558" t="s">
        <v>2920</v>
      </c>
      <c r="Q1558" t="s">
        <v>2921</v>
      </c>
    </row>
    <row r="1559" spans="2:17">
      <c r="B1559" t="s">
        <v>2915</v>
      </c>
      <c r="C1559" t="s">
        <v>664</v>
      </c>
      <c r="D1559">
        <v>2.3327465930531201E-4</v>
      </c>
      <c r="E1559" t="s">
        <v>94</v>
      </c>
      <c r="H1559" t="s">
        <v>588</v>
      </c>
      <c r="I1559">
        <v>2.3327465930531201E-4</v>
      </c>
      <c r="J1559">
        <v>1.0247973619913604</v>
      </c>
      <c r="N1559" t="s">
        <v>2918</v>
      </c>
      <c r="O1559" t="s">
        <v>2920</v>
      </c>
      <c r="Q1559" t="s">
        <v>2921</v>
      </c>
    </row>
    <row r="1560" spans="2:17">
      <c r="B1560" t="s">
        <v>2915</v>
      </c>
      <c r="C1560" t="s">
        <v>664</v>
      </c>
      <c r="D1560">
        <v>1.2862784770051601E-3</v>
      </c>
      <c r="E1560" t="s">
        <v>94</v>
      </c>
      <c r="N1560" t="s">
        <v>2922</v>
      </c>
    </row>
    <row r="1561" spans="2:17">
      <c r="B1561" t="s">
        <v>2915</v>
      </c>
      <c r="C1561" t="s">
        <v>664</v>
      </c>
      <c r="D1561">
        <v>1.0381003189219001E-3</v>
      </c>
      <c r="E1561" t="s">
        <v>94</v>
      </c>
      <c r="N1561" t="s">
        <v>2916</v>
      </c>
    </row>
    <row r="1562" spans="2:17">
      <c r="B1562" t="s">
        <v>2915</v>
      </c>
      <c r="C1562" t="s">
        <v>664</v>
      </c>
      <c r="D1562">
        <v>2.9129073918758202E-3</v>
      </c>
      <c r="E1562" t="s">
        <v>94</v>
      </c>
      <c r="N1562" t="s">
        <v>2917</v>
      </c>
    </row>
    <row r="1563" spans="2:17">
      <c r="B1563" t="s">
        <v>2915</v>
      </c>
      <c r="C1563" t="s">
        <v>664</v>
      </c>
      <c r="D1563">
        <v>1.62101354419628E-3</v>
      </c>
      <c r="E1563" t="s">
        <v>94</v>
      </c>
      <c r="N1563" t="s">
        <v>2916</v>
      </c>
    </row>
    <row r="1564" spans="2:17">
      <c r="B1564" t="s">
        <v>2915</v>
      </c>
      <c r="C1564" t="s">
        <v>664</v>
      </c>
      <c r="D1564">
        <v>4.3159620348767504E-3</v>
      </c>
      <c r="E1564" t="s">
        <v>94</v>
      </c>
      <c r="N1564" t="s">
        <v>2917</v>
      </c>
    </row>
    <row r="1565" spans="2:17">
      <c r="B1565" t="s">
        <v>2915</v>
      </c>
      <c r="C1565" t="s">
        <v>664</v>
      </c>
      <c r="D1565">
        <v>1.43226463457469E-4</v>
      </c>
      <c r="E1565" t="s">
        <v>94</v>
      </c>
      <c r="H1565" t="s">
        <v>588</v>
      </c>
      <c r="I1565">
        <v>1.43226463457469E-4</v>
      </c>
      <c r="J1565">
        <v>1.0247973619913604</v>
      </c>
      <c r="N1565" t="s">
        <v>2918</v>
      </c>
      <c r="O1565" t="s">
        <v>2920</v>
      </c>
      <c r="Q1565" t="s">
        <v>2921</v>
      </c>
    </row>
    <row r="1566" spans="2:17">
      <c r="B1566" t="s">
        <v>2915</v>
      </c>
      <c r="C1566" t="s">
        <v>664</v>
      </c>
      <c r="D1566">
        <v>3.5244615421934603E-4</v>
      </c>
      <c r="E1566" t="s">
        <v>94</v>
      </c>
      <c r="H1566" t="s">
        <v>588</v>
      </c>
      <c r="I1566">
        <v>3.5244615421934603E-4</v>
      </c>
      <c r="J1566">
        <v>1.0247973619913604</v>
      </c>
      <c r="N1566" t="s">
        <v>2918</v>
      </c>
      <c r="O1566" t="s">
        <v>2920</v>
      </c>
      <c r="Q1566" t="s">
        <v>2921</v>
      </c>
    </row>
    <row r="1567" spans="2:17">
      <c r="B1567" t="s">
        <v>2915</v>
      </c>
      <c r="C1567" t="s">
        <v>664</v>
      </c>
      <c r="D1567">
        <v>2.7227305266485E-3</v>
      </c>
      <c r="E1567" t="s">
        <v>94</v>
      </c>
      <c r="H1567" t="s">
        <v>588</v>
      </c>
      <c r="I1567">
        <v>2.7227305266485E-3</v>
      </c>
      <c r="J1567">
        <v>1.0247973619913604</v>
      </c>
      <c r="N1567" t="s">
        <v>2918</v>
      </c>
      <c r="O1567" t="s">
        <v>2920</v>
      </c>
      <c r="Q1567" t="s">
        <v>2921</v>
      </c>
    </row>
    <row r="1568" spans="2:17">
      <c r="B1568" t="s">
        <v>2915</v>
      </c>
      <c r="C1568" t="s">
        <v>664</v>
      </c>
      <c r="D1568">
        <v>4.9581168170689501E-3</v>
      </c>
      <c r="E1568" t="s">
        <v>94</v>
      </c>
      <c r="H1568" t="s">
        <v>588</v>
      </c>
      <c r="I1568">
        <v>4.9581168170689501E-3</v>
      </c>
      <c r="J1568">
        <v>1.0247973619913604</v>
      </c>
      <c r="N1568" t="s">
        <v>2918</v>
      </c>
      <c r="O1568" t="s">
        <v>2920</v>
      </c>
      <c r="Q1568" t="s">
        <v>2921</v>
      </c>
    </row>
    <row r="1569" spans="2:17">
      <c r="B1569" t="s">
        <v>2915</v>
      </c>
      <c r="C1569" t="s">
        <v>664</v>
      </c>
      <c r="D1569">
        <v>3.24763314432553E-3</v>
      </c>
      <c r="E1569" t="s">
        <v>94</v>
      </c>
      <c r="N1569" t="s">
        <v>2923</v>
      </c>
    </row>
    <row r="1570" spans="2:17">
      <c r="B1570" t="s">
        <v>2924</v>
      </c>
      <c r="C1570" t="s">
        <v>1725</v>
      </c>
      <c r="D1570">
        <v>1.0506314698528699E-3</v>
      </c>
      <c r="E1570" t="s">
        <v>94</v>
      </c>
      <c r="N1570" t="s">
        <v>2925</v>
      </c>
    </row>
    <row r="1571" spans="2:17">
      <c r="B1571" t="s">
        <v>2924</v>
      </c>
      <c r="C1571" t="s">
        <v>1725</v>
      </c>
      <c r="D1571">
        <v>1.2607577638234501E-4</v>
      </c>
      <c r="E1571" t="s">
        <v>94</v>
      </c>
      <c r="H1571" t="s">
        <v>588</v>
      </c>
      <c r="I1571">
        <v>1.2607577638234501E-4</v>
      </c>
      <c r="J1571">
        <v>1.0247973619913604</v>
      </c>
      <c r="N1571" t="s">
        <v>2926</v>
      </c>
      <c r="O1571" t="s">
        <v>1806</v>
      </c>
      <c r="Q1571" t="s">
        <v>1728</v>
      </c>
    </row>
    <row r="1572" spans="2:17">
      <c r="B1572" t="s">
        <v>2927</v>
      </c>
      <c r="C1572" t="s">
        <v>1848</v>
      </c>
      <c r="D1572">
        <v>2.1108924060546401E-3</v>
      </c>
      <c r="E1572" t="s">
        <v>94</v>
      </c>
      <c r="H1572" t="s">
        <v>588</v>
      </c>
      <c r="I1572">
        <v>2.1108924060546401E-3</v>
      </c>
      <c r="J1572">
        <v>1.0247973619913604</v>
      </c>
      <c r="N1572" t="s">
        <v>2928</v>
      </c>
      <c r="O1572" t="s">
        <v>952</v>
      </c>
      <c r="Q1572" t="s">
        <v>2319</v>
      </c>
    </row>
    <row r="1573" spans="2:17">
      <c r="B1573" t="s">
        <v>2927</v>
      </c>
      <c r="C1573" t="s">
        <v>1848</v>
      </c>
      <c r="D1573">
        <v>1.4253428978079101E-3</v>
      </c>
      <c r="E1573" t="s">
        <v>94</v>
      </c>
      <c r="H1573" t="s">
        <v>588</v>
      </c>
      <c r="I1573">
        <v>1.4253428978079101E-3</v>
      </c>
      <c r="J1573">
        <v>1.0247973619913604</v>
      </c>
      <c r="N1573" t="s">
        <v>2928</v>
      </c>
      <c r="O1573" t="s">
        <v>952</v>
      </c>
      <c r="Q1573" t="s">
        <v>2319</v>
      </c>
    </row>
    <row r="1574" spans="2:17">
      <c r="B1574" t="s">
        <v>2929</v>
      </c>
      <c r="C1574" t="s">
        <v>1810</v>
      </c>
      <c r="D1574">
        <v>2.81085386335792E-7</v>
      </c>
      <c r="E1574" t="s">
        <v>1811</v>
      </c>
      <c r="N1574" t="s">
        <v>2930</v>
      </c>
      <c r="Q1574" t="s">
        <v>2931</v>
      </c>
    </row>
    <row r="1575" spans="2:17">
      <c r="B1575" t="s">
        <v>2929</v>
      </c>
      <c r="C1575" t="s">
        <v>1810</v>
      </c>
      <c r="D1575">
        <v>3.7671992753022097E-7</v>
      </c>
      <c r="E1575" t="s">
        <v>1811</v>
      </c>
      <c r="N1575" t="s">
        <v>2930</v>
      </c>
      <c r="Q1575" t="s">
        <v>2931</v>
      </c>
    </row>
    <row r="1576" spans="2:17">
      <c r="B1576" t="s">
        <v>2929</v>
      </c>
      <c r="C1576" t="s">
        <v>1810</v>
      </c>
      <c r="D1576">
        <v>2.7076060548686098E-7</v>
      </c>
      <c r="E1576" t="s">
        <v>1811</v>
      </c>
      <c r="N1576" t="s">
        <v>2930</v>
      </c>
      <c r="Q1576" t="s">
        <v>2931</v>
      </c>
    </row>
    <row r="1577" spans="2:17">
      <c r="B1577" t="s">
        <v>2929</v>
      </c>
      <c r="C1577" t="s">
        <v>1810</v>
      </c>
      <c r="D1577">
        <v>6.2233985853755899E-7</v>
      </c>
      <c r="E1577" t="s">
        <v>1811</v>
      </c>
      <c r="N1577" t="s">
        <v>2930</v>
      </c>
      <c r="Q1577" t="s">
        <v>2931</v>
      </c>
    </row>
    <row r="1578" spans="2:17">
      <c r="B1578" t="s">
        <v>2932</v>
      </c>
      <c r="C1578" t="s">
        <v>701</v>
      </c>
      <c r="D1578">
        <v>7.3628738382915405E-5</v>
      </c>
      <c r="E1578" t="s">
        <v>94</v>
      </c>
      <c r="N1578" t="s">
        <v>2933</v>
      </c>
    </row>
    <row r="1579" spans="2:17">
      <c r="B1579" t="s">
        <v>2932</v>
      </c>
      <c r="C1579" t="s">
        <v>701</v>
      </c>
      <c r="D1579">
        <v>1.9185777557227199E-4</v>
      </c>
      <c r="E1579" t="s">
        <v>94</v>
      </c>
      <c r="H1579" t="s">
        <v>588</v>
      </c>
      <c r="I1579">
        <v>1.9185777557227199E-4</v>
      </c>
      <c r="J1579">
        <v>1</v>
      </c>
      <c r="N1579" t="s">
        <v>2933</v>
      </c>
      <c r="O1579" t="s">
        <v>921</v>
      </c>
      <c r="Q1579" t="s">
        <v>2038</v>
      </c>
    </row>
    <row r="1580" spans="2:17">
      <c r="B1580" t="s">
        <v>1291</v>
      </c>
      <c r="C1580" t="s">
        <v>667</v>
      </c>
      <c r="D1580">
        <v>3.4532115302424198E-4</v>
      </c>
      <c r="E1580" t="s">
        <v>94</v>
      </c>
      <c r="H1580" t="s">
        <v>588</v>
      </c>
      <c r="I1580">
        <v>3.4532115302424198E-4</v>
      </c>
      <c r="J1580">
        <v>1.1051709180756477</v>
      </c>
      <c r="N1580" t="s">
        <v>1292</v>
      </c>
      <c r="O1580" t="s">
        <v>2934</v>
      </c>
      <c r="Q1580" t="s">
        <v>595</v>
      </c>
    </row>
    <row r="1581" spans="2:17">
      <c r="B1581" t="s">
        <v>2935</v>
      </c>
      <c r="C1581" t="s">
        <v>569</v>
      </c>
      <c r="D1581">
        <v>1.6018759822985198E-5</v>
      </c>
      <c r="E1581" t="s">
        <v>94</v>
      </c>
      <c r="H1581" t="s">
        <v>588</v>
      </c>
      <c r="I1581">
        <v>1.6018759822985198E-5</v>
      </c>
      <c r="J1581">
        <v>1.0247973619913604</v>
      </c>
      <c r="N1581" t="s">
        <v>2936</v>
      </c>
      <c r="O1581" t="s">
        <v>641</v>
      </c>
      <c r="Q1581" t="s">
        <v>1672</v>
      </c>
    </row>
    <row r="1582" spans="2:17">
      <c r="B1582" t="s">
        <v>2937</v>
      </c>
      <c r="C1582" t="s">
        <v>587</v>
      </c>
      <c r="D1582">
        <v>4.7023978503276602E-4</v>
      </c>
      <c r="E1582" t="s">
        <v>94</v>
      </c>
      <c r="H1582" t="s">
        <v>588</v>
      </c>
      <c r="I1582">
        <v>4.7023978503276602E-4</v>
      </c>
      <c r="J1582">
        <v>1.0247973619913604</v>
      </c>
      <c r="O1582" t="s">
        <v>641</v>
      </c>
      <c r="Q1582" t="s">
        <v>1643</v>
      </c>
    </row>
    <row r="1583" spans="2:17">
      <c r="B1583" t="s">
        <v>2938</v>
      </c>
      <c r="C1583" t="s">
        <v>2939</v>
      </c>
      <c r="D1583">
        <v>1.16072395725915E-4</v>
      </c>
      <c r="E1583" t="s">
        <v>94</v>
      </c>
      <c r="N1583" t="s">
        <v>2940</v>
      </c>
    </row>
    <row r="1584" spans="2:17">
      <c r="B1584" t="s">
        <v>2938</v>
      </c>
      <c r="C1584" t="s">
        <v>2939</v>
      </c>
      <c r="D1584">
        <v>2.7779411832013699E-4</v>
      </c>
      <c r="E1584" t="s">
        <v>94</v>
      </c>
      <c r="H1584" t="s">
        <v>588</v>
      </c>
      <c r="I1584">
        <v>2.7779411832013699E-4</v>
      </c>
      <c r="J1584">
        <v>1.0247973619913604</v>
      </c>
      <c r="N1584" t="s">
        <v>2941</v>
      </c>
      <c r="O1584" t="s">
        <v>1806</v>
      </c>
      <c r="Q1584" t="s">
        <v>1728</v>
      </c>
    </row>
    <row r="1585" spans="2:17">
      <c r="B1585" t="s">
        <v>2938</v>
      </c>
      <c r="C1585" t="s">
        <v>2939</v>
      </c>
      <c r="D1585">
        <v>3.0118959108915098E-4</v>
      </c>
      <c r="E1585" t="s">
        <v>94</v>
      </c>
      <c r="N1585" t="s">
        <v>2940</v>
      </c>
    </row>
    <row r="1586" spans="2:17">
      <c r="B1586" t="s">
        <v>2938</v>
      </c>
      <c r="C1586" t="s">
        <v>2939</v>
      </c>
      <c r="D1586">
        <v>1.79735373042371E-3</v>
      </c>
      <c r="E1586" t="s">
        <v>94</v>
      </c>
      <c r="N1586" t="s">
        <v>2940</v>
      </c>
    </row>
    <row r="1587" spans="2:17">
      <c r="B1587" t="s">
        <v>2938</v>
      </c>
      <c r="C1587" t="s">
        <v>2939</v>
      </c>
      <c r="D1587">
        <v>1.00335268762369E-4</v>
      </c>
      <c r="E1587" t="s">
        <v>94</v>
      </c>
      <c r="N1587" t="s">
        <v>2940</v>
      </c>
    </row>
    <row r="1588" spans="2:17">
      <c r="B1588" t="s">
        <v>2942</v>
      </c>
      <c r="C1588" t="s">
        <v>1830</v>
      </c>
      <c r="D1588">
        <v>5.6028753175423095E-4</v>
      </c>
      <c r="E1588" t="s">
        <v>94</v>
      </c>
      <c r="N1588" t="s">
        <v>2943</v>
      </c>
    </row>
    <row r="1589" spans="2:17">
      <c r="B1589" t="s">
        <v>2942</v>
      </c>
      <c r="C1589" t="s">
        <v>1830</v>
      </c>
      <c r="D1589">
        <v>5.6028753175423095E-4</v>
      </c>
      <c r="E1589" t="s">
        <v>94</v>
      </c>
      <c r="N1589" t="s">
        <v>2944</v>
      </c>
    </row>
    <row r="1590" spans="2:17">
      <c r="B1590" t="s">
        <v>2942</v>
      </c>
      <c r="C1590" t="s">
        <v>1830</v>
      </c>
      <c r="D1590">
        <v>1.34469007621015E-4</v>
      </c>
      <c r="E1590" t="s">
        <v>94</v>
      </c>
      <c r="H1590" t="s">
        <v>588</v>
      </c>
      <c r="I1590">
        <v>1.34469007621015E-4</v>
      </c>
      <c r="J1590">
        <v>1.0247973619913604</v>
      </c>
      <c r="N1590" t="s">
        <v>2945</v>
      </c>
      <c r="O1590" t="s">
        <v>1806</v>
      </c>
      <c r="Q1590" t="s">
        <v>1728</v>
      </c>
    </row>
    <row r="1591" spans="2:17">
      <c r="B1591" t="s">
        <v>1293</v>
      </c>
      <c r="C1591" t="s">
        <v>1170</v>
      </c>
      <c r="D1591">
        <v>1.4130429406516399E-8</v>
      </c>
      <c r="E1591" t="s">
        <v>94</v>
      </c>
      <c r="H1591" t="s">
        <v>588</v>
      </c>
      <c r="I1591">
        <v>1.4130429406516399E-8</v>
      </c>
      <c r="J1591">
        <v>1.0247973619913604</v>
      </c>
      <c r="N1591" t="s">
        <v>1294</v>
      </c>
      <c r="O1591" t="s">
        <v>1135</v>
      </c>
      <c r="Q1591" t="s">
        <v>1136</v>
      </c>
    </row>
    <row r="1592" spans="2:17">
      <c r="B1592" t="s">
        <v>2946</v>
      </c>
      <c r="C1592" t="s">
        <v>664</v>
      </c>
      <c r="D1592">
        <v>1.7108055504716699E-3</v>
      </c>
      <c r="E1592" t="s">
        <v>94</v>
      </c>
      <c r="N1592" t="s">
        <v>2947</v>
      </c>
    </row>
    <row r="1593" spans="2:17">
      <c r="B1593" t="s">
        <v>2946</v>
      </c>
      <c r="C1593" t="s">
        <v>664</v>
      </c>
      <c r="D1593">
        <v>5.0414139309718697E-5</v>
      </c>
      <c r="E1593" t="s">
        <v>94</v>
      </c>
      <c r="H1593" t="s">
        <v>588</v>
      </c>
      <c r="I1593">
        <v>5.0414139309718697E-5</v>
      </c>
      <c r="J1593">
        <v>1.0247973619913604</v>
      </c>
      <c r="N1593" t="s">
        <v>2948</v>
      </c>
      <c r="O1593" t="s">
        <v>641</v>
      </c>
      <c r="Q1593" t="s">
        <v>1672</v>
      </c>
    </row>
    <row r="1594" spans="2:17">
      <c r="B1594" t="s">
        <v>2946</v>
      </c>
      <c r="C1594" t="s">
        <v>664</v>
      </c>
      <c r="D1594">
        <v>8.8705498391114296E-4</v>
      </c>
      <c r="E1594" t="s">
        <v>94</v>
      </c>
      <c r="N1594" t="s">
        <v>2947</v>
      </c>
    </row>
    <row r="1595" spans="2:17">
      <c r="B1595" t="s">
        <v>2946</v>
      </c>
      <c r="C1595" t="s">
        <v>664</v>
      </c>
      <c r="D1595">
        <v>7.6048262707868401E-7</v>
      </c>
      <c r="E1595" t="s">
        <v>94</v>
      </c>
      <c r="H1595" t="s">
        <v>588</v>
      </c>
      <c r="I1595">
        <v>7.6048262707868401E-7</v>
      </c>
      <c r="J1595">
        <v>1</v>
      </c>
      <c r="N1595" t="s">
        <v>2948</v>
      </c>
      <c r="O1595" t="s">
        <v>1654</v>
      </c>
      <c r="Q1595" t="s">
        <v>595</v>
      </c>
    </row>
    <row r="1596" spans="2:17">
      <c r="B1596" t="s">
        <v>2946</v>
      </c>
      <c r="C1596" t="s">
        <v>664</v>
      </c>
      <c r="D1596">
        <v>6.7518573021054099E-6</v>
      </c>
      <c r="E1596" t="s">
        <v>94</v>
      </c>
      <c r="H1596" t="s">
        <v>588</v>
      </c>
      <c r="I1596">
        <v>6.7518573021054099E-6</v>
      </c>
      <c r="J1596">
        <v>1.0247973619913604</v>
      </c>
      <c r="N1596" t="s">
        <v>2948</v>
      </c>
      <c r="O1596" t="s">
        <v>641</v>
      </c>
      <c r="Q1596" t="s">
        <v>1672</v>
      </c>
    </row>
    <row r="1597" spans="2:17">
      <c r="B1597" t="s">
        <v>2946</v>
      </c>
      <c r="C1597" t="s">
        <v>664</v>
      </c>
      <c r="D1597">
        <v>4.5140461576104098E-4</v>
      </c>
      <c r="E1597" t="s">
        <v>94</v>
      </c>
      <c r="H1597" t="s">
        <v>588</v>
      </c>
      <c r="I1597">
        <v>4.5140461576104098E-4</v>
      </c>
      <c r="J1597">
        <v>1.0247973619913604</v>
      </c>
      <c r="N1597" t="s">
        <v>2948</v>
      </c>
      <c r="O1597" t="s">
        <v>641</v>
      </c>
      <c r="Q1597" t="s">
        <v>2808</v>
      </c>
    </row>
    <row r="1598" spans="2:17">
      <c r="B1598" t="s">
        <v>2946</v>
      </c>
      <c r="C1598" t="s">
        <v>664</v>
      </c>
      <c r="D1598">
        <v>7.2733267249166698E-4</v>
      </c>
      <c r="E1598" t="s">
        <v>94</v>
      </c>
      <c r="H1598" t="s">
        <v>588</v>
      </c>
      <c r="I1598">
        <v>7.2733267249166698E-4</v>
      </c>
      <c r="J1598">
        <v>1.0247973619913604</v>
      </c>
      <c r="N1598" t="s">
        <v>2948</v>
      </c>
      <c r="O1598" t="s">
        <v>641</v>
      </c>
      <c r="Q1598" t="s">
        <v>1672</v>
      </c>
    </row>
    <row r="1599" spans="2:17">
      <c r="B1599" t="s">
        <v>2946</v>
      </c>
      <c r="C1599" t="s">
        <v>664</v>
      </c>
      <c r="D1599">
        <v>9.0070035091518202E-5</v>
      </c>
      <c r="E1599" t="s">
        <v>94</v>
      </c>
      <c r="H1599" t="s">
        <v>588</v>
      </c>
      <c r="I1599">
        <v>9.0070035091518202E-5</v>
      </c>
      <c r="J1599">
        <v>1.0247973619913604</v>
      </c>
      <c r="N1599" t="s">
        <v>2948</v>
      </c>
      <c r="O1599" t="s">
        <v>641</v>
      </c>
      <c r="Q1599" t="s">
        <v>1672</v>
      </c>
    </row>
    <row r="1600" spans="2:17">
      <c r="B1600" t="s">
        <v>2946</v>
      </c>
      <c r="C1600" t="s">
        <v>664</v>
      </c>
      <c r="D1600">
        <v>2.76906100424931E-6</v>
      </c>
      <c r="E1600" t="s">
        <v>94</v>
      </c>
      <c r="N1600" t="s">
        <v>2949</v>
      </c>
    </row>
    <row r="1601" spans="2:17">
      <c r="B1601" t="s">
        <v>2946</v>
      </c>
      <c r="C1601" t="s">
        <v>664</v>
      </c>
      <c r="D1601">
        <v>4.1374730291858404E-3</v>
      </c>
      <c r="E1601" t="s">
        <v>94</v>
      </c>
      <c r="N1601" t="s">
        <v>2950</v>
      </c>
    </row>
    <row r="1602" spans="2:17">
      <c r="B1602" t="s">
        <v>2946</v>
      </c>
      <c r="C1602" t="s">
        <v>664</v>
      </c>
      <c r="D1602">
        <v>3.3137224626253099E-3</v>
      </c>
      <c r="E1602" t="s">
        <v>94</v>
      </c>
      <c r="N1602" t="s">
        <v>2950</v>
      </c>
    </row>
    <row r="1603" spans="2:17">
      <c r="B1603" t="s">
        <v>2946</v>
      </c>
      <c r="C1603" t="s">
        <v>664</v>
      </c>
      <c r="D1603">
        <v>3.55436670505441E-3</v>
      </c>
      <c r="E1603" t="s">
        <v>94</v>
      </c>
      <c r="N1603" t="s">
        <v>2951</v>
      </c>
    </row>
    <row r="1604" spans="2:17">
      <c r="B1604" t="s">
        <v>2946</v>
      </c>
      <c r="C1604" t="s">
        <v>664</v>
      </c>
      <c r="D1604">
        <v>1.46738080737179E-3</v>
      </c>
      <c r="E1604" t="s">
        <v>94</v>
      </c>
      <c r="N1604" t="s">
        <v>2952</v>
      </c>
    </row>
    <row r="1605" spans="2:17">
      <c r="B1605" t="s">
        <v>2946</v>
      </c>
      <c r="C1605" t="s">
        <v>664</v>
      </c>
      <c r="D1605">
        <v>4.4071322153125302E-3</v>
      </c>
      <c r="E1605" t="s">
        <v>94</v>
      </c>
      <c r="N1605" t="s">
        <v>2950</v>
      </c>
    </row>
    <row r="1606" spans="2:17">
      <c r="B1606" t="s">
        <v>2946</v>
      </c>
      <c r="C1606" t="s">
        <v>664</v>
      </c>
      <c r="D1606">
        <v>8.6603648796253207E-6</v>
      </c>
      <c r="E1606" t="s">
        <v>94</v>
      </c>
      <c r="H1606" t="s">
        <v>588</v>
      </c>
      <c r="I1606">
        <v>8.6603648796253207E-6</v>
      </c>
      <c r="J1606">
        <v>1.0247973619913604</v>
      </c>
      <c r="N1606" t="s">
        <v>2948</v>
      </c>
      <c r="O1606" t="s">
        <v>641</v>
      </c>
      <c r="Q1606" t="s">
        <v>1672</v>
      </c>
    </row>
    <row r="1607" spans="2:17">
      <c r="B1607" t="s">
        <v>2946</v>
      </c>
      <c r="C1607" t="s">
        <v>664</v>
      </c>
      <c r="D1607">
        <v>6.1739579778445901E-4</v>
      </c>
      <c r="E1607" t="s">
        <v>94</v>
      </c>
      <c r="N1607" t="s">
        <v>2947</v>
      </c>
    </row>
    <row r="1608" spans="2:17">
      <c r="B1608" t="s">
        <v>2946</v>
      </c>
      <c r="C1608" t="s">
        <v>664</v>
      </c>
      <c r="D1608">
        <v>9.6147567188555101E-5</v>
      </c>
      <c r="E1608" t="s">
        <v>94</v>
      </c>
      <c r="H1608" t="s">
        <v>588</v>
      </c>
      <c r="I1608">
        <v>9.6147567188555101E-5</v>
      </c>
      <c r="J1608">
        <v>1.0247973619913604</v>
      </c>
      <c r="N1608" t="s">
        <v>2953</v>
      </c>
      <c r="O1608" t="s">
        <v>1002</v>
      </c>
      <c r="Q1608" t="s">
        <v>1444</v>
      </c>
    </row>
    <row r="1609" spans="2:17">
      <c r="B1609" t="s">
        <v>2946</v>
      </c>
      <c r="C1609" t="s">
        <v>664</v>
      </c>
      <c r="D1609">
        <v>2.9702067623613398E-3</v>
      </c>
      <c r="E1609" t="s">
        <v>94</v>
      </c>
      <c r="N1609" t="s">
        <v>2950</v>
      </c>
    </row>
    <row r="1610" spans="2:17">
      <c r="B1610" t="s">
        <v>2946</v>
      </c>
      <c r="C1610" t="s">
        <v>664</v>
      </c>
      <c r="D1610">
        <v>7.2705291644493802E-6</v>
      </c>
      <c r="E1610" t="s">
        <v>94</v>
      </c>
      <c r="H1610" t="s">
        <v>588</v>
      </c>
      <c r="I1610">
        <v>7.2705291644493802E-6</v>
      </c>
      <c r="J1610">
        <v>1.0247973619913604</v>
      </c>
      <c r="N1610" t="s">
        <v>2948</v>
      </c>
      <c r="O1610" t="s">
        <v>641</v>
      </c>
      <c r="Q1610" t="s">
        <v>1672</v>
      </c>
    </row>
    <row r="1611" spans="2:17">
      <c r="B1611" t="s">
        <v>2946</v>
      </c>
      <c r="C1611" t="s">
        <v>664</v>
      </c>
      <c r="D1611">
        <v>2.0543212507356501E-3</v>
      </c>
      <c r="E1611" t="s">
        <v>94</v>
      </c>
      <c r="N1611" t="s">
        <v>2947</v>
      </c>
    </row>
    <row r="1612" spans="2:17">
      <c r="B1612" t="s">
        <v>2954</v>
      </c>
      <c r="C1612" t="s">
        <v>664</v>
      </c>
      <c r="D1612">
        <v>4.4601634437160401E-3</v>
      </c>
      <c r="E1612" t="s">
        <v>607</v>
      </c>
      <c r="H1612" t="s">
        <v>588</v>
      </c>
      <c r="I1612">
        <v>4.4601634437160401E-3</v>
      </c>
      <c r="J1612">
        <v>1.0247973619913604</v>
      </c>
      <c r="N1612" t="s">
        <v>2955</v>
      </c>
      <c r="O1612" t="s">
        <v>641</v>
      </c>
      <c r="Q1612" t="s">
        <v>2956</v>
      </c>
    </row>
    <row r="1613" spans="2:17">
      <c r="B1613" t="s">
        <v>2957</v>
      </c>
      <c r="C1613" t="s">
        <v>676</v>
      </c>
      <c r="D1613">
        <v>4.3413833196274697E-2</v>
      </c>
      <c r="E1613" t="s">
        <v>94</v>
      </c>
      <c r="H1613" t="s">
        <v>588</v>
      </c>
      <c r="I1613">
        <v>4.3413833196274697E-2</v>
      </c>
      <c r="J1613">
        <v>1.0247973619913604</v>
      </c>
      <c r="N1613" t="s">
        <v>2958</v>
      </c>
      <c r="O1613" t="s">
        <v>641</v>
      </c>
      <c r="Q1613" t="s">
        <v>1643</v>
      </c>
    </row>
    <row r="1614" spans="2:17">
      <c r="B1614" t="s">
        <v>2957</v>
      </c>
      <c r="C1614" t="s">
        <v>676</v>
      </c>
      <c r="D1614">
        <v>3.7752679784622701E-3</v>
      </c>
      <c r="E1614" t="s">
        <v>94</v>
      </c>
      <c r="H1614" t="s">
        <v>588</v>
      </c>
      <c r="I1614">
        <v>3.7752679784622701E-3</v>
      </c>
      <c r="J1614">
        <v>1.0247973619913604</v>
      </c>
      <c r="N1614" t="s">
        <v>2958</v>
      </c>
      <c r="O1614" t="s">
        <v>641</v>
      </c>
      <c r="Q1614" t="s">
        <v>1643</v>
      </c>
    </row>
    <row r="1615" spans="2:17">
      <c r="B1615" t="s">
        <v>2959</v>
      </c>
      <c r="C1615" t="s">
        <v>650</v>
      </c>
      <c r="D1615">
        <v>1.03636464890275E-5</v>
      </c>
      <c r="E1615" t="s">
        <v>94</v>
      </c>
      <c r="H1615" t="s">
        <v>588</v>
      </c>
      <c r="I1615">
        <v>1.03636464890275E-5</v>
      </c>
      <c r="J1615">
        <v>1.1051709180756477</v>
      </c>
      <c r="N1615" t="s">
        <v>2960</v>
      </c>
      <c r="O1615" t="s">
        <v>798</v>
      </c>
      <c r="Q1615" t="s">
        <v>2961</v>
      </c>
    </row>
    <row r="1616" spans="2:17">
      <c r="B1616" t="s">
        <v>2959</v>
      </c>
      <c r="C1616" t="s">
        <v>650</v>
      </c>
      <c r="D1616">
        <v>2.9822593575530698E-6</v>
      </c>
      <c r="E1616" t="s">
        <v>94</v>
      </c>
      <c r="H1616" t="s">
        <v>588</v>
      </c>
      <c r="I1616">
        <v>2.9822593575530698E-6</v>
      </c>
      <c r="J1616">
        <v>2.2394398661220611</v>
      </c>
      <c r="N1616" t="s">
        <v>2962</v>
      </c>
      <c r="O1616" t="s">
        <v>798</v>
      </c>
      <c r="Q1616" t="s">
        <v>2805</v>
      </c>
    </row>
    <row r="1617" spans="2:17">
      <c r="B1617" t="s">
        <v>2959</v>
      </c>
      <c r="C1617" t="s">
        <v>650</v>
      </c>
      <c r="D1617">
        <v>1.5695290133150899E-4</v>
      </c>
      <c r="E1617" t="s">
        <v>94</v>
      </c>
      <c r="H1617" t="s">
        <v>588</v>
      </c>
      <c r="I1617">
        <v>1.5695290133150899E-4</v>
      </c>
      <c r="J1617">
        <v>1.1051709180756477</v>
      </c>
      <c r="N1617" t="s">
        <v>2960</v>
      </c>
      <c r="O1617" t="s">
        <v>921</v>
      </c>
      <c r="Q1617" t="s">
        <v>979</v>
      </c>
    </row>
    <row r="1618" spans="2:17">
      <c r="B1618" t="s">
        <v>680</v>
      </c>
      <c r="C1618" t="s">
        <v>650</v>
      </c>
      <c r="D1618">
        <v>1.5455312975091599E-4</v>
      </c>
      <c r="E1618" t="s">
        <v>94</v>
      </c>
      <c r="H1618" t="s">
        <v>588</v>
      </c>
      <c r="I1618">
        <v>1.5455312975091599E-4</v>
      </c>
      <c r="J1618">
        <v>1.0247973619913604</v>
      </c>
      <c r="N1618" t="s">
        <v>681</v>
      </c>
      <c r="O1618" t="s">
        <v>1002</v>
      </c>
      <c r="Q1618" t="s">
        <v>2963</v>
      </c>
    </row>
    <row r="1619" spans="2:17">
      <c r="B1619" t="s">
        <v>680</v>
      </c>
      <c r="C1619" t="s">
        <v>650</v>
      </c>
      <c r="D1619">
        <v>5.9276275744046196E-4</v>
      </c>
      <c r="E1619" t="s">
        <v>94</v>
      </c>
      <c r="H1619" t="s">
        <v>588</v>
      </c>
      <c r="I1619">
        <v>5.9276275744046196E-4</v>
      </c>
      <c r="J1619">
        <v>1.1051709180756477</v>
      </c>
      <c r="N1619" t="s">
        <v>681</v>
      </c>
      <c r="O1619" t="s">
        <v>1675</v>
      </c>
      <c r="Q1619" t="s">
        <v>979</v>
      </c>
    </row>
    <row r="1620" spans="2:17">
      <c r="B1620" t="s">
        <v>2964</v>
      </c>
      <c r="C1620" t="s">
        <v>676</v>
      </c>
      <c r="D1620">
        <v>4.2595005550149801E-4</v>
      </c>
      <c r="E1620" t="s">
        <v>94</v>
      </c>
      <c r="H1620" t="s">
        <v>588</v>
      </c>
      <c r="I1620">
        <v>4.2595005550149801E-4</v>
      </c>
      <c r="J1620">
        <v>1.1051709180756477</v>
      </c>
      <c r="N1620" t="s">
        <v>2965</v>
      </c>
      <c r="O1620" t="s">
        <v>1700</v>
      </c>
      <c r="Q1620" t="s">
        <v>2966</v>
      </c>
    </row>
    <row r="1621" spans="2:17">
      <c r="B1621" t="s">
        <v>2964</v>
      </c>
      <c r="C1621" t="s">
        <v>676</v>
      </c>
      <c r="D1621">
        <v>2.41533809026405E-4</v>
      </c>
      <c r="E1621" t="s">
        <v>94</v>
      </c>
      <c r="H1621" t="s">
        <v>588</v>
      </c>
      <c r="I1621">
        <v>2.41533809026405E-4</v>
      </c>
      <c r="J1621">
        <v>1.1051709180756477</v>
      </c>
      <c r="N1621" t="s">
        <v>2965</v>
      </c>
      <c r="O1621" t="s">
        <v>1700</v>
      </c>
      <c r="Q1621" t="s">
        <v>2966</v>
      </c>
    </row>
    <row r="1622" spans="2:17">
      <c r="B1622" t="s">
        <v>2964</v>
      </c>
      <c r="C1622" t="s">
        <v>676</v>
      </c>
      <c r="D1622">
        <v>1.5159310497398501E-4</v>
      </c>
      <c r="E1622" t="s">
        <v>94</v>
      </c>
      <c r="H1622" t="s">
        <v>588</v>
      </c>
      <c r="I1622">
        <v>1.5159310497398501E-4</v>
      </c>
      <c r="J1622">
        <v>1.1051709180756477</v>
      </c>
      <c r="N1622" t="s">
        <v>2965</v>
      </c>
      <c r="O1622" t="s">
        <v>1700</v>
      </c>
      <c r="Q1622" t="s">
        <v>2966</v>
      </c>
    </row>
    <row r="1623" spans="2:17">
      <c r="B1623" t="s">
        <v>2967</v>
      </c>
      <c r="C1623" t="s">
        <v>615</v>
      </c>
      <c r="D1623">
        <v>3.4750077048724101E-12</v>
      </c>
      <c r="E1623" t="s">
        <v>616</v>
      </c>
      <c r="H1623" t="s">
        <v>588</v>
      </c>
      <c r="I1623">
        <v>3.4750077048724101E-12</v>
      </c>
      <c r="J1623">
        <v>1.7915751222543432</v>
      </c>
      <c r="N1623" t="s">
        <v>2968</v>
      </c>
      <c r="O1623" t="s">
        <v>2969</v>
      </c>
      <c r="Q1623" t="s">
        <v>979</v>
      </c>
    </row>
    <row r="1624" spans="2:17">
      <c r="B1624" t="s">
        <v>2970</v>
      </c>
      <c r="C1624" t="s">
        <v>676</v>
      </c>
      <c r="D1624">
        <v>7.16264381413661E-2</v>
      </c>
      <c r="E1624" t="s">
        <v>94</v>
      </c>
      <c r="H1624" t="s">
        <v>588</v>
      </c>
      <c r="I1624">
        <v>7.16264381413661E-2</v>
      </c>
      <c r="J1624">
        <v>1.0247973619913604</v>
      </c>
      <c r="N1624" t="s">
        <v>2971</v>
      </c>
      <c r="O1624" t="s">
        <v>2972</v>
      </c>
      <c r="Q1624" t="s">
        <v>2000</v>
      </c>
    </row>
    <row r="1625" spans="2:17">
      <c r="B1625" t="s">
        <v>2973</v>
      </c>
      <c r="C1625" t="s">
        <v>676</v>
      </c>
      <c r="D1625">
        <v>2.8349326925415599E-2</v>
      </c>
      <c r="E1625" t="s">
        <v>94</v>
      </c>
      <c r="H1625" t="s">
        <v>588</v>
      </c>
      <c r="I1625">
        <v>2.8349326925415599E-2</v>
      </c>
      <c r="J1625">
        <v>1.0247973619913604</v>
      </c>
      <c r="N1625" t="s">
        <v>2974</v>
      </c>
      <c r="O1625" t="s">
        <v>641</v>
      </c>
      <c r="Q1625" t="s">
        <v>1643</v>
      </c>
    </row>
    <row r="1626" spans="2:17">
      <c r="B1626" t="s">
        <v>2973</v>
      </c>
      <c r="C1626" t="s">
        <v>676</v>
      </c>
      <c r="D1626">
        <v>3.4814470467420798E-4</v>
      </c>
      <c r="E1626" t="s">
        <v>94</v>
      </c>
      <c r="H1626" t="s">
        <v>588</v>
      </c>
      <c r="I1626">
        <v>3.4814470467420798E-4</v>
      </c>
      <c r="J1626">
        <v>1.0247973619913604</v>
      </c>
      <c r="N1626" t="s">
        <v>2974</v>
      </c>
      <c r="O1626" t="s">
        <v>641</v>
      </c>
      <c r="Q1626" t="s">
        <v>1643</v>
      </c>
    </row>
    <row r="1627" spans="2:17">
      <c r="B1627" t="s">
        <v>2975</v>
      </c>
      <c r="C1627" t="s">
        <v>676</v>
      </c>
      <c r="D1627">
        <v>1.1339761372697001E-8</v>
      </c>
      <c r="E1627" t="s">
        <v>94</v>
      </c>
      <c r="H1627" t="s">
        <v>588</v>
      </c>
      <c r="I1627">
        <v>1.1339761372697001E-8</v>
      </c>
      <c r="J1627">
        <v>1.0247973619913604</v>
      </c>
      <c r="N1627" t="s">
        <v>2976</v>
      </c>
      <c r="O1627" t="s">
        <v>641</v>
      </c>
      <c r="Q1627" t="s">
        <v>1643</v>
      </c>
    </row>
    <row r="1628" spans="2:17">
      <c r="B1628" t="s">
        <v>2975</v>
      </c>
      <c r="C1628" t="s">
        <v>676</v>
      </c>
      <c r="D1628">
        <v>2.77323768695535E-5</v>
      </c>
      <c r="E1628" t="s">
        <v>94</v>
      </c>
      <c r="H1628" t="s">
        <v>588</v>
      </c>
      <c r="I1628">
        <v>2.77323768695535E-5</v>
      </c>
      <c r="J1628">
        <v>1.0247973619913604</v>
      </c>
      <c r="N1628" t="s">
        <v>2976</v>
      </c>
      <c r="O1628" t="s">
        <v>641</v>
      </c>
      <c r="Q1628" t="s">
        <v>1643</v>
      </c>
    </row>
    <row r="1629" spans="2:17">
      <c r="B1629" t="s">
        <v>2975</v>
      </c>
      <c r="C1629" t="s">
        <v>676</v>
      </c>
      <c r="D1629">
        <v>1.0953637387196399E-6</v>
      </c>
      <c r="E1629" t="s">
        <v>94</v>
      </c>
      <c r="H1629" t="s">
        <v>588</v>
      </c>
      <c r="I1629">
        <v>1.0953637387196399E-6</v>
      </c>
      <c r="J1629">
        <v>1.0247973619913604</v>
      </c>
      <c r="N1629" t="s">
        <v>2976</v>
      </c>
      <c r="O1629" t="s">
        <v>641</v>
      </c>
      <c r="Q1629" t="s">
        <v>1643</v>
      </c>
    </row>
    <row r="1630" spans="2:17">
      <c r="B1630" t="s">
        <v>2977</v>
      </c>
      <c r="C1630" t="s">
        <v>664</v>
      </c>
      <c r="D1630">
        <v>1.0917653446344101E-4</v>
      </c>
      <c r="E1630" t="s">
        <v>94</v>
      </c>
      <c r="N1630" t="s">
        <v>2978</v>
      </c>
    </row>
    <row r="1631" spans="2:17">
      <c r="B1631" t="s">
        <v>2977</v>
      </c>
      <c r="C1631" t="s">
        <v>664</v>
      </c>
      <c r="D1631">
        <v>2.76375617877644E-4</v>
      </c>
      <c r="E1631" t="s">
        <v>94</v>
      </c>
      <c r="N1631" t="s">
        <v>2978</v>
      </c>
    </row>
    <row r="1632" spans="2:17">
      <c r="B1632" t="s">
        <v>2977</v>
      </c>
      <c r="C1632" t="s">
        <v>664</v>
      </c>
      <c r="D1632">
        <v>1.42585096319332E-5</v>
      </c>
      <c r="E1632" t="s">
        <v>94</v>
      </c>
      <c r="H1632" t="s">
        <v>588</v>
      </c>
      <c r="I1632">
        <v>1.42585096319332E-5</v>
      </c>
      <c r="J1632">
        <v>1.0247973619913604</v>
      </c>
      <c r="N1632" t="s">
        <v>2979</v>
      </c>
      <c r="O1632" t="s">
        <v>641</v>
      </c>
      <c r="Q1632" t="s">
        <v>1672</v>
      </c>
    </row>
    <row r="1633" spans="2:17">
      <c r="B1633" t="s">
        <v>2977</v>
      </c>
      <c r="C1633" t="s">
        <v>664</v>
      </c>
      <c r="D1633">
        <v>1.24875642655457E-5</v>
      </c>
      <c r="E1633" t="s">
        <v>94</v>
      </c>
      <c r="H1633" t="s">
        <v>588</v>
      </c>
      <c r="I1633">
        <v>1.24875642655457E-5</v>
      </c>
      <c r="J1633">
        <v>1.0247973619913604</v>
      </c>
      <c r="N1633" t="s">
        <v>2979</v>
      </c>
      <c r="O1633" t="s">
        <v>641</v>
      </c>
      <c r="Q1633" t="s">
        <v>1672</v>
      </c>
    </row>
    <row r="1634" spans="2:17">
      <c r="B1634" t="s">
        <v>2977</v>
      </c>
      <c r="C1634" t="s">
        <v>664</v>
      </c>
      <c r="D1634">
        <v>2.1064877476389601E-3</v>
      </c>
      <c r="E1634" t="s">
        <v>94</v>
      </c>
      <c r="N1634" t="s">
        <v>2978</v>
      </c>
    </row>
    <row r="1635" spans="2:17">
      <c r="B1635" t="s">
        <v>2977</v>
      </c>
      <c r="C1635" t="s">
        <v>664</v>
      </c>
      <c r="D1635">
        <v>1.4828422109904101E-5</v>
      </c>
      <c r="E1635" t="s">
        <v>94</v>
      </c>
      <c r="H1635" t="s">
        <v>588</v>
      </c>
      <c r="I1635">
        <v>1.4828422109904101E-5</v>
      </c>
      <c r="J1635">
        <v>1.0247973619913604</v>
      </c>
      <c r="N1635" t="s">
        <v>2979</v>
      </c>
      <c r="O1635" t="s">
        <v>641</v>
      </c>
      <c r="Q1635" t="s">
        <v>1672</v>
      </c>
    </row>
    <row r="1636" spans="2:17">
      <c r="B1636" t="s">
        <v>2977</v>
      </c>
      <c r="C1636" t="s">
        <v>664</v>
      </c>
      <c r="D1636">
        <v>2.02756903392838E-6</v>
      </c>
      <c r="E1636" t="s">
        <v>94</v>
      </c>
      <c r="H1636" t="s">
        <v>588</v>
      </c>
      <c r="I1636">
        <v>2.02756903392838E-6</v>
      </c>
      <c r="J1636">
        <v>1.0247973619913604</v>
      </c>
      <c r="N1636" t="s">
        <v>2979</v>
      </c>
      <c r="O1636" t="s">
        <v>641</v>
      </c>
      <c r="Q1636" t="s">
        <v>1672</v>
      </c>
    </row>
    <row r="1637" spans="2:17">
      <c r="B1637" t="s">
        <v>2977</v>
      </c>
      <c r="C1637" t="s">
        <v>664</v>
      </c>
      <c r="D1637">
        <v>2.27386155118786E-6</v>
      </c>
      <c r="E1637" t="s">
        <v>94</v>
      </c>
      <c r="H1637" t="s">
        <v>588</v>
      </c>
      <c r="I1637">
        <v>2.27386155118786E-6</v>
      </c>
      <c r="J1637">
        <v>1.0247973619913604</v>
      </c>
      <c r="N1637" t="s">
        <v>2979</v>
      </c>
      <c r="O1637" t="s">
        <v>641</v>
      </c>
      <c r="Q1637" t="s">
        <v>1672</v>
      </c>
    </row>
    <row r="1638" spans="2:17">
      <c r="B1638" t="s">
        <v>2977</v>
      </c>
      <c r="C1638" t="s">
        <v>664</v>
      </c>
      <c r="D1638">
        <v>4.6022285539879196E-3</v>
      </c>
      <c r="E1638" t="s">
        <v>94</v>
      </c>
      <c r="N1638" t="s">
        <v>2980</v>
      </c>
    </row>
    <row r="1639" spans="2:17">
      <c r="B1639" t="s">
        <v>2977</v>
      </c>
      <c r="C1639" t="s">
        <v>664</v>
      </c>
      <c r="D1639">
        <v>3.8443566662023097E-6</v>
      </c>
      <c r="E1639" t="s">
        <v>94</v>
      </c>
      <c r="H1639" t="s">
        <v>588</v>
      </c>
      <c r="I1639">
        <v>3.8443566662023097E-6</v>
      </c>
      <c r="J1639">
        <v>1.0247973619913604</v>
      </c>
      <c r="N1639" t="s">
        <v>2979</v>
      </c>
      <c r="O1639" t="s">
        <v>641</v>
      </c>
      <c r="Q1639" t="s">
        <v>1672</v>
      </c>
    </row>
    <row r="1640" spans="2:17">
      <c r="B1640" t="s">
        <v>2977</v>
      </c>
      <c r="C1640" t="s">
        <v>664</v>
      </c>
      <c r="D1640">
        <v>3.8802163539430798E-3</v>
      </c>
      <c r="E1640" t="s">
        <v>94</v>
      </c>
      <c r="N1640" t="s">
        <v>2981</v>
      </c>
    </row>
    <row r="1641" spans="2:17">
      <c r="B1641" t="s">
        <v>2977</v>
      </c>
      <c r="C1641" t="s">
        <v>664</v>
      </c>
      <c r="D1641">
        <v>1.30911614360569E-3</v>
      </c>
      <c r="E1641" t="s">
        <v>94</v>
      </c>
      <c r="N1641" t="s">
        <v>2978</v>
      </c>
    </row>
    <row r="1642" spans="2:17">
      <c r="B1642" t="s">
        <v>2977</v>
      </c>
      <c r="C1642" t="s">
        <v>664</v>
      </c>
      <c r="D1642">
        <v>1.75766094698133E-3</v>
      </c>
      <c r="E1642" t="s">
        <v>94</v>
      </c>
      <c r="N1642" t="s">
        <v>2982</v>
      </c>
    </row>
    <row r="1643" spans="2:17">
      <c r="B1643" t="s">
        <v>2977</v>
      </c>
      <c r="C1643" t="s">
        <v>664</v>
      </c>
      <c r="D1643">
        <v>1.8118270812785501E-3</v>
      </c>
      <c r="E1643" t="s">
        <v>94</v>
      </c>
      <c r="N1643" t="s">
        <v>2980</v>
      </c>
    </row>
    <row r="1644" spans="2:17">
      <c r="B1644" t="s">
        <v>2977</v>
      </c>
      <c r="C1644" t="s">
        <v>664</v>
      </c>
      <c r="D1644">
        <v>2.7721164242265998E-3</v>
      </c>
      <c r="E1644" t="s">
        <v>94</v>
      </c>
      <c r="N1644" t="s">
        <v>2980</v>
      </c>
    </row>
    <row r="1645" spans="2:17">
      <c r="B1645" t="s">
        <v>2977</v>
      </c>
      <c r="C1645" t="s">
        <v>664</v>
      </c>
      <c r="D1645">
        <v>3.5844389693342499E-6</v>
      </c>
      <c r="E1645" t="s">
        <v>94</v>
      </c>
      <c r="H1645" t="s">
        <v>588</v>
      </c>
      <c r="I1645">
        <v>3.5844389693342499E-6</v>
      </c>
      <c r="J1645">
        <v>1.0247973619913604</v>
      </c>
      <c r="N1645" t="s">
        <v>2979</v>
      </c>
      <c r="O1645" t="s">
        <v>641</v>
      </c>
      <c r="Q1645" t="s">
        <v>1672</v>
      </c>
    </row>
    <row r="1646" spans="2:17">
      <c r="B1646" t="s">
        <v>2977</v>
      </c>
      <c r="C1646" t="s">
        <v>664</v>
      </c>
      <c r="D1646">
        <v>4.7694276374021204E-3</v>
      </c>
      <c r="E1646" t="s">
        <v>94</v>
      </c>
      <c r="N1646" t="s">
        <v>2980</v>
      </c>
    </row>
    <row r="1647" spans="2:17">
      <c r="B1647" t="s">
        <v>2977</v>
      </c>
      <c r="C1647" t="s">
        <v>664</v>
      </c>
      <c r="D1647">
        <v>9.9837534836804591E-4</v>
      </c>
      <c r="E1647" t="s">
        <v>94</v>
      </c>
      <c r="N1647" t="s">
        <v>2983</v>
      </c>
    </row>
    <row r="1648" spans="2:17">
      <c r="B1648" t="s">
        <v>2977</v>
      </c>
      <c r="C1648" t="s">
        <v>664</v>
      </c>
      <c r="D1648">
        <v>2.0621397990486999E-6</v>
      </c>
      <c r="E1648" t="s">
        <v>94</v>
      </c>
      <c r="H1648" t="s">
        <v>588</v>
      </c>
      <c r="I1648">
        <v>2.0621397990486999E-6</v>
      </c>
      <c r="J1648">
        <v>1.0247973619913604</v>
      </c>
      <c r="N1648" t="s">
        <v>2979</v>
      </c>
      <c r="O1648" t="s">
        <v>641</v>
      </c>
      <c r="Q1648" t="s">
        <v>1672</v>
      </c>
    </row>
    <row r="1649" spans="2:17">
      <c r="B1649" t="s">
        <v>2984</v>
      </c>
      <c r="C1649" t="s">
        <v>1170</v>
      </c>
      <c r="D1649">
        <v>3.1892581961266701E-6</v>
      </c>
      <c r="E1649" t="s">
        <v>94</v>
      </c>
      <c r="H1649" t="s">
        <v>588</v>
      </c>
      <c r="I1649">
        <v>3.1892581961266701E-6</v>
      </c>
      <c r="J1649">
        <v>1.0805386501323246</v>
      </c>
      <c r="N1649" t="s">
        <v>2985</v>
      </c>
      <c r="O1649" t="s">
        <v>1665</v>
      </c>
      <c r="Q1649" t="s">
        <v>1744</v>
      </c>
    </row>
    <row r="1650" spans="2:17">
      <c r="B1650" t="s">
        <v>2986</v>
      </c>
      <c r="C1650" t="s">
        <v>1810</v>
      </c>
      <c r="D1650">
        <v>5.1258991831868297E-6</v>
      </c>
      <c r="E1650" t="s">
        <v>640</v>
      </c>
      <c r="H1650" t="s">
        <v>588</v>
      </c>
      <c r="I1650">
        <v>5.1258991831868297E-6</v>
      </c>
      <c r="J1650">
        <v>1</v>
      </c>
      <c r="N1650" t="s">
        <v>2987</v>
      </c>
      <c r="O1650" t="s">
        <v>1756</v>
      </c>
      <c r="Q1650" t="s">
        <v>2620</v>
      </c>
    </row>
    <row r="1651" spans="2:17">
      <c r="B1651" t="s">
        <v>2986</v>
      </c>
      <c r="C1651" t="s">
        <v>1810</v>
      </c>
      <c r="D1651">
        <v>5.12412670686824E-6</v>
      </c>
      <c r="E1651" t="s">
        <v>640</v>
      </c>
      <c r="H1651" t="s">
        <v>588</v>
      </c>
      <c r="I1651">
        <v>5.12412670686824E-6</v>
      </c>
      <c r="J1651">
        <v>1</v>
      </c>
      <c r="N1651" t="s">
        <v>2988</v>
      </c>
      <c r="O1651" t="s">
        <v>1756</v>
      </c>
      <c r="Q1651" t="s">
        <v>1816</v>
      </c>
    </row>
    <row r="1652" spans="2:17">
      <c r="B1652" t="s">
        <v>2989</v>
      </c>
      <c r="C1652" t="s">
        <v>673</v>
      </c>
      <c r="D1652">
        <v>6.3895385721958703E-9</v>
      </c>
      <c r="E1652" t="s">
        <v>94</v>
      </c>
      <c r="H1652" t="s">
        <v>588</v>
      </c>
      <c r="I1652">
        <v>6.3895385721958703E-9</v>
      </c>
      <c r="J1652">
        <v>1.0247973619913604</v>
      </c>
      <c r="N1652" t="s">
        <v>2990</v>
      </c>
      <c r="O1652" t="s">
        <v>1624</v>
      </c>
      <c r="Q1652" t="s">
        <v>2991</v>
      </c>
    </row>
    <row r="1653" spans="2:17">
      <c r="B1653" t="s">
        <v>2992</v>
      </c>
      <c r="C1653" t="s">
        <v>673</v>
      </c>
      <c r="D1653">
        <v>4.92241710406771E-6</v>
      </c>
      <c r="E1653" t="s">
        <v>94</v>
      </c>
      <c r="H1653" t="s">
        <v>588</v>
      </c>
      <c r="I1653">
        <v>4.92241710406771E-6</v>
      </c>
      <c r="J1653">
        <v>1.1051709180756477</v>
      </c>
      <c r="N1653" t="s">
        <v>2993</v>
      </c>
      <c r="O1653" t="s">
        <v>1789</v>
      </c>
      <c r="Q1653" t="s">
        <v>1790</v>
      </c>
    </row>
    <row r="1654" spans="2:17">
      <c r="B1654" t="s">
        <v>2994</v>
      </c>
      <c r="C1654" t="s">
        <v>673</v>
      </c>
      <c r="D1654">
        <v>2.1765786788444899E-4</v>
      </c>
      <c r="E1654" t="s">
        <v>94</v>
      </c>
      <c r="H1654" t="s">
        <v>588</v>
      </c>
      <c r="I1654">
        <v>2.1765786788444899E-4</v>
      </c>
      <c r="J1654">
        <v>1.151909910168909</v>
      </c>
      <c r="N1654" t="s">
        <v>2995</v>
      </c>
      <c r="O1654" t="s">
        <v>2021</v>
      </c>
      <c r="Q1654" t="s">
        <v>811</v>
      </c>
    </row>
    <row r="1655" spans="2:17">
      <c r="B1655" t="s">
        <v>1297</v>
      </c>
      <c r="C1655" t="s">
        <v>664</v>
      </c>
      <c r="D1655">
        <v>8.2388736483314496E-7</v>
      </c>
      <c r="E1655" t="s">
        <v>94</v>
      </c>
      <c r="H1655" t="s">
        <v>588</v>
      </c>
      <c r="I1655">
        <v>8.2388736483314496E-7</v>
      </c>
      <c r="J1655">
        <v>1.0247973619913604</v>
      </c>
      <c r="N1655" t="s">
        <v>2996</v>
      </c>
      <c r="O1655" t="s">
        <v>1765</v>
      </c>
      <c r="Q1655" t="s">
        <v>1766</v>
      </c>
    </row>
    <row r="1656" spans="2:17">
      <c r="B1656" t="s">
        <v>1297</v>
      </c>
      <c r="C1656" t="s">
        <v>664</v>
      </c>
      <c r="D1656">
        <v>2.2005011581448201E-4</v>
      </c>
      <c r="E1656" t="s">
        <v>94</v>
      </c>
      <c r="H1656" t="s">
        <v>588</v>
      </c>
      <c r="I1656">
        <v>2.2005011581448201E-4</v>
      </c>
      <c r="J1656">
        <v>1.0247973619913604</v>
      </c>
      <c r="N1656" t="s">
        <v>1298</v>
      </c>
      <c r="O1656" t="s">
        <v>1002</v>
      </c>
      <c r="Q1656" t="s">
        <v>1299</v>
      </c>
    </row>
    <row r="1657" spans="2:17">
      <c r="B1657" t="s">
        <v>1297</v>
      </c>
      <c r="C1657" t="s">
        <v>664</v>
      </c>
      <c r="D1657">
        <v>5.7369703248726903E-4</v>
      </c>
      <c r="E1657" t="s">
        <v>94</v>
      </c>
      <c r="H1657" t="s">
        <v>588</v>
      </c>
      <c r="I1657">
        <v>5.7369703248726903E-4</v>
      </c>
      <c r="J1657">
        <v>1.0247973619913604</v>
      </c>
      <c r="N1657" t="s">
        <v>1298</v>
      </c>
      <c r="O1657" t="s">
        <v>641</v>
      </c>
      <c r="Q1657" t="s">
        <v>1643</v>
      </c>
    </row>
    <row r="1658" spans="2:17">
      <c r="B1658" t="s">
        <v>2997</v>
      </c>
      <c r="C1658" t="s">
        <v>615</v>
      </c>
      <c r="D1658">
        <v>1.94461236859088E-9</v>
      </c>
      <c r="E1658" t="s">
        <v>616</v>
      </c>
      <c r="H1658" t="s">
        <v>588</v>
      </c>
      <c r="I1658">
        <v>1.94461236859088E-9</v>
      </c>
      <c r="J1658">
        <v>1.760654165524179</v>
      </c>
      <c r="N1658" t="s">
        <v>2998</v>
      </c>
      <c r="O1658" t="s">
        <v>1770</v>
      </c>
      <c r="Q1658" t="s">
        <v>811</v>
      </c>
    </row>
    <row r="1659" spans="2:17">
      <c r="B1659" t="s">
        <v>2999</v>
      </c>
      <c r="C1659" t="s">
        <v>587</v>
      </c>
      <c r="D1659">
        <v>1.2284800668456401E-6</v>
      </c>
      <c r="E1659" t="s">
        <v>94</v>
      </c>
      <c r="Q1659" t="s">
        <v>3000</v>
      </c>
    </row>
    <row r="1660" spans="2:17">
      <c r="B1660" t="s">
        <v>1300</v>
      </c>
      <c r="C1660" t="s">
        <v>667</v>
      </c>
      <c r="D1660">
        <v>4.1939814469840497E-6</v>
      </c>
      <c r="E1660" t="s">
        <v>94</v>
      </c>
      <c r="H1660" t="s">
        <v>588</v>
      </c>
      <c r="I1660">
        <v>4.1939814469840497E-6</v>
      </c>
      <c r="J1660">
        <v>1.0247973619913604</v>
      </c>
      <c r="N1660" t="s">
        <v>1301</v>
      </c>
      <c r="O1660" t="s">
        <v>1135</v>
      </c>
      <c r="Q1660" t="s">
        <v>1136</v>
      </c>
    </row>
    <row r="1661" spans="2:17">
      <c r="B1661" t="s">
        <v>3001</v>
      </c>
      <c r="C1661" t="s">
        <v>569</v>
      </c>
      <c r="D1661">
        <v>4.18967923497718E-3</v>
      </c>
      <c r="E1661" t="s">
        <v>94</v>
      </c>
      <c r="H1661" t="s">
        <v>588</v>
      </c>
      <c r="I1661">
        <v>4.18967923497718E-3</v>
      </c>
      <c r="J1661">
        <v>1.0247973619913604</v>
      </c>
      <c r="N1661" t="s">
        <v>3002</v>
      </c>
      <c r="O1661" t="s">
        <v>1752</v>
      </c>
      <c r="Q1661" t="s">
        <v>3003</v>
      </c>
    </row>
    <row r="1662" spans="2:17">
      <c r="B1662" t="s">
        <v>3004</v>
      </c>
      <c r="C1662" t="s">
        <v>569</v>
      </c>
      <c r="D1662">
        <v>4.1343510892420302E-5</v>
      </c>
      <c r="E1662" t="s">
        <v>94</v>
      </c>
      <c r="H1662" t="s">
        <v>588</v>
      </c>
      <c r="I1662">
        <v>4.1343510892420302E-5</v>
      </c>
      <c r="J1662">
        <v>1.0247973619913604</v>
      </c>
      <c r="N1662" t="s">
        <v>3005</v>
      </c>
      <c r="O1662" t="s">
        <v>2004</v>
      </c>
      <c r="Q1662" t="s">
        <v>2005</v>
      </c>
    </row>
    <row r="1663" spans="2:17">
      <c r="B1663" t="s">
        <v>3006</v>
      </c>
      <c r="C1663" t="s">
        <v>587</v>
      </c>
      <c r="D1663">
        <v>1.0323606106628199E-4</v>
      </c>
      <c r="E1663" t="s">
        <v>94</v>
      </c>
      <c r="H1663" t="s">
        <v>588</v>
      </c>
      <c r="I1663">
        <v>1.0323606106628199E-4</v>
      </c>
      <c r="J1663">
        <v>1.0247973619913604</v>
      </c>
      <c r="O1663" t="s">
        <v>641</v>
      </c>
      <c r="Q1663" t="s">
        <v>1643</v>
      </c>
    </row>
    <row r="1664" spans="2:17">
      <c r="B1664" t="s">
        <v>3007</v>
      </c>
      <c r="C1664" t="s">
        <v>667</v>
      </c>
      <c r="D1664">
        <v>4.2031312296519597E-6</v>
      </c>
      <c r="E1664" t="s">
        <v>94</v>
      </c>
      <c r="H1664" t="s">
        <v>588</v>
      </c>
      <c r="I1664">
        <v>4.2031312296519597E-6</v>
      </c>
      <c r="J1664">
        <v>1.0805386501323246</v>
      </c>
      <c r="N1664" t="s">
        <v>3008</v>
      </c>
      <c r="O1664" t="s">
        <v>1665</v>
      </c>
      <c r="Q1664" t="s">
        <v>1744</v>
      </c>
    </row>
    <row r="1665" spans="2:17">
      <c r="B1665" t="s">
        <v>3009</v>
      </c>
      <c r="C1665" t="s">
        <v>3010</v>
      </c>
      <c r="D1665">
        <v>1.08854590901113E-6</v>
      </c>
      <c r="E1665" t="s">
        <v>616</v>
      </c>
      <c r="H1665" t="s">
        <v>588</v>
      </c>
      <c r="I1665">
        <v>1.08854590901113E-6</v>
      </c>
      <c r="J1665">
        <v>1.7293101253499219</v>
      </c>
      <c r="N1665" t="s">
        <v>3011</v>
      </c>
      <c r="O1665" t="s">
        <v>1435</v>
      </c>
      <c r="Q1665" t="s">
        <v>2394</v>
      </c>
    </row>
    <row r="1666" spans="2:17">
      <c r="B1666" t="s">
        <v>3009</v>
      </c>
      <c r="C1666" t="s">
        <v>3010</v>
      </c>
      <c r="D1666">
        <v>1.08854590901113E-6</v>
      </c>
      <c r="E1666" t="s">
        <v>616</v>
      </c>
      <c r="H1666" t="s">
        <v>588</v>
      </c>
      <c r="I1666">
        <v>1.08854590901113E-6</v>
      </c>
      <c r="J1666">
        <v>1.7293101253499219</v>
      </c>
      <c r="N1666" t="s">
        <v>3012</v>
      </c>
      <c r="O1666" t="s">
        <v>2407</v>
      </c>
      <c r="Q1666" t="s">
        <v>2394</v>
      </c>
    </row>
    <row r="1667" spans="2:17">
      <c r="B1667" t="s">
        <v>3013</v>
      </c>
      <c r="C1667" t="s">
        <v>3014</v>
      </c>
      <c r="D1667">
        <v>1.7674685741318201E-7</v>
      </c>
      <c r="E1667" t="s">
        <v>616</v>
      </c>
      <c r="H1667" t="s">
        <v>588</v>
      </c>
      <c r="I1667">
        <v>1.7674685741318201E-7</v>
      </c>
      <c r="J1667">
        <v>1.0247973619913604</v>
      </c>
      <c r="N1667" t="s">
        <v>3015</v>
      </c>
      <c r="O1667" t="s">
        <v>956</v>
      </c>
      <c r="Q1667" t="s">
        <v>3016</v>
      </c>
    </row>
    <row r="1668" spans="2:17">
      <c r="B1668" t="s">
        <v>3017</v>
      </c>
      <c r="C1668" t="s">
        <v>673</v>
      </c>
      <c r="D1668">
        <v>2.82902504650015E-5</v>
      </c>
      <c r="E1668" t="s">
        <v>94</v>
      </c>
      <c r="H1668" t="s">
        <v>588</v>
      </c>
      <c r="I1668">
        <v>2.82902504650015E-5</v>
      </c>
      <c r="J1668">
        <v>1.0247973619913604</v>
      </c>
      <c r="N1668" t="s">
        <v>3018</v>
      </c>
      <c r="O1668" t="s">
        <v>1765</v>
      </c>
      <c r="Q1668" t="s">
        <v>1766</v>
      </c>
    </row>
    <row r="1669" spans="2:17">
      <c r="B1669" t="s">
        <v>3017</v>
      </c>
      <c r="C1669" t="s">
        <v>673</v>
      </c>
      <c r="D1669">
        <v>2.1534861108560301E-3</v>
      </c>
      <c r="E1669" t="s">
        <v>94</v>
      </c>
      <c r="H1669" t="s">
        <v>588</v>
      </c>
      <c r="I1669">
        <v>2.1534861108560301E-3</v>
      </c>
      <c r="J1669">
        <v>1.0247973619913604</v>
      </c>
      <c r="N1669" t="s">
        <v>3019</v>
      </c>
      <c r="O1669" t="s">
        <v>641</v>
      </c>
      <c r="Q1669" t="s">
        <v>1643</v>
      </c>
    </row>
    <row r="1670" spans="2:17">
      <c r="B1670" t="s">
        <v>3020</v>
      </c>
      <c r="C1670" t="s">
        <v>673</v>
      </c>
      <c r="D1670">
        <v>9.71403884236241E-4</v>
      </c>
      <c r="E1670" t="s">
        <v>94</v>
      </c>
      <c r="H1670" t="s">
        <v>588</v>
      </c>
      <c r="I1670">
        <v>9.71403884236241E-4</v>
      </c>
      <c r="J1670">
        <v>1.0247973619913604</v>
      </c>
      <c r="N1670" t="s">
        <v>3021</v>
      </c>
      <c r="O1670" t="s">
        <v>1889</v>
      </c>
    </row>
    <row r="1671" spans="2:17">
      <c r="B1671" t="s">
        <v>3022</v>
      </c>
      <c r="C1671" t="s">
        <v>676</v>
      </c>
      <c r="D1671">
        <v>2.3994478487144601E-4</v>
      </c>
      <c r="E1671" t="s">
        <v>94</v>
      </c>
      <c r="H1671" t="s">
        <v>588</v>
      </c>
      <c r="I1671">
        <v>2.3994478487144601E-4</v>
      </c>
      <c r="J1671">
        <v>1.0805386501323246</v>
      </c>
      <c r="N1671" t="s">
        <v>3023</v>
      </c>
      <c r="O1671" t="s">
        <v>2004</v>
      </c>
      <c r="Q1671" t="s">
        <v>3024</v>
      </c>
    </row>
    <row r="1672" spans="2:17">
      <c r="B1672" t="s">
        <v>3025</v>
      </c>
      <c r="C1672" t="s">
        <v>2939</v>
      </c>
      <c r="D1672">
        <v>2.6865868107618602E-4</v>
      </c>
      <c r="E1672" t="s">
        <v>94</v>
      </c>
      <c r="N1672" t="s">
        <v>3026</v>
      </c>
    </row>
    <row r="1673" spans="2:17">
      <c r="B1673" t="s">
        <v>3025</v>
      </c>
      <c r="C1673" t="s">
        <v>2939</v>
      </c>
      <c r="D1673">
        <v>2.39561666072339E-2</v>
      </c>
      <c r="E1673" t="s">
        <v>94</v>
      </c>
      <c r="H1673" t="s">
        <v>588</v>
      </c>
      <c r="I1673">
        <v>2.39561666072339E-2</v>
      </c>
      <c r="J1673">
        <v>1.0247973619913604</v>
      </c>
      <c r="N1673" t="s">
        <v>3027</v>
      </c>
      <c r="O1673" t="s">
        <v>1806</v>
      </c>
      <c r="Q1673" t="s">
        <v>1728</v>
      </c>
    </row>
    <row r="1674" spans="2:17">
      <c r="B1674" t="s">
        <v>3025</v>
      </c>
      <c r="C1674" t="s">
        <v>2939</v>
      </c>
      <c r="D1674">
        <v>1.64440883780691E-3</v>
      </c>
      <c r="E1674" t="s">
        <v>94</v>
      </c>
      <c r="N1674" t="s">
        <v>3026</v>
      </c>
    </row>
    <row r="1675" spans="2:17">
      <c r="B1675" t="s">
        <v>3025</v>
      </c>
      <c r="C1675" t="s">
        <v>2939</v>
      </c>
      <c r="D1675">
        <v>3.3607961103202699E-3</v>
      </c>
      <c r="E1675" t="s">
        <v>94</v>
      </c>
      <c r="N1675" t="s">
        <v>3026</v>
      </c>
    </row>
    <row r="1676" spans="2:17">
      <c r="B1676" t="s">
        <v>3025</v>
      </c>
      <c r="C1676" t="s">
        <v>2939</v>
      </c>
      <c r="D1676">
        <v>2.3776154489807098E-2</v>
      </c>
      <c r="E1676" t="s">
        <v>94</v>
      </c>
      <c r="N1676" t="s">
        <v>3027</v>
      </c>
      <c r="Q1676" t="s">
        <v>3028</v>
      </c>
    </row>
    <row r="1677" spans="2:17">
      <c r="B1677" t="s">
        <v>3025</v>
      </c>
      <c r="C1677" t="s">
        <v>2939</v>
      </c>
      <c r="D1677">
        <v>1.43465610467101E-3</v>
      </c>
      <c r="E1677" t="s">
        <v>94</v>
      </c>
      <c r="N1677" t="s">
        <v>3026</v>
      </c>
    </row>
    <row r="1678" spans="2:17">
      <c r="B1678" t="s">
        <v>3029</v>
      </c>
      <c r="C1678" t="s">
        <v>667</v>
      </c>
      <c r="D1678">
        <v>6.4253058670171002E-6</v>
      </c>
      <c r="E1678" t="s">
        <v>94</v>
      </c>
      <c r="H1678" t="s">
        <v>588</v>
      </c>
      <c r="I1678">
        <v>6.4253058670171002E-6</v>
      </c>
      <c r="J1678">
        <v>1.0247973619913604</v>
      </c>
      <c r="N1678" t="s">
        <v>3030</v>
      </c>
      <c r="O1678" t="s">
        <v>1678</v>
      </c>
      <c r="Q1678" t="s">
        <v>1679</v>
      </c>
    </row>
    <row r="1679" spans="2:17">
      <c r="B1679" t="s">
        <v>3029</v>
      </c>
      <c r="C1679" t="s">
        <v>667</v>
      </c>
      <c r="D1679">
        <v>8.8849523748533898E-6</v>
      </c>
      <c r="E1679" t="s">
        <v>94</v>
      </c>
      <c r="H1679" t="s">
        <v>588</v>
      </c>
      <c r="I1679">
        <v>8.8849523748533898E-6</v>
      </c>
      <c r="J1679">
        <v>1.0247973619913604</v>
      </c>
      <c r="N1679" t="s">
        <v>3031</v>
      </c>
      <c r="O1679" t="s">
        <v>1765</v>
      </c>
      <c r="Q1679" t="s">
        <v>1766</v>
      </c>
    </row>
    <row r="1680" spans="2:17">
      <c r="B1680" t="s">
        <v>1302</v>
      </c>
      <c r="C1680" t="s">
        <v>673</v>
      </c>
      <c r="D1680">
        <v>1.8424487922282399E-6</v>
      </c>
      <c r="E1680" t="s">
        <v>94</v>
      </c>
      <c r="H1680" t="s">
        <v>588</v>
      </c>
      <c r="I1680">
        <v>1.8424487922282399E-6</v>
      </c>
      <c r="J1680">
        <v>1.0247973619913604</v>
      </c>
      <c r="N1680" t="s">
        <v>1303</v>
      </c>
      <c r="O1680" t="s">
        <v>641</v>
      </c>
      <c r="Q1680" t="s">
        <v>1672</v>
      </c>
    </row>
    <row r="1681" spans="2:17">
      <c r="B1681" t="s">
        <v>3032</v>
      </c>
      <c r="C1681" t="s">
        <v>673</v>
      </c>
      <c r="D1681">
        <v>3.3262209343892399E-9</v>
      </c>
      <c r="E1681" t="s">
        <v>94</v>
      </c>
      <c r="H1681" t="s">
        <v>588</v>
      </c>
      <c r="I1681">
        <v>3.3262209343892399E-9</v>
      </c>
      <c r="J1681">
        <v>1.0247973619913604</v>
      </c>
      <c r="N1681" t="s">
        <v>3033</v>
      </c>
      <c r="O1681" t="s">
        <v>641</v>
      </c>
      <c r="Q1681" t="s">
        <v>1672</v>
      </c>
    </row>
    <row r="1682" spans="2:17">
      <c r="B1682" t="s">
        <v>3034</v>
      </c>
      <c r="C1682" t="s">
        <v>673</v>
      </c>
      <c r="D1682">
        <v>3.424582620718E-6</v>
      </c>
      <c r="E1682" t="s">
        <v>94</v>
      </c>
      <c r="H1682" t="s">
        <v>588</v>
      </c>
      <c r="I1682">
        <v>3.424582620718E-6</v>
      </c>
      <c r="J1682">
        <v>1.074399999999982</v>
      </c>
      <c r="N1682" t="s">
        <v>3035</v>
      </c>
      <c r="O1682" t="s">
        <v>1435</v>
      </c>
      <c r="Q1682" t="s">
        <v>1886</v>
      </c>
    </row>
    <row r="1683" spans="2:17">
      <c r="B1683" t="s">
        <v>3036</v>
      </c>
      <c r="C1683" t="s">
        <v>587</v>
      </c>
      <c r="D1683">
        <v>4.0692610749389699E-7</v>
      </c>
      <c r="E1683" t="s">
        <v>94</v>
      </c>
      <c r="H1683" t="s">
        <v>588</v>
      </c>
      <c r="I1683">
        <v>4.0692610749389699E-7</v>
      </c>
      <c r="J1683">
        <v>1.0247973619913604</v>
      </c>
      <c r="O1683" t="s">
        <v>641</v>
      </c>
      <c r="Q1683" t="s">
        <v>1643</v>
      </c>
    </row>
    <row r="1684" spans="2:17">
      <c r="B1684" t="s">
        <v>3037</v>
      </c>
      <c r="C1684" t="s">
        <v>1835</v>
      </c>
      <c r="D1684">
        <v>3.66660134150359E-3</v>
      </c>
      <c r="E1684" t="s">
        <v>94</v>
      </c>
      <c r="H1684" t="s">
        <v>588</v>
      </c>
      <c r="I1684">
        <v>3.66660134150359E-3</v>
      </c>
      <c r="J1684">
        <v>1.0247973619913604</v>
      </c>
      <c r="N1684" t="s">
        <v>3038</v>
      </c>
      <c r="O1684" t="s">
        <v>972</v>
      </c>
      <c r="Q1684" t="s">
        <v>3039</v>
      </c>
    </row>
    <row r="1685" spans="2:17">
      <c r="B1685" t="s">
        <v>3037</v>
      </c>
      <c r="C1685" t="s">
        <v>1835</v>
      </c>
      <c r="D1685">
        <v>3.6655052740462001E-3</v>
      </c>
      <c r="E1685" t="s">
        <v>94</v>
      </c>
      <c r="H1685" t="s">
        <v>588</v>
      </c>
      <c r="I1685">
        <v>3.6655052740462001E-3</v>
      </c>
      <c r="J1685">
        <v>1.0247973619913604</v>
      </c>
      <c r="N1685" t="s">
        <v>3038</v>
      </c>
      <c r="O1685" t="s">
        <v>3040</v>
      </c>
      <c r="Q1685" t="s">
        <v>3039</v>
      </c>
    </row>
    <row r="1686" spans="2:17">
      <c r="B1686" t="s">
        <v>3041</v>
      </c>
      <c r="C1686" t="s">
        <v>2270</v>
      </c>
      <c r="D1686">
        <v>9.5699156334387602E-4</v>
      </c>
      <c r="E1686" t="s">
        <v>94</v>
      </c>
      <c r="H1686" t="s">
        <v>588</v>
      </c>
      <c r="I1686">
        <v>9.5699156334387602E-4</v>
      </c>
      <c r="J1686">
        <v>1.4049000000004648</v>
      </c>
      <c r="N1686" t="s">
        <v>3042</v>
      </c>
      <c r="O1686" t="s">
        <v>1758</v>
      </c>
      <c r="Q1686" t="s">
        <v>3043</v>
      </c>
    </row>
    <row r="1687" spans="2:17">
      <c r="B1687" t="s">
        <v>3044</v>
      </c>
      <c r="C1687" t="s">
        <v>2234</v>
      </c>
      <c r="D1687">
        <v>4.8427544694454798E-7</v>
      </c>
      <c r="E1687" t="s">
        <v>616</v>
      </c>
      <c r="H1687" t="s">
        <v>1733</v>
      </c>
      <c r="I1687">
        <v>4.8427544694454798E-7</v>
      </c>
      <c r="K1687">
        <v>4.8427544694454798E-7</v>
      </c>
      <c r="L1687">
        <v>4.8427544694454798E-7</v>
      </c>
      <c r="N1687" t="s">
        <v>3045</v>
      </c>
      <c r="O1687" t="s">
        <v>3046</v>
      </c>
      <c r="Q1687" t="s">
        <v>3047</v>
      </c>
    </row>
    <row r="1688" spans="2:17">
      <c r="B1688" t="s">
        <v>3048</v>
      </c>
      <c r="C1688" t="s">
        <v>1892</v>
      </c>
      <c r="D1688">
        <v>2.4851646087400197E-7</v>
      </c>
      <c r="E1688" t="s">
        <v>94</v>
      </c>
      <c r="H1688" t="s">
        <v>588</v>
      </c>
      <c r="I1688">
        <v>2.4851646087400197E-7</v>
      </c>
      <c r="J1688">
        <v>1.4139824580805163</v>
      </c>
      <c r="N1688" t="s">
        <v>3049</v>
      </c>
      <c r="O1688" t="s">
        <v>3050</v>
      </c>
      <c r="Q1688" t="s">
        <v>3051</v>
      </c>
    </row>
    <row r="1689" spans="2:17">
      <c r="B1689" t="s">
        <v>3052</v>
      </c>
      <c r="C1689" t="s">
        <v>2647</v>
      </c>
      <c r="D1689">
        <v>2.6591033639399399E-6</v>
      </c>
      <c r="E1689" t="s">
        <v>616</v>
      </c>
      <c r="H1689" t="s">
        <v>588</v>
      </c>
      <c r="I1689">
        <v>2.6591033639399399E-6</v>
      </c>
      <c r="J1689">
        <v>1.7293101253499219</v>
      </c>
      <c r="N1689" t="s">
        <v>3053</v>
      </c>
      <c r="O1689" t="s">
        <v>1927</v>
      </c>
      <c r="Q1689" t="s">
        <v>3054</v>
      </c>
    </row>
    <row r="1690" spans="2:17">
      <c r="B1690" t="s">
        <v>3055</v>
      </c>
      <c r="C1690" t="s">
        <v>3056</v>
      </c>
      <c r="D1690">
        <v>2.7533463925372598E-4</v>
      </c>
      <c r="E1690" t="s">
        <v>94</v>
      </c>
      <c r="H1690" t="s">
        <v>588</v>
      </c>
      <c r="I1690">
        <v>2.7533463925372598E-4</v>
      </c>
      <c r="J1690">
        <v>1.0247973619913604</v>
      </c>
      <c r="N1690" t="s">
        <v>3057</v>
      </c>
      <c r="O1690" t="s">
        <v>641</v>
      </c>
      <c r="Q1690" t="s">
        <v>1672</v>
      </c>
    </row>
    <row r="1691" spans="2:17">
      <c r="B1691" t="s">
        <v>3055</v>
      </c>
      <c r="C1691" t="s">
        <v>3056</v>
      </c>
      <c r="D1691">
        <v>4.4287408042908197E-12</v>
      </c>
      <c r="E1691" t="s">
        <v>94</v>
      </c>
      <c r="H1691" t="s">
        <v>588</v>
      </c>
      <c r="I1691">
        <v>4.4287408042908197E-12</v>
      </c>
      <c r="J1691">
        <v>1.0247973619913604</v>
      </c>
      <c r="N1691" t="s">
        <v>3057</v>
      </c>
      <c r="O1691" t="s">
        <v>641</v>
      </c>
      <c r="Q1691" t="s">
        <v>1672</v>
      </c>
    </row>
    <row r="1692" spans="2:17">
      <c r="B1692" t="s">
        <v>3058</v>
      </c>
      <c r="C1692" t="s">
        <v>2589</v>
      </c>
      <c r="D1692">
        <v>2.0265478365180901E-8</v>
      </c>
      <c r="E1692" t="s">
        <v>640</v>
      </c>
      <c r="H1692" t="s">
        <v>588</v>
      </c>
      <c r="I1692">
        <v>2.0265478365180901E-8</v>
      </c>
      <c r="J1692">
        <v>1.0805386501323246</v>
      </c>
      <c r="N1692" t="s">
        <v>3059</v>
      </c>
      <c r="O1692" t="s">
        <v>2314</v>
      </c>
      <c r="Q1692" t="s">
        <v>3060</v>
      </c>
    </row>
    <row r="1693" spans="2:17">
      <c r="B1693" t="s">
        <v>3058</v>
      </c>
      <c r="C1693" t="s">
        <v>2589</v>
      </c>
      <c r="D1693">
        <v>3.1642769997483899E-9</v>
      </c>
      <c r="E1693" t="s">
        <v>640</v>
      </c>
      <c r="H1693" t="s">
        <v>588</v>
      </c>
      <c r="I1693">
        <v>3.1642769997483899E-9</v>
      </c>
      <c r="J1693">
        <v>1.0805386501323246</v>
      </c>
      <c r="N1693" t="s">
        <v>3059</v>
      </c>
      <c r="O1693" t="s">
        <v>2314</v>
      </c>
      <c r="Q1693" t="s">
        <v>3060</v>
      </c>
    </row>
    <row r="1694" spans="2:17">
      <c r="B1694" t="s">
        <v>3061</v>
      </c>
      <c r="C1694" t="s">
        <v>673</v>
      </c>
      <c r="D1694">
        <v>3.7430893149897302E-5</v>
      </c>
      <c r="E1694" t="s">
        <v>94</v>
      </c>
      <c r="H1694" t="s">
        <v>588</v>
      </c>
      <c r="I1694">
        <v>3.7430893149897302E-5</v>
      </c>
      <c r="J1694">
        <v>1.0247973619913604</v>
      </c>
      <c r="N1694" t="s">
        <v>3062</v>
      </c>
      <c r="O1694" t="s">
        <v>1883</v>
      </c>
    </row>
    <row r="1695" spans="2:17">
      <c r="B1695" t="s">
        <v>3063</v>
      </c>
      <c r="C1695" t="s">
        <v>701</v>
      </c>
      <c r="D1695">
        <v>2.8391303293921001E-4</v>
      </c>
      <c r="E1695" t="s">
        <v>94</v>
      </c>
      <c r="H1695" t="s">
        <v>588</v>
      </c>
      <c r="I1695">
        <v>2.8391303293921001E-4</v>
      </c>
      <c r="J1695">
        <v>1.1712995782321958</v>
      </c>
      <c r="N1695" t="s">
        <v>3064</v>
      </c>
      <c r="O1695" t="s">
        <v>2711</v>
      </c>
      <c r="Q1695" t="s">
        <v>3065</v>
      </c>
    </row>
    <row r="1696" spans="2:17">
      <c r="B1696" t="s">
        <v>3063</v>
      </c>
      <c r="C1696" t="s">
        <v>701</v>
      </c>
      <c r="D1696">
        <v>9.8643030993931309E-4</v>
      </c>
      <c r="E1696" t="s">
        <v>94</v>
      </c>
      <c r="H1696" t="s">
        <v>588</v>
      </c>
      <c r="I1696">
        <v>9.8643030993931309E-4</v>
      </c>
      <c r="J1696">
        <v>1.1712995782321958</v>
      </c>
      <c r="N1696" t="s">
        <v>3064</v>
      </c>
      <c r="O1696" t="s">
        <v>2387</v>
      </c>
      <c r="Q1696" t="s">
        <v>3065</v>
      </c>
    </row>
    <row r="1697" spans="2:17">
      <c r="B1697" t="s">
        <v>3066</v>
      </c>
      <c r="C1697" t="s">
        <v>1138</v>
      </c>
      <c r="D1697">
        <v>1.65769327340581E-5</v>
      </c>
      <c r="E1697" t="s">
        <v>94</v>
      </c>
      <c r="H1697" t="s">
        <v>588</v>
      </c>
      <c r="I1697">
        <v>1.65769327340581E-5</v>
      </c>
      <c r="J1697">
        <v>1.0247973619913604</v>
      </c>
      <c r="N1697" t="s">
        <v>3067</v>
      </c>
      <c r="O1697" t="s">
        <v>1632</v>
      </c>
      <c r="Q1697" t="s">
        <v>3068</v>
      </c>
    </row>
    <row r="1698" spans="2:17">
      <c r="B1698" t="s">
        <v>3069</v>
      </c>
      <c r="C1698" t="s">
        <v>1830</v>
      </c>
      <c r="D1698">
        <v>2.5137371195013501E-3</v>
      </c>
      <c r="E1698" t="s">
        <v>94</v>
      </c>
      <c r="N1698" t="s">
        <v>3070</v>
      </c>
    </row>
    <row r="1699" spans="2:17">
      <c r="B1699" t="s">
        <v>3069</v>
      </c>
      <c r="C1699" t="s">
        <v>1830</v>
      </c>
      <c r="D1699">
        <v>3.0164845434016202E-4</v>
      </c>
      <c r="E1699" t="s">
        <v>94</v>
      </c>
      <c r="H1699" t="s">
        <v>588</v>
      </c>
      <c r="I1699">
        <v>3.0164845434016202E-4</v>
      </c>
      <c r="J1699">
        <v>1.0247973619913604</v>
      </c>
      <c r="N1699" t="s">
        <v>3071</v>
      </c>
      <c r="O1699" t="s">
        <v>1806</v>
      </c>
      <c r="Q1699" t="s">
        <v>1728</v>
      </c>
    </row>
    <row r="1700" spans="2:17">
      <c r="B1700" t="s">
        <v>3072</v>
      </c>
      <c r="C1700" t="s">
        <v>569</v>
      </c>
      <c r="D1700">
        <v>4.6123534692867197E-9</v>
      </c>
      <c r="E1700" t="s">
        <v>94</v>
      </c>
      <c r="H1700" t="s">
        <v>588</v>
      </c>
      <c r="I1700">
        <v>4.6123534692867197E-9</v>
      </c>
      <c r="J1700">
        <v>1.0247973619913604</v>
      </c>
      <c r="N1700" t="s">
        <v>3073</v>
      </c>
      <c r="O1700" t="s">
        <v>2902</v>
      </c>
      <c r="Q1700" t="s">
        <v>2449</v>
      </c>
    </row>
    <row r="1701" spans="2:17">
      <c r="B1701" t="s">
        <v>3074</v>
      </c>
      <c r="C1701" t="s">
        <v>587</v>
      </c>
      <c r="D1701">
        <v>1.2208062841856801E-8</v>
      </c>
      <c r="E1701" t="s">
        <v>94</v>
      </c>
      <c r="H1701" t="s">
        <v>588</v>
      </c>
      <c r="I1701">
        <v>1.2208062841856801E-8</v>
      </c>
      <c r="J1701">
        <v>1.0247973619913604</v>
      </c>
      <c r="O1701" t="s">
        <v>641</v>
      </c>
      <c r="Q1701" t="s">
        <v>1643</v>
      </c>
    </row>
    <row r="1702" spans="2:17">
      <c r="B1702" t="s">
        <v>3075</v>
      </c>
      <c r="C1702" t="s">
        <v>857</v>
      </c>
      <c r="D1702">
        <v>6.3865242751200505E-10</v>
      </c>
      <c r="E1702" t="s">
        <v>616</v>
      </c>
      <c r="H1702" t="s">
        <v>588</v>
      </c>
      <c r="I1702">
        <v>6.3865242751200505E-10</v>
      </c>
      <c r="J1702">
        <v>1.7293101253499219</v>
      </c>
      <c r="N1702" t="s">
        <v>3076</v>
      </c>
      <c r="O1702" t="s">
        <v>1654</v>
      </c>
      <c r="Q1702" t="s">
        <v>3077</v>
      </c>
    </row>
    <row r="1703" spans="2:17">
      <c r="B1703" t="s">
        <v>3075</v>
      </c>
      <c r="C1703" t="s">
        <v>857</v>
      </c>
      <c r="D1703">
        <v>6.3880381805412902E-10</v>
      </c>
      <c r="E1703" t="s">
        <v>616</v>
      </c>
      <c r="H1703" t="s">
        <v>588</v>
      </c>
      <c r="I1703">
        <v>6.3880381805412902E-10</v>
      </c>
      <c r="J1703">
        <v>1.7293101253499219</v>
      </c>
      <c r="N1703" t="s">
        <v>3078</v>
      </c>
      <c r="O1703" t="s">
        <v>1654</v>
      </c>
      <c r="Q1703" t="s">
        <v>3077</v>
      </c>
    </row>
    <row r="1704" spans="2:17">
      <c r="B1704" t="s">
        <v>3079</v>
      </c>
      <c r="C1704" t="s">
        <v>857</v>
      </c>
      <c r="D1704">
        <v>1.9003261533825201E-12</v>
      </c>
      <c r="E1704" t="s">
        <v>616</v>
      </c>
      <c r="H1704" t="s">
        <v>588</v>
      </c>
      <c r="I1704">
        <v>1.9003261533825201E-12</v>
      </c>
      <c r="J1704">
        <v>1.8068915230828115</v>
      </c>
      <c r="N1704" t="s">
        <v>3080</v>
      </c>
      <c r="O1704" t="s">
        <v>3081</v>
      </c>
      <c r="Q1704" t="s">
        <v>595</v>
      </c>
    </row>
    <row r="1705" spans="2:17">
      <c r="B1705" t="s">
        <v>3079</v>
      </c>
      <c r="C1705" t="s">
        <v>857</v>
      </c>
      <c r="D1705">
        <v>2.07477195542687E-13</v>
      </c>
      <c r="E1705" t="s">
        <v>616</v>
      </c>
      <c r="H1705" t="s">
        <v>588</v>
      </c>
      <c r="I1705">
        <v>2.07477195542687E-13</v>
      </c>
      <c r="J1705">
        <v>1.7450381821146503</v>
      </c>
      <c r="N1705" t="s">
        <v>3082</v>
      </c>
      <c r="O1705" t="s">
        <v>1896</v>
      </c>
      <c r="Q1705" t="s">
        <v>695</v>
      </c>
    </row>
    <row r="1706" spans="2:17">
      <c r="B1706" t="s">
        <v>1304</v>
      </c>
      <c r="C1706" t="s">
        <v>1305</v>
      </c>
      <c r="D1706">
        <v>1.7625322338043899E-5</v>
      </c>
      <c r="E1706" t="s">
        <v>94</v>
      </c>
      <c r="H1706" t="s">
        <v>588</v>
      </c>
      <c r="I1706">
        <v>1.7625322338043899E-5</v>
      </c>
      <c r="J1706">
        <v>1.0247973619913604</v>
      </c>
      <c r="N1706" t="s">
        <v>3083</v>
      </c>
      <c r="O1706" t="s">
        <v>641</v>
      </c>
      <c r="Q1706" t="s">
        <v>3084</v>
      </c>
    </row>
    <row r="1707" spans="2:17">
      <c r="B1707" t="s">
        <v>1304</v>
      </c>
      <c r="C1707" t="s">
        <v>1305</v>
      </c>
      <c r="D1707">
        <v>1.7829903613071399E-4</v>
      </c>
      <c r="E1707" t="s">
        <v>94</v>
      </c>
      <c r="H1707" t="s">
        <v>588</v>
      </c>
      <c r="I1707">
        <v>1.7829903613071399E-4</v>
      </c>
      <c r="J1707">
        <v>1.0247973619913604</v>
      </c>
      <c r="N1707" t="s">
        <v>1306</v>
      </c>
      <c r="O1707" t="s">
        <v>1695</v>
      </c>
      <c r="Q1707" t="s">
        <v>3085</v>
      </c>
    </row>
    <row r="1708" spans="2:17">
      <c r="B1708" t="s">
        <v>3086</v>
      </c>
      <c r="C1708" t="s">
        <v>1305</v>
      </c>
      <c r="D1708">
        <v>3.3924718874737497E-5</v>
      </c>
      <c r="E1708" t="s">
        <v>94</v>
      </c>
      <c r="H1708" t="s">
        <v>588</v>
      </c>
      <c r="I1708">
        <v>3.3924718874737497E-5</v>
      </c>
      <c r="J1708">
        <v>1.1712995782321958</v>
      </c>
      <c r="N1708" t="s">
        <v>3087</v>
      </c>
      <c r="O1708" t="s">
        <v>1951</v>
      </c>
      <c r="Q1708" t="s">
        <v>3088</v>
      </c>
    </row>
    <row r="1709" spans="2:17">
      <c r="B1709" t="s">
        <v>3086</v>
      </c>
      <c r="C1709" t="s">
        <v>1305</v>
      </c>
      <c r="D1709">
        <v>1.3774672984503199E-4</v>
      </c>
      <c r="E1709" t="s">
        <v>94</v>
      </c>
      <c r="N1709" t="s">
        <v>3089</v>
      </c>
      <c r="Q1709" t="s">
        <v>3090</v>
      </c>
    </row>
    <row r="1710" spans="2:17">
      <c r="B1710" t="s">
        <v>3091</v>
      </c>
      <c r="C1710" t="s">
        <v>1305</v>
      </c>
      <c r="D1710">
        <v>2.44668011414183E-6</v>
      </c>
      <c r="E1710" t="s">
        <v>94</v>
      </c>
      <c r="H1710" t="s">
        <v>588</v>
      </c>
      <c r="I1710">
        <v>2.44668011414183E-6</v>
      </c>
      <c r="J1710">
        <v>1.0247973619913604</v>
      </c>
      <c r="N1710" t="s">
        <v>3092</v>
      </c>
      <c r="O1710" t="s">
        <v>1914</v>
      </c>
      <c r="Q1710" t="s">
        <v>3093</v>
      </c>
    </row>
    <row r="1711" spans="2:17">
      <c r="B1711" t="s">
        <v>3094</v>
      </c>
      <c r="C1711" t="s">
        <v>1305</v>
      </c>
      <c r="D1711">
        <v>2.8006892074822701E-6</v>
      </c>
      <c r="E1711" t="s">
        <v>94</v>
      </c>
      <c r="H1711" t="s">
        <v>588</v>
      </c>
      <c r="I1711">
        <v>2.8006892074822701E-6</v>
      </c>
      <c r="J1711">
        <v>1.0247973619913604</v>
      </c>
      <c r="N1711" t="s">
        <v>3095</v>
      </c>
      <c r="O1711" t="s">
        <v>1951</v>
      </c>
      <c r="Q1711" t="s">
        <v>3088</v>
      </c>
    </row>
    <row r="1712" spans="2:17">
      <c r="B1712" t="s">
        <v>3094</v>
      </c>
      <c r="C1712" t="s">
        <v>1305</v>
      </c>
      <c r="D1712">
        <v>2.8006015080087099E-6</v>
      </c>
      <c r="E1712" t="s">
        <v>94</v>
      </c>
      <c r="H1712" t="s">
        <v>588</v>
      </c>
      <c r="I1712">
        <v>2.8006015080087099E-6</v>
      </c>
      <c r="J1712">
        <v>1.1712995782321958</v>
      </c>
      <c r="N1712" t="s">
        <v>3096</v>
      </c>
      <c r="O1712" t="s">
        <v>1951</v>
      </c>
      <c r="Q1712" t="s">
        <v>3088</v>
      </c>
    </row>
    <row r="1713" spans="2:17">
      <c r="B1713" t="s">
        <v>3097</v>
      </c>
      <c r="C1713" t="s">
        <v>1305</v>
      </c>
      <c r="D1713">
        <v>2.4340702640437599E-3</v>
      </c>
      <c r="E1713" t="s">
        <v>94</v>
      </c>
      <c r="H1713" t="s">
        <v>588</v>
      </c>
      <c r="I1713">
        <v>2.4340702640437599E-3</v>
      </c>
      <c r="J1713">
        <v>1.0247973619913604</v>
      </c>
      <c r="N1713" t="s">
        <v>3098</v>
      </c>
      <c r="O1713" t="s">
        <v>1695</v>
      </c>
      <c r="Q1713" t="s">
        <v>3085</v>
      </c>
    </row>
    <row r="1714" spans="2:17">
      <c r="B1714" t="s">
        <v>3097</v>
      </c>
      <c r="C1714" t="s">
        <v>1305</v>
      </c>
      <c r="D1714">
        <v>4.2443709075336397E-5</v>
      </c>
      <c r="E1714" t="s">
        <v>94</v>
      </c>
      <c r="H1714" t="s">
        <v>588</v>
      </c>
      <c r="I1714">
        <v>4.2443709075336397E-5</v>
      </c>
      <c r="J1714">
        <v>1.0247973619913604</v>
      </c>
      <c r="N1714" t="s">
        <v>3099</v>
      </c>
      <c r="O1714" t="s">
        <v>1745</v>
      </c>
      <c r="Q1714" t="s">
        <v>3100</v>
      </c>
    </row>
    <row r="1715" spans="2:17">
      <c r="B1715" t="s">
        <v>3101</v>
      </c>
      <c r="C1715" t="s">
        <v>673</v>
      </c>
      <c r="D1715">
        <v>8.1042711974644294E-5</v>
      </c>
      <c r="E1715" t="s">
        <v>94</v>
      </c>
      <c r="H1715" t="s">
        <v>588</v>
      </c>
      <c r="I1715">
        <v>8.1042711974644294E-5</v>
      </c>
      <c r="J1715">
        <v>1.0247973619913604</v>
      </c>
      <c r="N1715" t="s">
        <v>3102</v>
      </c>
      <c r="O1715" t="s">
        <v>1889</v>
      </c>
      <c r="Q1715" t="s">
        <v>1890</v>
      </c>
    </row>
    <row r="1716" spans="2:17">
      <c r="B1716" t="s">
        <v>3103</v>
      </c>
      <c r="C1716" t="s">
        <v>673</v>
      </c>
      <c r="D1716">
        <v>2.8541346553241002E-4</v>
      </c>
      <c r="E1716" t="s">
        <v>94</v>
      </c>
      <c r="H1716" t="s">
        <v>588</v>
      </c>
      <c r="I1716">
        <v>2.8541346553241002E-4</v>
      </c>
      <c r="J1716">
        <v>1.0247973619913604</v>
      </c>
      <c r="N1716" t="s">
        <v>3104</v>
      </c>
      <c r="O1716" t="s">
        <v>2004</v>
      </c>
      <c r="Q1716" t="s">
        <v>2005</v>
      </c>
    </row>
    <row r="1717" spans="2:17">
      <c r="B1717" t="s">
        <v>3105</v>
      </c>
      <c r="C1717" t="s">
        <v>673</v>
      </c>
      <c r="D1717">
        <v>1.3644824511296899E-5</v>
      </c>
      <c r="E1717" t="s">
        <v>94</v>
      </c>
      <c r="H1717" t="s">
        <v>588</v>
      </c>
      <c r="I1717">
        <v>1.3644824511296899E-5</v>
      </c>
      <c r="J1717">
        <v>1.0247973619913604</v>
      </c>
      <c r="N1717" t="s">
        <v>3106</v>
      </c>
      <c r="O1717" t="s">
        <v>2004</v>
      </c>
      <c r="Q1717" t="s">
        <v>3107</v>
      </c>
    </row>
    <row r="1718" spans="2:17">
      <c r="B1718" t="s">
        <v>3105</v>
      </c>
      <c r="C1718" t="s">
        <v>673</v>
      </c>
      <c r="D1718">
        <v>3.2164753209345899E-5</v>
      </c>
      <c r="E1718" t="s">
        <v>94</v>
      </c>
      <c r="H1718" t="s">
        <v>588</v>
      </c>
      <c r="I1718">
        <v>3.2164753209345899E-5</v>
      </c>
      <c r="J1718">
        <v>1.0247973619913604</v>
      </c>
      <c r="N1718" t="s">
        <v>3106</v>
      </c>
      <c r="O1718" t="s">
        <v>2006</v>
      </c>
      <c r="Q1718" t="s">
        <v>1679</v>
      </c>
    </row>
    <row r="1719" spans="2:17">
      <c r="B1719" t="s">
        <v>3105</v>
      </c>
      <c r="C1719" t="s">
        <v>673</v>
      </c>
      <c r="D1719">
        <v>6.2336370587071904E-3</v>
      </c>
      <c r="E1719" t="s">
        <v>94</v>
      </c>
      <c r="N1719" t="s">
        <v>3108</v>
      </c>
    </row>
    <row r="1720" spans="2:17">
      <c r="B1720" t="s">
        <v>1309</v>
      </c>
      <c r="C1720" t="s">
        <v>664</v>
      </c>
      <c r="D1720">
        <v>2.6581943791856398E-7</v>
      </c>
      <c r="E1720" t="s">
        <v>94</v>
      </c>
      <c r="H1720" t="s">
        <v>588</v>
      </c>
      <c r="I1720">
        <v>2.6581943791856398E-7</v>
      </c>
      <c r="J1720">
        <v>1</v>
      </c>
      <c r="N1720" t="s">
        <v>1310</v>
      </c>
      <c r="O1720" t="s">
        <v>1054</v>
      </c>
      <c r="Q1720" t="s">
        <v>595</v>
      </c>
    </row>
    <row r="1721" spans="2:17">
      <c r="B1721" t="s">
        <v>1309</v>
      </c>
      <c r="C1721" t="s">
        <v>664</v>
      </c>
      <c r="D1721">
        <v>1.00307578242449E-7</v>
      </c>
      <c r="E1721" t="s">
        <v>94</v>
      </c>
      <c r="H1721" t="s">
        <v>588</v>
      </c>
      <c r="I1721">
        <v>1.00307578242449E-7</v>
      </c>
      <c r="J1721">
        <v>1</v>
      </c>
      <c r="N1721" t="s">
        <v>1310</v>
      </c>
      <c r="O1721" t="s">
        <v>1054</v>
      </c>
      <c r="Q1721" t="s">
        <v>595</v>
      </c>
    </row>
    <row r="1722" spans="2:17">
      <c r="B1722" t="s">
        <v>3109</v>
      </c>
      <c r="C1722" t="s">
        <v>673</v>
      </c>
      <c r="D1722">
        <v>4.1564749483615301E-4</v>
      </c>
      <c r="E1722" t="s">
        <v>94</v>
      </c>
      <c r="H1722" t="s">
        <v>588</v>
      </c>
      <c r="I1722">
        <v>4.1564749483615301E-4</v>
      </c>
      <c r="J1722">
        <v>1</v>
      </c>
      <c r="N1722" t="s">
        <v>3110</v>
      </c>
      <c r="O1722" t="s">
        <v>1654</v>
      </c>
      <c r="Q1722" t="s">
        <v>979</v>
      </c>
    </row>
    <row r="1723" spans="2:17">
      <c r="B1723" t="s">
        <v>3111</v>
      </c>
      <c r="C1723" t="s">
        <v>664</v>
      </c>
      <c r="D1723">
        <v>9.2045982146321898E-7</v>
      </c>
      <c r="E1723" t="s">
        <v>94</v>
      </c>
      <c r="H1723" t="s">
        <v>588</v>
      </c>
      <c r="I1723">
        <v>9.2045982146321898E-7</v>
      </c>
      <c r="J1723">
        <v>1.0247973619913604</v>
      </c>
      <c r="N1723" t="s">
        <v>3112</v>
      </c>
      <c r="O1723" t="s">
        <v>1624</v>
      </c>
      <c r="Q1723" t="s">
        <v>2337</v>
      </c>
    </row>
    <row r="1724" spans="2:17">
      <c r="B1724" t="s">
        <v>3113</v>
      </c>
      <c r="C1724" t="s">
        <v>701</v>
      </c>
      <c r="D1724">
        <v>4.2741870939383902E-4</v>
      </c>
      <c r="E1724" t="s">
        <v>94</v>
      </c>
      <c r="H1724" t="s">
        <v>588</v>
      </c>
      <c r="I1724">
        <v>4.2741870939383902E-4</v>
      </c>
      <c r="J1724">
        <v>1.1712995782321958</v>
      </c>
      <c r="N1724" t="s">
        <v>3114</v>
      </c>
      <c r="O1724" t="s">
        <v>2387</v>
      </c>
      <c r="Q1724" t="s">
        <v>3065</v>
      </c>
    </row>
    <row r="1725" spans="2:17">
      <c r="B1725" t="s">
        <v>3113</v>
      </c>
      <c r="C1725" t="s">
        <v>701</v>
      </c>
      <c r="D1725">
        <v>4.2724634863932899E-4</v>
      </c>
      <c r="E1725" t="s">
        <v>94</v>
      </c>
      <c r="H1725" t="s">
        <v>588</v>
      </c>
      <c r="I1725">
        <v>4.2724634863932899E-4</v>
      </c>
      <c r="J1725">
        <v>1.0247973619913604</v>
      </c>
      <c r="N1725" t="s">
        <v>3114</v>
      </c>
      <c r="O1725" t="s">
        <v>1883</v>
      </c>
    </row>
    <row r="1726" spans="2:17">
      <c r="B1726" t="s">
        <v>3115</v>
      </c>
      <c r="C1726" t="s">
        <v>2173</v>
      </c>
      <c r="D1726">
        <v>3.0927573527431697E-8</v>
      </c>
      <c r="E1726" t="s">
        <v>616</v>
      </c>
      <c r="H1726" t="s">
        <v>588</v>
      </c>
      <c r="I1726">
        <v>3.0927573527431697E-8</v>
      </c>
      <c r="J1726">
        <v>1.7293101253499219</v>
      </c>
      <c r="N1726" t="s">
        <v>3116</v>
      </c>
      <c r="O1726" t="s">
        <v>1929</v>
      </c>
      <c r="Q1726" t="s">
        <v>3117</v>
      </c>
    </row>
    <row r="1727" spans="2:17">
      <c r="B1727" t="s">
        <v>3118</v>
      </c>
      <c r="C1727" t="s">
        <v>615</v>
      </c>
      <c r="D1727">
        <v>3.9328844214863598E-14</v>
      </c>
      <c r="E1727" t="s">
        <v>616</v>
      </c>
      <c r="H1727" t="s">
        <v>588</v>
      </c>
      <c r="I1727">
        <v>3.9328844214863598E-14</v>
      </c>
      <c r="J1727">
        <v>1.7293101253499219</v>
      </c>
      <c r="N1727" t="s">
        <v>3119</v>
      </c>
      <c r="O1727" t="s">
        <v>1896</v>
      </c>
      <c r="Q1727" t="s">
        <v>3120</v>
      </c>
    </row>
    <row r="1728" spans="2:17">
      <c r="B1728" t="s">
        <v>3121</v>
      </c>
      <c r="C1728" t="s">
        <v>615</v>
      </c>
      <c r="D1728">
        <v>8.0683851582356401E-13</v>
      </c>
      <c r="E1728" t="s">
        <v>616</v>
      </c>
      <c r="H1728" t="s">
        <v>588</v>
      </c>
      <c r="I1728">
        <v>8.0683851582356401E-13</v>
      </c>
      <c r="J1728">
        <v>1.0247973619913604</v>
      </c>
      <c r="N1728" t="s">
        <v>3122</v>
      </c>
      <c r="O1728" t="s">
        <v>3123</v>
      </c>
      <c r="Q1728" t="s">
        <v>3124</v>
      </c>
    </row>
    <row r="1729" spans="2:17">
      <c r="B1729" t="s">
        <v>3125</v>
      </c>
      <c r="C1729" t="s">
        <v>1873</v>
      </c>
      <c r="D1729">
        <v>2.2526261191229899E-4</v>
      </c>
      <c r="E1729" t="s">
        <v>94</v>
      </c>
      <c r="N1729" t="s">
        <v>3126</v>
      </c>
    </row>
    <row r="1730" spans="2:17">
      <c r="B1730" t="s">
        <v>3125</v>
      </c>
      <c r="C1730" t="s">
        <v>1873</v>
      </c>
      <c r="D1730">
        <v>7.2084035811935797E-5</v>
      </c>
      <c r="E1730" t="s">
        <v>94</v>
      </c>
      <c r="N1730" t="s">
        <v>3127</v>
      </c>
      <c r="Q1730" t="s">
        <v>1807</v>
      </c>
    </row>
    <row r="1731" spans="2:17">
      <c r="B1731" t="s">
        <v>3125</v>
      </c>
      <c r="C1731" t="s">
        <v>1873</v>
      </c>
      <c r="D1731">
        <v>7.5087537304099794E-5</v>
      </c>
      <c r="E1731" t="s">
        <v>94</v>
      </c>
      <c r="N1731" t="s">
        <v>3126</v>
      </c>
    </row>
    <row r="1732" spans="2:17">
      <c r="B1732" t="s">
        <v>3125</v>
      </c>
      <c r="C1732" t="s">
        <v>1873</v>
      </c>
      <c r="D1732">
        <v>3.0035014921639901E-4</v>
      </c>
      <c r="E1732" t="s">
        <v>94</v>
      </c>
      <c r="N1732" t="s">
        <v>3126</v>
      </c>
    </row>
    <row r="1733" spans="2:17">
      <c r="B1733" t="s">
        <v>3128</v>
      </c>
      <c r="C1733" t="s">
        <v>3129</v>
      </c>
      <c r="D1733">
        <v>7.93819287011411E-6</v>
      </c>
      <c r="E1733" t="s">
        <v>94</v>
      </c>
      <c r="H1733" t="s">
        <v>588</v>
      </c>
      <c r="I1733">
        <v>7.93819287011411E-6</v>
      </c>
      <c r="J1733">
        <v>1.0247973619913604</v>
      </c>
      <c r="N1733" t="s">
        <v>3130</v>
      </c>
      <c r="O1733" t="s">
        <v>1765</v>
      </c>
      <c r="Q1733" t="s">
        <v>3131</v>
      </c>
    </row>
    <row r="1734" spans="2:17">
      <c r="B1734" t="s">
        <v>3132</v>
      </c>
      <c r="C1734" t="s">
        <v>667</v>
      </c>
      <c r="D1734">
        <v>1.3115727360671001E-7</v>
      </c>
      <c r="E1734" t="s">
        <v>94</v>
      </c>
      <c r="H1734" t="s">
        <v>588</v>
      </c>
      <c r="I1734">
        <v>1.3115727360671001E-7</v>
      </c>
      <c r="J1734">
        <v>1.1051709180756477</v>
      </c>
      <c r="N1734" t="s">
        <v>3133</v>
      </c>
      <c r="O1734" t="s">
        <v>1700</v>
      </c>
      <c r="Q1734" t="s">
        <v>595</v>
      </c>
    </row>
    <row r="1735" spans="2:17">
      <c r="B1735" t="s">
        <v>3132</v>
      </c>
      <c r="C1735" t="s">
        <v>667</v>
      </c>
      <c r="D1735">
        <v>2.2792974994199399E-8</v>
      </c>
      <c r="E1735" t="s">
        <v>94</v>
      </c>
      <c r="H1735" t="s">
        <v>588</v>
      </c>
      <c r="I1735">
        <v>2.2792974994199399E-8</v>
      </c>
      <c r="J1735">
        <v>1.0247973619913604</v>
      </c>
      <c r="N1735" t="s">
        <v>3134</v>
      </c>
      <c r="O1735" t="s">
        <v>1765</v>
      </c>
      <c r="Q1735" t="s">
        <v>1766</v>
      </c>
    </row>
    <row r="1736" spans="2:17">
      <c r="B1736" t="s">
        <v>3135</v>
      </c>
      <c r="C1736" t="s">
        <v>673</v>
      </c>
      <c r="D1736">
        <v>2.0727025295065601E-7</v>
      </c>
      <c r="E1736" t="s">
        <v>94</v>
      </c>
      <c r="H1736" t="s">
        <v>588</v>
      </c>
      <c r="I1736">
        <v>2.0727025295065601E-7</v>
      </c>
      <c r="J1736">
        <v>1</v>
      </c>
      <c r="N1736" t="s">
        <v>3136</v>
      </c>
      <c r="O1736" t="s">
        <v>1054</v>
      </c>
      <c r="Q1736" t="s">
        <v>3137</v>
      </c>
    </row>
    <row r="1737" spans="2:17">
      <c r="B1737" t="s">
        <v>3138</v>
      </c>
      <c r="C1737" t="s">
        <v>673</v>
      </c>
      <c r="D1737">
        <v>8.4866766007280102E-7</v>
      </c>
      <c r="E1737" t="s">
        <v>94</v>
      </c>
      <c r="H1737" t="s">
        <v>588</v>
      </c>
      <c r="I1737">
        <v>8.4866766007280102E-7</v>
      </c>
      <c r="J1737">
        <v>1.0247973619913604</v>
      </c>
      <c r="N1737" t="s">
        <v>3139</v>
      </c>
      <c r="O1737" t="s">
        <v>1883</v>
      </c>
    </row>
    <row r="1738" spans="2:17">
      <c r="B1738" t="s">
        <v>3140</v>
      </c>
      <c r="C1738" t="s">
        <v>1170</v>
      </c>
      <c r="D1738">
        <v>5.7600204404518897E-7</v>
      </c>
      <c r="E1738" t="s">
        <v>626</v>
      </c>
      <c r="H1738" t="s">
        <v>588</v>
      </c>
      <c r="I1738">
        <v>5.7600204404518897E-7</v>
      </c>
      <c r="J1738">
        <v>1.0247973619913604</v>
      </c>
      <c r="N1738" t="s">
        <v>3141</v>
      </c>
      <c r="O1738" t="s">
        <v>2017</v>
      </c>
      <c r="Q1738" t="s">
        <v>3142</v>
      </c>
    </row>
    <row r="1739" spans="2:17">
      <c r="B1739" t="s">
        <v>3143</v>
      </c>
      <c r="C1739" t="s">
        <v>2159</v>
      </c>
      <c r="D1739">
        <v>7.3783010075759697E-3</v>
      </c>
      <c r="E1739" t="s">
        <v>94</v>
      </c>
      <c r="H1739" t="s">
        <v>588</v>
      </c>
      <c r="I1739">
        <v>7.3783010075759697E-3</v>
      </c>
      <c r="J1739">
        <v>1.0247973619913604</v>
      </c>
      <c r="N1739" t="s">
        <v>3144</v>
      </c>
      <c r="O1739" t="s">
        <v>972</v>
      </c>
      <c r="Q1739" t="s">
        <v>3145</v>
      </c>
    </row>
    <row r="1740" spans="2:17">
      <c r="B1740" t="s">
        <v>3146</v>
      </c>
      <c r="C1740" t="s">
        <v>2661</v>
      </c>
      <c r="D1740">
        <v>1.0678337446841E-4</v>
      </c>
      <c r="E1740" t="s">
        <v>1115</v>
      </c>
      <c r="H1740" t="s">
        <v>588</v>
      </c>
      <c r="I1740">
        <v>1.0678337446841E-4</v>
      </c>
      <c r="J1740">
        <v>1.4341253160944203</v>
      </c>
      <c r="N1740" t="s">
        <v>3147</v>
      </c>
      <c r="O1740" t="s">
        <v>1700</v>
      </c>
      <c r="Q1740" t="s">
        <v>979</v>
      </c>
    </row>
    <row r="1741" spans="2:17">
      <c r="B1741" t="s">
        <v>3146</v>
      </c>
      <c r="C1741" t="s">
        <v>2661</v>
      </c>
      <c r="D1741">
        <v>1.0614083042336E-4</v>
      </c>
      <c r="E1741" t="s">
        <v>1115</v>
      </c>
      <c r="H1741" t="s">
        <v>588</v>
      </c>
      <c r="I1741">
        <v>1.0614083042336E-4</v>
      </c>
      <c r="J1741">
        <v>1.4918246976412703</v>
      </c>
      <c r="N1741" t="s">
        <v>3148</v>
      </c>
      <c r="O1741" t="s">
        <v>3149</v>
      </c>
      <c r="Q1741" t="s">
        <v>979</v>
      </c>
    </row>
    <row r="1742" spans="2:17">
      <c r="B1742" t="s">
        <v>3150</v>
      </c>
      <c r="C1742" t="s">
        <v>673</v>
      </c>
      <c r="D1742">
        <v>4.6100756488947499E-7</v>
      </c>
      <c r="E1742" t="s">
        <v>94</v>
      </c>
      <c r="H1742" t="s">
        <v>588</v>
      </c>
      <c r="I1742">
        <v>4.6100756488947499E-7</v>
      </c>
      <c r="J1742">
        <v>1.0247973619913604</v>
      </c>
      <c r="N1742" t="s">
        <v>3151</v>
      </c>
      <c r="O1742" t="s">
        <v>1883</v>
      </c>
    </row>
    <row r="1743" spans="2:17">
      <c r="B1743" t="s">
        <v>3152</v>
      </c>
      <c r="C1743" t="s">
        <v>673</v>
      </c>
      <c r="D1743">
        <v>4.9887295957330496E-4</v>
      </c>
      <c r="E1743" t="s">
        <v>94</v>
      </c>
      <c r="H1743" t="s">
        <v>588</v>
      </c>
      <c r="I1743">
        <v>4.9887295957330496E-4</v>
      </c>
      <c r="J1743">
        <v>1.1051709180756477</v>
      </c>
      <c r="N1743" t="s">
        <v>3153</v>
      </c>
      <c r="O1743" t="s">
        <v>1798</v>
      </c>
      <c r="Q1743" t="s">
        <v>2018</v>
      </c>
    </row>
    <row r="1744" spans="2:17">
      <c r="B1744" t="s">
        <v>3154</v>
      </c>
      <c r="C1744" t="s">
        <v>664</v>
      </c>
      <c r="D1744">
        <v>5.0814090201969E-3</v>
      </c>
      <c r="E1744" t="s">
        <v>94</v>
      </c>
      <c r="N1744" t="s">
        <v>3155</v>
      </c>
    </row>
    <row r="1745" spans="2:17">
      <c r="B1745" t="s">
        <v>3154</v>
      </c>
      <c r="C1745" t="s">
        <v>664</v>
      </c>
      <c r="D1745">
        <v>5.0814090201969E-3</v>
      </c>
      <c r="E1745" t="s">
        <v>94</v>
      </c>
      <c r="N1745" t="s">
        <v>3155</v>
      </c>
    </row>
    <row r="1746" spans="2:17">
      <c r="B1746" t="s">
        <v>3154</v>
      </c>
      <c r="C1746" t="s">
        <v>664</v>
      </c>
      <c r="D1746">
        <v>1.1576870080368901E-3</v>
      </c>
      <c r="E1746" t="s">
        <v>94</v>
      </c>
      <c r="H1746" t="s">
        <v>588</v>
      </c>
      <c r="I1746">
        <v>1.1576870080368901E-3</v>
      </c>
      <c r="J1746">
        <v>1.2214027581601699</v>
      </c>
      <c r="N1746" t="s">
        <v>3156</v>
      </c>
      <c r="O1746" t="s">
        <v>3157</v>
      </c>
      <c r="Q1746" t="s">
        <v>595</v>
      </c>
    </row>
    <row r="1747" spans="2:17">
      <c r="B1747" t="s">
        <v>3154</v>
      </c>
      <c r="C1747" t="s">
        <v>664</v>
      </c>
      <c r="D1747">
        <v>8.0918504779592498E-6</v>
      </c>
      <c r="E1747" t="s">
        <v>94</v>
      </c>
      <c r="H1747" t="s">
        <v>588</v>
      </c>
      <c r="I1747">
        <v>8.0918504779592498E-6</v>
      </c>
      <c r="J1747">
        <v>1.2214027581601699</v>
      </c>
      <c r="N1747" t="s">
        <v>3156</v>
      </c>
      <c r="O1747" t="s">
        <v>3157</v>
      </c>
      <c r="Q1747" t="s">
        <v>595</v>
      </c>
    </row>
    <row r="1748" spans="2:17">
      <c r="B1748" t="s">
        <v>3154</v>
      </c>
      <c r="C1748" t="s">
        <v>664</v>
      </c>
      <c r="D1748">
        <v>5.0928336203413502E-5</v>
      </c>
      <c r="E1748" t="s">
        <v>94</v>
      </c>
      <c r="H1748" t="s">
        <v>588</v>
      </c>
      <c r="I1748">
        <v>5.0928336203413502E-5</v>
      </c>
      <c r="J1748">
        <v>1.2214027581601699</v>
      </c>
      <c r="N1748" t="s">
        <v>3156</v>
      </c>
      <c r="O1748" t="s">
        <v>3157</v>
      </c>
      <c r="Q1748" t="s">
        <v>595</v>
      </c>
    </row>
    <row r="1749" spans="2:17">
      <c r="B1749" t="s">
        <v>3154</v>
      </c>
      <c r="C1749" t="s">
        <v>664</v>
      </c>
      <c r="D1749">
        <v>5.0814090201969E-3</v>
      </c>
      <c r="E1749" t="s">
        <v>94</v>
      </c>
      <c r="N1749" t="s">
        <v>3155</v>
      </c>
    </row>
    <row r="1750" spans="2:17">
      <c r="B1750" t="s">
        <v>3154</v>
      </c>
      <c r="C1750" t="s">
        <v>664</v>
      </c>
      <c r="D1750">
        <v>1.9607409438314201E-6</v>
      </c>
      <c r="E1750" t="s">
        <v>94</v>
      </c>
      <c r="H1750" t="s">
        <v>588</v>
      </c>
      <c r="I1750">
        <v>1.9607409438314201E-6</v>
      </c>
      <c r="J1750">
        <v>1.2214027581601699</v>
      </c>
      <c r="N1750" t="s">
        <v>3156</v>
      </c>
      <c r="O1750" t="s">
        <v>3157</v>
      </c>
      <c r="Q1750" t="s">
        <v>595</v>
      </c>
    </row>
    <row r="1751" spans="2:17">
      <c r="B1751" t="s">
        <v>3154</v>
      </c>
      <c r="C1751" t="s">
        <v>664</v>
      </c>
      <c r="D1751">
        <v>5.0814090201969E-3</v>
      </c>
      <c r="E1751" t="s">
        <v>94</v>
      </c>
      <c r="N1751" t="s">
        <v>3155</v>
      </c>
    </row>
    <row r="1752" spans="2:17">
      <c r="B1752" t="s">
        <v>3154</v>
      </c>
      <c r="C1752" t="s">
        <v>664</v>
      </c>
      <c r="D1752">
        <v>2.4557526989539401E-5</v>
      </c>
      <c r="E1752" t="s">
        <v>94</v>
      </c>
      <c r="H1752" t="s">
        <v>588</v>
      </c>
      <c r="I1752">
        <v>2.4557526989539401E-5</v>
      </c>
      <c r="J1752">
        <v>1.2214027581601699</v>
      </c>
      <c r="N1752" t="s">
        <v>3156</v>
      </c>
      <c r="O1752" t="s">
        <v>3157</v>
      </c>
      <c r="Q1752" t="s">
        <v>595</v>
      </c>
    </row>
    <row r="1753" spans="2:17">
      <c r="B1753" t="s">
        <v>3154</v>
      </c>
      <c r="C1753" t="s">
        <v>664</v>
      </c>
      <c r="D1753">
        <v>1.87763889829488E-4</v>
      </c>
      <c r="E1753" t="s">
        <v>94</v>
      </c>
      <c r="H1753" t="s">
        <v>588</v>
      </c>
      <c r="I1753">
        <v>1.87763889829488E-4</v>
      </c>
      <c r="J1753">
        <v>1.2214027581601699</v>
      </c>
      <c r="N1753" t="s">
        <v>3156</v>
      </c>
      <c r="O1753" t="s">
        <v>3157</v>
      </c>
      <c r="Q1753" t="s">
        <v>595</v>
      </c>
    </row>
    <row r="1754" spans="2:17">
      <c r="B1754" t="s">
        <v>3158</v>
      </c>
      <c r="C1754" t="s">
        <v>3159</v>
      </c>
      <c r="D1754">
        <v>2.41417410192202E-13</v>
      </c>
      <c r="E1754" t="s">
        <v>616</v>
      </c>
      <c r="H1754" t="s">
        <v>588</v>
      </c>
      <c r="I1754">
        <v>2.41417410192202E-13</v>
      </c>
      <c r="J1754">
        <v>1.7293101253499219</v>
      </c>
      <c r="N1754" t="s">
        <v>3160</v>
      </c>
      <c r="O1754" t="s">
        <v>952</v>
      </c>
      <c r="Q1754" t="s">
        <v>3161</v>
      </c>
    </row>
    <row r="1755" spans="2:17">
      <c r="B1755" t="s">
        <v>684</v>
      </c>
      <c r="C1755" t="s">
        <v>685</v>
      </c>
      <c r="D1755">
        <v>4.7100006848398598E-5</v>
      </c>
      <c r="E1755" t="s">
        <v>640</v>
      </c>
      <c r="H1755" t="s">
        <v>588</v>
      </c>
      <c r="I1755">
        <v>4.7100006848398598E-5</v>
      </c>
      <c r="J1755">
        <v>1.1051709180756477</v>
      </c>
      <c r="N1755" t="s">
        <v>687</v>
      </c>
      <c r="O1755" t="s">
        <v>3162</v>
      </c>
      <c r="Q1755" t="s">
        <v>3163</v>
      </c>
    </row>
    <row r="1756" spans="2:17">
      <c r="B1756" t="s">
        <v>684</v>
      </c>
      <c r="C1756" t="s">
        <v>685</v>
      </c>
      <c r="D1756">
        <v>1.20987721468757E-4</v>
      </c>
      <c r="E1756" t="s">
        <v>640</v>
      </c>
      <c r="H1756" t="s">
        <v>588</v>
      </c>
      <c r="I1756">
        <v>1.20987721468757E-4</v>
      </c>
      <c r="J1756">
        <v>1.0247973619913604</v>
      </c>
      <c r="N1756" t="s">
        <v>687</v>
      </c>
      <c r="O1756" t="s">
        <v>641</v>
      </c>
      <c r="Q1756" t="s">
        <v>2808</v>
      </c>
    </row>
    <row r="1757" spans="2:17">
      <c r="B1757" t="s">
        <v>684</v>
      </c>
      <c r="C1757" t="s">
        <v>685</v>
      </c>
      <c r="D1757">
        <v>1.4549690999956901E-5</v>
      </c>
      <c r="E1757" t="s">
        <v>640</v>
      </c>
      <c r="H1757" t="s">
        <v>588</v>
      </c>
      <c r="I1757">
        <v>1.4549690999956901E-5</v>
      </c>
      <c r="J1757">
        <v>1.1051709180756477</v>
      </c>
      <c r="N1757" t="s">
        <v>687</v>
      </c>
      <c r="O1757" t="s">
        <v>3162</v>
      </c>
      <c r="Q1757" t="s">
        <v>3163</v>
      </c>
    </row>
    <row r="1758" spans="2:17">
      <c r="B1758" t="s">
        <v>684</v>
      </c>
      <c r="C1758" t="s">
        <v>685</v>
      </c>
      <c r="D1758">
        <v>3.2565016817152E-6</v>
      </c>
      <c r="E1758" t="s">
        <v>640</v>
      </c>
      <c r="H1758" t="s">
        <v>588</v>
      </c>
      <c r="I1758">
        <v>3.2565016817152E-6</v>
      </c>
      <c r="J1758">
        <v>1.1051709180756477</v>
      </c>
      <c r="N1758" t="s">
        <v>687</v>
      </c>
      <c r="O1758" t="s">
        <v>3162</v>
      </c>
      <c r="Q1758" t="s">
        <v>3163</v>
      </c>
    </row>
    <row r="1759" spans="2:17">
      <c r="B1759" t="s">
        <v>684</v>
      </c>
      <c r="C1759" t="s">
        <v>685</v>
      </c>
      <c r="D1759">
        <v>2.45526526572639E-3</v>
      </c>
      <c r="E1759" t="s">
        <v>640</v>
      </c>
      <c r="H1759" t="s">
        <v>588</v>
      </c>
      <c r="I1759">
        <v>2.45526526572639E-3</v>
      </c>
      <c r="J1759">
        <v>1.1051709180756477</v>
      </c>
      <c r="N1759" t="s">
        <v>687</v>
      </c>
      <c r="O1759" t="s">
        <v>3162</v>
      </c>
      <c r="Q1759" t="s">
        <v>3163</v>
      </c>
    </row>
    <row r="1760" spans="2:17">
      <c r="B1760" t="s">
        <v>684</v>
      </c>
      <c r="C1760" t="s">
        <v>685</v>
      </c>
      <c r="D1760">
        <v>2.6221810184729102E-3</v>
      </c>
      <c r="E1760" t="s">
        <v>640</v>
      </c>
      <c r="H1760" t="s">
        <v>588</v>
      </c>
      <c r="I1760">
        <v>2.6221810184729102E-3</v>
      </c>
      <c r="J1760">
        <v>1.0247973619913604</v>
      </c>
      <c r="N1760" t="s">
        <v>687</v>
      </c>
      <c r="O1760" t="s">
        <v>641</v>
      </c>
      <c r="Q1760" t="s">
        <v>3164</v>
      </c>
    </row>
    <row r="1761" spans="2:17">
      <c r="B1761" t="s">
        <v>684</v>
      </c>
      <c r="C1761" t="s">
        <v>685</v>
      </c>
      <c r="D1761">
        <v>1.57843549275806E-4</v>
      </c>
      <c r="E1761" t="s">
        <v>640</v>
      </c>
      <c r="H1761" t="s">
        <v>588</v>
      </c>
      <c r="I1761">
        <v>1.57843549275806E-4</v>
      </c>
      <c r="J1761">
        <v>1.0247973619913604</v>
      </c>
      <c r="N1761" t="s">
        <v>687</v>
      </c>
      <c r="O1761" t="s">
        <v>641</v>
      </c>
      <c r="Q1761" t="s">
        <v>3164</v>
      </c>
    </row>
    <row r="1762" spans="2:17">
      <c r="B1762" t="s">
        <v>684</v>
      </c>
      <c r="C1762" t="s">
        <v>685</v>
      </c>
      <c r="D1762">
        <v>1.7626935708366601E-5</v>
      </c>
      <c r="E1762" t="s">
        <v>640</v>
      </c>
      <c r="H1762" t="s">
        <v>588</v>
      </c>
      <c r="I1762">
        <v>1.7626935708366601E-5</v>
      </c>
      <c r="J1762">
        <v>1.1051709180756477</v>
      </c>
      <c r="N1762" t="s">
        <v>687</v>
      </c>
      <c r="O1762" t="s">
        <v>3162</v>
      </c>
      <c r="Q1762" t="s">
        <v>3163</v>
      </c>
    </row>
    <row r="1763" spans="2:17">
      <c r="B1763" t="s">
        <v>684</v>
      </c>
      <c r="C1763" t="s">
        <v>685</v>
      </c>
      <c r="D1763">
        <v>2.26343623118503E-4</v>
      </c>
      <c r="E1763" t="s">
        <v>640</v>
      </c>
      <c r="H1763" t="s">
        <v>588</v>
      </c>
      <c r="I1763">
        <v>2.26343623118503E-4</v>
      </c>
      <c r="J1763">
        <v>1.1051709180756477</v>
      </c>
      <c r="N1763" t="s">
        <v>687</v>
      </c>
      <c r="O1763" t="s">
        <v>3162</v>
      </c>
      <c r="Q1763" t="s">
        <v>3163</v>
      </c>
    </row>
    <row r="1764" spans="2:17">
      <c r="B1764" t="s">
        <v>684</v>
      </c>
      <c r="C1764" t="s">
        <v>685</v>
      </c>
      <c r="D1764">
        <v>2.85368490923767E-3</v>
      </c>
      <c r="E1764" t="s">
        <v>640</v>
      </c>
      <c r="H1764" t="s">
        <v>588</v>
      </c>
      <c r="I1764">
        <v>2.85368490923767E-3</v>
      </c>
      <c r="J1764">
        <v>1.0247973619913604</v>
      </c>
      <c r="N1764" t="s">
        <v>687</v>
      </c>
      <c r="O1764" t="s">
        <v>641</v>
      </c>
      <c r="Q1764" t="s">
        <v>3164</v>
      </c>
    </row>
    <row r="1765" spans="2:17">
      <c r="B1765" t="s">
        <v>684</v>
      </c>
      <c r="C1765" t="s">
        <v>685</v>
      </c>
      <c r="D1765">
        <v>9.3083438871164399E-4</v>
      </c>
      <c r="E1765" t="s">
        <v>640</v>
      </c>
      <c r="H1765" t="s">
        <v>588</v>
      </c>
      <c r="I1765">
        <v>9.3083438871164399E-4</v>
      </c>
      <c r="J1765">
        <v>1.0247973619913604</v>
      </c>
      <c r="N1765" t="s">
        <v>687</v>
      </c>
      <c r="O1765" t="s">
        <v>641</v>
      </c>
      <c r="Q1765" t="s">
        <v>2808</v>
      </c>
    </row>
    <row r="1766" spans="2:17">
      <c r="B1766" t="s">
        <v>684</v>
      </c>
      <c r="C1766" t="s">
        <v>685</v>
      </c>
      <c r="D1766">
        <v>3.2983283088197902E-5</v>
      </c>
      <c r="E1766" t="s">
        <v>640</v>
      </c>
      <c r="H1766" t="s">
        <v>588</v>
      </c>
      <c r="I1766">
        <v>3.2983283088197902E-5</v>
      </c>
      <c r="J1766">
        <v>1.1051709180756477</v>
      </c>
      <c r="N1766" t="s">
        <v>687</v>
      </c>
      <c r="O1766" t="s">
        <v>3162</v>
      </c>
      <c r="Q1766" t="s">
        <v>3163</v>
      </c>
    </row>
    <row r="1767" spans="2:17">
      <c r="B1767" t="s">
        <v>684</v>
      </c>
      <c r="C1767" t="s">
        <v>685</v>
      </c>
      <c r="D1767">
        <v>1.6429518095678299E-5</v>
      </c>
      <c r="E1767" t="s">
        <v>640</v>
      </c>
      <c r="H1767" t="s">
        <v>588</v>
      </c>
      <c r="I1767">
        <v>1.6429518095678299E-5</v>
      </c>
      <c r="J1767">
        <v>1.1051709180756477</v>
      </c>
      <c r="N1767" t="s">
        <v>687</v>
      </c>
      <c r="O1767" t="s">
        <v>3162</v>
      </c>
      <c r="Q1767" t="s">
        <v>3163</v>
      </c>
    </row>
    <row r="1768" spans="2:17">
      <c r="B1768" t="s">
        <v>684</v>
      </c>
      <c r="C1768" t="s">
        <v>685</v>
      </c>
      <c r="D1768">
        <v>3.4164577057784898E-5</v>
      </c>
      <c r="E1768" t="s">
        <v>640</v>
      </c>
      <c r="H1768" t="s">
        <v>588</v>
      </c>
      <c r="I1768">
        <v>3.4164577057784898E-5</v>
      </c>
      <c r="J1768">
        <v>1.1051709180756477</v>
      </c>
      <c r="N1768" t="s">
        <v>687</v>
      </c>
      <c r="O1768" t="s">
        <v>3162</v>
      </c>
      <c r="Q1768" t="s">
        <v>3163</v>
      </c>
    </row>
    <row r="1769" spans="2:17">
      <c r="B1769" t="s">
        <v>684</v>
      </c>
      <c r="C1769" t="s">
        <v>685</v>
      </c>
      <c r="D1769">
        <v>8.1618829829620092E-6</v>
      </c>
      <c r="E1769" t="s">
        <v>640</v>
      </c>
      <c r="H1769" t="s">
        <v>588</v>
      </c>
      <c r="I1769">
        <v>8.1618829829620092E-6</v>
      </c>
      <c r="J1769">
        <v>1.1051709180756477</v>
      </c>
      <c r="N1769" t="s">
        <v>687</v>
      </c>
      <c r="O1769" t="s">
        <v>3162</v>
      </c>
      <c r="Q1769" t="s">
        <v>3163</v>
      </c>
    </row>
    <row r="1770" spans="2:17">
      <c r="B1770" t="s">
        <v>684</v>
      </c>
      <c r="C1770" t="s">
        <v>685</v>
      </c>
      <c r="D1770">
        <v>1.22810748343399E-2</v>
      </c>
      <c r="E1770" t="s">
        <v>640</v>
      </c>
      <c r="H1770" t="s">
        <v>588</v>
      </c>
      <c r="I1770">
        <v>1.22810748343399E-2</v>
      </c>
      <c r="J1770">
        <v>1.0247973619913604</v>
      </c>
      <c r="N1770" t="s">
        <v>687</v>
      </c>
      <c r="O1770" t="s">
        <v>641</v>
      </c>
      <c r="Q1770" t="s">
        <v>3164</v>
      </c>
    </row>
    <row r="1771" spans="2:17">
      <c r="B1771" t="s">
        <v>684</v>
      </c>
      <c r="C1771" t="s">
        <v>685</v>
      </c>
      <c r="D1771">
        <v>1.5204745286141099E-3</v>
      </c>
      <c r="E1771" t="s">
        <v>640</v>
      </c>
      <c r="H1771" t="s">
        <v>588</v>
      </c>
      <c r="I1771">
        <v>1.5204745286141099E-3</v>
      </c>
      <c r="J1771">
        <v>1.0247973619913604</v>
      </c>
      <c r="N1771" t="s">
        <v>687</v>
      </c>
      <c r="O1771" t="s">
        <v>641</v>
      </c>
      <c r="Q1771" t="s">
        <v>3164</v>
      </c>
    </row>
    <row r="1772" spans="2:17">
      <c r="B1772" t="s">
        <v>684</v>
      </c>
      <c r="C1772" t="s">
        <v>685</v>
      </c>
      <c r="D1772">
        <v>1.5537027027527999E-4</v>
      </c>
      <c r="E1772" t="s">
        <v>640</v>
      </c>
      <c r="H1772" t="s">
        <v>588</v>
      </c>
      <c r="I1772">
        <v>1.5537027027527999E-4</v>
      </c>
      <c r="J1772">
        <v>1.1051709180756477</v>
      </c>
      <c r="N1772" t="s">
        <v>687</v>
      </c>
      <c r="O1772" t="s">
        <v>3162</v>
      </c>
      <c r="Q1772" t="s">
        <v>3163</v>
      </c>
    </row>
    <row r="1773" spans="2:17">
      <c r="B1773" t="s">
        <v>684</v>
      </c>
      <c r="C1773" t="s">
        <v>685</v>
      </c>
      <c r="D1773">
        <v>9.1038295967724197E-5</v>
      </c>
      <c r="E1773" t="s">
        <v>640</v>
      </c>
      <c r="H1773" t="s">
        <v>588</v>
      </c>
      <c r="I1773">
        <v>9.1038295967724197E-5</v>
      </c>
      <c r="J1773">
        <v>1.1051709180756477</v>
      </c>
      <c r="N1773" t="s">
        <v>687</v>
      </c>
      <c r="O1773" t="s">
        <v>3162</v>
      </c>
      <c r="Q1773" t="s">
        <v>3163</v>
      </c>
    </row>
    <row r="1774" spans="2:17">
      <c r="B1774" t="s">
        <v>684</v>
      </c>
      <c r="C1774" t="s">
        <v>685</v>
      </c>
      <c r="D1774">
        <v>1.3523321560974201E-4</v>
      </c>
      <c r="E1774" t="s">
        <v>640</v>
      </c>
      <c r="H1774" t="s">
        <v>588</v>
      </c>
      <c r="I1774">
        <v>1.3523321560974201E-4</v>
      </c>
      <c r="J1774">
        <v>1.0247973619913604</v>
      </c>
      <c r="N1774" t="s">
        <v>686</v>
      </c>
      <c r="O1774" t="s">
        <v>641</v>
      </c>
      <c r="Q1774" t="s">
        <v>2808</v>
      </c>
    </row>
    <row r="1775" spans="2:17">
      <c r="B1775" t="s">
        <v>684</v>
      </c>
      <c r="C1775" t="s">
        <v>685</v>
      </c>
      <c r="D1775">
        <v>1.04566567761497E-5</v>
      </c>
      <c r="E1775" t="s">
        <v>640</v>
      </c>
      <c r="H1775" t="s">
        <v>588</v>
      </c>
      <c r="I1775">
        <v>1.04566567761497E-5</v>
      </c>
      <c r="J1775">
        <v>1.1051709180756477</v>
      </c>
      <c r="N1775" t="s">
        <v>687</v>
      </c>
      <c r="O1775" t="s">
        <v>3162</v>
      </c>
      <c r="Q1775" t="s">
        <v>3163</v>
      </c>
    </row>
    <row r="1776" spans="2:17">
      <c r="B1776" t="s">
        <v>684</v>
      </c>
      <c r="C1776" t="s">
        <v>685</v>
      </c>
      <c r="D1776">
        <v>1.48847582996172E-4</v>
      </c>
      <c r="E1776" t="s">
        <v>640</v>
      </c>
      <c r="H1776" t="s">
        <v>588</v>
      </c>
      <c r="I1776">
        <v>1.48847582996172E-4</v>
      </c>
      <c r="J1776">
        <v>1.0247973619913604</v>
      </c>
      <c r="N1776" t="s">
        <v>687</v>
      </c>
      <c r="O1776" t="s">
        <v>2006</v>
      </c>
      <c r="Q1776" t="s">
        <v>1679</v>
      </c>
    </row>
    <row r="1777" spans="2:17">
      <c r="B1777" t="s">
        <v>684</v>
      </c>
      <c r="C1777" t="s">
        <v>685</v>
      </c>
      <c r="D1777">
        <v>1.3198610257615299E-3</v>
      </c>
      <c r="E1777" t="s">
        <v>640</v>
      </c>
      <c r="H1777" t="s">
        <v>588</v>
      </c>
      <c r="I1777">
        <v>1.3198610257615299E-3</v>
      </c>
      <c r="J1777">
        <v>1.0247973619913604</v>
      </c>
      <c r="N1777" t="s">
        <v>687</v>
      </c>
      <c r="O1777" t="s">
        <v>641</v>
      </c>
      <c r="Q1777" t="s">
        <v>2808</v>
      </c>
    </row>
    <row r="1778" spans="2:17">
      <c r="B1778" t="s">
        <v>684</v>
      </c>
      <c r="C1778" t="s">
        <v>685</v>
      </c>
      <c r="D1778">
        <v>8.8493192488444002E-5</v>
      </c>
      <c r="E1778" t="s">
        <v>640</v>
      </c>
      <c r="H1778" t="s">
        <v>588</v>
      </c>
      <c r="I1778">
        <v>8.8493192488444002E-5</v>
      </c>
      <c r="J1778">
        <v>1.1051709180756477</v>
      </c>
      <c r="N1778" t="s">
        <v>687</v>
      </c>
      <c r="O1778" t="s">
        <v>3162</v>
      </c>
      <c r="Q1778" t="s">
        <v>3163</v>
      </c>
    </row>
    <row r="1779" spans="2:17">
      <c r="B1779" t="s">
        <v>684</v>
      </c>
      <c r="C1779" t="s">
        <v>685</v>
      </c>
      <c r="D1779">
        <v>2.7607313690923001E-5</v>
      </c>
      <c r="E1779" t="s">
        <v>640</v>
      </c>
      <c r="H1779" t="s">
        <v>588</v>
      </c>
      <c r="I1779">
        <v>2.7607313690923001E-5</v>
      </c>
      <c r="J1779">
        <v>1.0247973619913604</v>
      </c>
      <c r="N1779" t="s">
        <v>687</v>
      </c>
      <c r="O1779" t="s">
        <v>3165</v>
      </c>
      <c r="Q1779" t="s">
        <v>3166</v>
      </c>
    </row>
    <row r="1780" spans="2:17">
      <c r="B1780" t="s">
        <v>684</v>
      </c>
      <c r="C1780" t="s">
        <v>685</v>
      </c>
      <c r="D1780">
        <v>4.1878009361365103E-6</v>
      </c>
      <c r="E1780" t="s">
        <v>640</v>
      </c>
      <c r="H1780" t="s">
        <v>588</v>
      </c>
      <c r="I1780">
        <v>4.1878009361365103E-6</v>
      </c>
      <c r="J1780">
        <v>1.1051709180756477</v>
      </c>
      <c r="N1780" t="s">
        <v>687</v>
      </c>
      <c r="O1780" t="s">
        <v>3162</v>
      </c>
      <c r="Q1780" t="s">
        <v>3163</v>
      </c>
    </row>
    <row r="1781" spans="2:17">
      <c r="B1781" t="s">
        <v>684</v>
      </c>
      <c r="C1781" t="s">
        <v>685</v>
      </c>
      <c r="D1781">
        <v>2.0375542632383099E-5</v>
      </c>
      <c r="E1781" t="s">
        <v>640</v>
      </c>
      <c r="H1781" t="s">
        <v>588</v>
      </c>
      <c r="I1781">
        <v>2.0375542632383099E-5</v>
      </c>
      <c r="J1781">
        <v>1.1051709180756477</v>
      </c>
      <c r="N1781" t="s">
        <v>687</v>
      </c>
      <c r="O1781" t="s">
        <v>3162</v>
      </c>
      <c r="Q1781" t="s">
        <v>3163</v>
      </c>
    </row>
    <row r="1782" spans="2:17">
      <c r="B1782" t="s">
        <v>684</v>
      </c>
      <c r="C1782" t="s">
        <v>685</v>
      </c>
      <c r="D1782">
        <v>2.0803399700939401E-4</v>
      </c>
      <c r="E1782" t="s">
        <v>640</v>
      </c>
      <c r="H1782" t="s">
        <v>588</v>
      </c>
      <c r="I1782">
        <v>2.0803399700939401E-4</v>
      </c>
      <c r="J1782">
        <v>1.0247973619913604</v>
      </c>
      <c r="N1782" t="s">
        <v>686</v>
      </c>
      <c r="O1782" t="s">
        <v>2318</v>
      </c>
      <c r="Q1782" t="s">
        <v>2319</v>
      </c>
    </row>
    <row r="1783" spans="2:17">
      <c r="B1783" t="s">
        <v>684</v>
      </c>
      <c r="C1783" t="s">
        <v>685</v>
      </c>
      <c r="D1783">
        <v>2.6866892696702301E-3</v>
      </c>
      <c r="E1783" t="s">
        <v>640</v>
      </c>
      <c r="H1783" t="s">
        <v>588</v>
      </c>
      <c r="I1783">
        <v>2.6866892696702301E-3</v>
      </c>
      <c r="J1783">
        <v>1.0247973619913604</v>
      </c>
      <c r="N1783" t="s">
        <v>687</v>
      </c>
      <c r="O1783" t="s">
        <v>641</v>
      </c>
      <c r="Q1783" t="s">
        <v>3164</v>
      </c>
    </row>
    <row r="1784" spans="2:17">
      <c r="B1784" t="s">
        <v>684</v>
      </c>
      <c r="C1784" t="s">
        <v>685</v>
      </c>
      <c r="D1784">
        <v>5.8969148243873696E-3</v>
      </c>
      <c r="E1784" t="s">
        <v>640</v>
      </c>
      <c r="H1784" t="s">
        <v>588</v>
      </c>
      <c r="I1784">
        <v>5.8969148243873696E-3</v>
      </c>
      <c r="J1784">
        <v>1.1051709180756477</v>
      </c>
      <c r="N1784" t="s">
        <v>686</v>
      </c>
      <c r="O1784" t="s">
        <v>952</v>
      </c>
      <c r="Q1784" t="s">
        <v>3167</v>
      </c>
    </row>
    <row r="1785" spans="2:17">
      <c r="B1785" t="s">
        <v>3168</v>
      </c>
      <c r="C1785" t="s">
        <v>2377</v>
      </c>
      <c r="D1785">
        <v>6.6021325490193104E-4</v>
      </c>
      <c r="E1785" t="s">
        <v>640</v>
      </c>
      <c r="H1785" t="s">
        <v>588</v>
      </c>
      <c r="I1785">
        <v>6.6021325490193104E-4</v>
      </c>
      <c r="J1785">
        <v>1.0247973619913604</v>
      </c>
      <c r="N1785" t="s">
        <v>3169</v>
      </c>
      <c r="O1785" t="s">
        <v>641</v>
      </c>
      <c r="Q1785" t="s">
        <v>3170</v>
      </c>
    </row>
    <row r="1786" spans="2:17">
      <c r="B1786" t="s">
        <v>3171</v>
      </c>
      <c r="C1786" t="s">
        <v>3159</v>
      </c>
      <c r="D1786">
        <v>4.4945244778830402E-3</v>
      </c>
      <c r="E1786" t="s">
        <v>640</v>
      </c>
      <c r="H1786" t="s">
        <v>588</v>
      </c>
      <c r="I1786">
        <v>4.4945244778830402E-3</v>
      </c>
      <c r="J1786">
        <v>1.0247973619913604</v>
      </c>
      <c r="N1786" t="s">
        <v>3172</v>
      </c>
      <c r="O1786" t="s">
        <v>1752</v>
      </c>
      <c r="Q1786" t="s">
        <v>3173</v>
      </c>
    </row>
    <row r="1787" spans="2:17">
      <c r="B1787" t="s">
        <v>3174</v>
      </c>
      <c r="C1787" t="s">
        <v>691</v>
      </c>
      <c r="D1787">
        <v>2.5948225965462002E-4</v>
      </c>
      <c r="E1787" t="s">
        <v>640</v>
      </c>
      <c r="H1787" t="s">
        <v>588</v>
      </c>
      <c r="I1787">
        <v>2.5948225965462002E-4</v>
      </c>
      <c r="J1787">
        <v>1.4139824580805163</v>
      </c>
      <c r="N1787" t="s">
        <v>3175</v>
      </c>
      <c r="O1787" t="s">
        <v>798</v>
      </c>
      <c r="Q1787" t="s">
        <v>811</v>
      </c>
    </row>
    <row r="1788" spans="2:17">
      <c r="B1788" t="s">
        <v>3176</v>
      </c>
      <c r="C1788" t="s">
        <v>3177</v>
      </c>
      <c r="D1788">
        <v>2.41055152818307E-7</v>
      </c>
      <c r="E1788" t="s">
        <v>94</v>
      </c>
      <c r="H1788" t="s">
        <v>588</v>
      </c>
      <c r="I1788">
        <v>2.41055152818307E-7</v>
      </c>
      <c r="J1788">
        <v>1.0247973619913604</v>
      </c>
      <c r="N1788" t="s">
        <v>3178</v>
      </c>
      <c r="O1788" t="s">
        <v>2220</v>
      </c>
      <c r="Q1788" t="s">
        <v>3179</v>
      </c>
    </row>
    <row r="1789" spans="2:17">
      <c r="B1789" t="s">
        <v>688</v>
      </c>
      <c r="C1789" t="s">
        <v>667</v>
      </c>
      <c r="D1789">
        <v>4.7805588802763803E-5</v>
      </c>
      <c r="E1789" t="s">
        <v>94</v>
      </c>
      <c r="H1789" t="s">
        <v>588</v>
      </c>
      <c r="I1789">
        <v>4.7805588802763803E-5</v>
      </c>
      <c r="J1789">
        <v>1.2214027581601699</v>
      </c>
      <c r="N1789" t="s">
        <v>689</v>
      </c>
      <c r="O1789" t="s">
        <v>1708</v>
      </c>
      <c r="Q1789" t="s">
        <v>811</v>
      </c>
    </row>
    <row r="1790" spans="2:17">
      <c r="B1790" t="s">
        <v>3180</v>
      </c>
      <c r="C1790" t="s">
        <v>587</v>
      </c>
      <c r="D1790">
        <v>9.8097198697842796E-8</v>
      </c>
      <c r="E1790" t="s">
        <v>94</v>
      </c>
      <c r="H1790" t="s">
        <v>588</v>
      </c>
      <c r="I1790">
        <v>9.8097198697842796E-8</v>
      </c>
      <c r="J1790">
        <v>1.0247973619913604</v>
      </c>
      <c r="O1790" t="s">
        <v>641</v>
      </c>
      <c r="Q1790" t="s">
        <v>1643</v>
      </c>
    </row>
    <row r="1791" spans="2:17">
      <c r="B1791" t="s">
        <v>3181</v>
      </c>
      <c r="C1791" t="s">
        <v>1138</v>
      </c>
      <c r="D1791">
        <v>1.1310539059519501E-3</v>
      </c>
      <c r="E1791" t="s">
        <v>94</v>
      </c>
      <c r="H1791" t="s">
        <v>588</v>
      </c>
      <c r="I1791">
        <v>1.1310539059519501E-3</v>
      </c>
      <c r="J1791">
        <v>1.0321280889960358</v>
      </c>
      <c r="N1791" t="s">
        <v>3182</v>
      </c>
      <c r="O1791" t="s">
        <v>2050</v>
      </c>
      <c r="Q1791" t="s">
        <v>3183</v>
      </c>
    </row>
    <row r="1792" spans="2:17">
      <c r="B1792" t="s">
        <v>1314</v>
      </c>
      <c r="C1792" t="s">
        <v>809</v>
      </c>
      <c r="D1792">
        <v>7.4578066539586798E-6</v>
      </c>
      <c r="E1792" t="s">
        <v>94</v>
      </c>
      <c r="H1792" t="s">
        <v>588</v>
      </c>
      <c r="I1792">
        <v>7.4578066539586798E-6</v>
      </c>
      <c r="J1792">
        <v>1.0247973619913604</v>
      </c>
      <c r="N1792" t="s">
        <v>1315</v>
      </c>
      <c r="O1792" t="s">
        <v>2272</v>
      </c>
      <c r="Q1792" t="s">
        <v>2277</v>
      </c>
    </row>
    <row r="1793" spans="2:17">
      <c r="B1793" t="s">
        <v>1314</v>
      </c>
      <c r="C1793" t="s">
        <v>809</v>
      </c>
      <c r="D1793">
        <v>8.8863566397473508E-6</v>
      </c>
      <c r="E1793" t="s">
        <v>94</v>
      </c>
      <c r="H1793" t="s">
        <v>588</v>
      </c>
      <c r="I1793">
        <v>8.8863566397473508E-6</v>
      </c>
      <c r="J1793">
        <v>1.0247973619913604</v>
      </c>
      <c r="N1793" t="s">
        <v>1315</v>
      </c>
      <c r="O1793" t="s">
        <v>2272</v>
      </c>
      <c r="Q1793" t="s">
        <v>2277</v>
      </c>
    </row>
    <row r="1794" spans="2:17">
      <c r="B1794" t="s">
        <v>1314</v>
      </c>
      <c r="C1794" t="s">
        <v>809</v>
      </c>
      <c r="D1794">
        <v>2.41187548462309E-5</v>
      </c>
      <c r="E1794" t="s">
        <v>94</v>
      </c>
      <c r="H1794" t="s">
        <v>588</v>
      </c>
      <c r="I1794">
        <v>2.41187548462309E-5</v>
      </c>
      <c r="J1794">
        <v>1.0247973619913604</v>
      </c>
      <c r="N1794" t="s">
        <v>1315</v>
      </c>
      <c r="O1794" t="s">
        <v>2272</v>
      </c>
      <c r="Q1794" t="s">
        <v>2277</v>
      </c>
    </row>
    <row r="1795" spans="2:17">
      <c r="B1795" t="s">
        <v>1314</v>
      </c>
      <c r="C1795" t="s">
        <v>809</v>
      </c>
      <c r="D1795">
        <v>7.4302048035755498E-6</v>
      </c>
      <c r="E1795" t="s">
        <v>94</v>
      </c>
      <c r="H1795" t="s">
        <v>588</v>
      </c>
      <c r="I1795">
        <v>7.4302048035755498E-6</v>
      </c>
      <c r="J1795">
        <v>1.0247973619913604</v>
      </c>
      <c r="N1795" t="s">
        <v>1315</v>
      </c>
      <c r="O1795" t="s">
        <v>2272</v>
      </c>
      <c r="Q1795" t="s">
        <v>2277</v>
      </c>
    </row>
    <row r="1796" spans="2:17">
      <c r="B1796" t="s">
        <v>1314</v>
      </c>
      <c r="C1796" t="s">
        <v>809</v>
      </c>
      <c r="D1796">
        <v>3.6077334829288197E-5</v>
      </c>
      <c r="E1796" t="s">
        <v>94</v>
      </c>
      <c r="H1796" t="s">
        <v>588</v>
      </c>
      <c r="I1796">
        <v>3.6077334829288197E-5</v>
      </c>
      <c r="J1796">
        <v>1.0247973619913604</v>
      </c>
      <c r="N1796" t="s">
        <v>1315</v>
      </c>
      <c r="O1796" t="s">
        <v>2272</v>
      </c>
      <c r="Q1796" t="s">
        <v>2277</v>
      </c>
    </row>
    <row r="1797" spans="2:17">
      <c r="B1797" t="s">
        <v>1314</v>
      </c>
      <c r="C1797" t="s">
        <v>809</v>
      </c>
      <c r="D1797">
        <v>1.8546189403776098E-5</v>
      </c>
      <c r="E1797" t="s">
        <v>94</v>
      </c>
      <c r="H1797" t="s">
        <v>588</v>
      </c>
      <c r="I1797">
        <v>1.8546189403776098E-5</v>
      </c>
      <c r="J1797">
        <v>1.0247973619913604</v>
      </c>
      <c r="N1797" t="s">
        <v>1315</v>
      </c>
      <c r="O1797" t="s">
        <v>2272</v>
      </c>
      <c r="Q1797" t="s">
        <v>2277</v>
      </c>
    </row>
    <row r="1798" spans="2:17">
      <c r="B1798" t="s">
        <v>1314</v>
      </c>
      <c r="C1798" t="s">
        <v>809</v>
      </c>
      <c r="D1798">
        <v>7.0509111957821606E-5</v>
      </c>
      <c r="E1798" t="s">
        <v>94</v>
      </c>
      <c r="H1798" t="s">
        <v>588</v>
      </c>
      <c r="I1798">
        <v>7.0509111957821606E-5</v>
      </c>
      <c r="J1798">
        <v>1.0247973619913604</v>
      </c>
      <c r="N1798" t="s">
        <v>1315</v>
      </c>
      <c r="O1798" t="s">
        <v>2272</v>
      </c>
      <c r="Q1798" t="s">
        <v>2277</v>
      </c>
    </row>
    <row r="1799" spans="2:17">
      <c r="B1799" t="s">
        <v>1314</v>
      </c>
      <c r="C1799" t="s">
        <v>809</v>
      </c>
      <c r="D1799">
        <v>6.3499264418432004E-7</v>
      </c>
      <c r="E1799" t="s">
        <v>94</v>
      </c>
      <c r="H1799" t="s">
        <v>588</v>
      </c>
      <c r="I1799">
        <v>6.3499264418432004E-7</v>
      </c>
      <c r="J1799">
        <v>1.0247973619913604</v>
      </c>
      <c r="N1799" t="s">
        <v>1315</v>
      </c>
      <c r="O1799" t="s">
        <v>2272</v>
      </c>
      <c r="Q1799" t="s">
        <v>2277</v>
      </c>
    </row>
    <row r="1800" spans="2:17">
      <c r="B1800" t="s">
        <v>1314</v>
      </c>
      <c r="C1800" t="s">
        <v>809</v>
      </c>
      <c r="D1800">
        <v>5.0192390976243497E-6</v>
      </c>
      <c r="E1800" t="s">
        <v>94</v>
      </c>
      <c r="H1800" t="s">
        <v>588</v>
      </c>
      <c r="I1800">
        <v>5.0192390976243497E-6</v>
      </c>
      <c r="J1800">
        <v>1.0247973619913604</v>
      </c>
      <c r="N1800" t="s">
        <v>1315</v>
      </c>
      <c r="O1800" t="s">
        <v>2272</v>
      </c>
      <c r="Q1800" t="s">
        <v>2277</v>
      </c>
    </row>
    <row r="1801" spans="2:17">
      <c r="B1801" t="s">
        <v>1314</v>
      </c>
      <c r="C1801" t="s">
        <v>809</v>
      </c>
      <c r="D1801">
        <v>3.0590485777868198E-5</v>
      </c>
      <c r="E1801" t="s">
        <v>94</v>
      </c>
      <c r="H1801" t="s">
        <v>588</v>
      </c>
      <c r="I1801">
        <v>3.0590485777868198E-5</v>
      </c>
      <c r="J1801">
        <v>1.0247973619913604</v>
      </c>
      <c r="N1801" t="s">
        <v>1315</v>
      </c>
      <c r="O1801" t="s">
        <v>2272</v>
      </c>
      <c r="Q1801" t="s">
        <v>2277</v>
      </c>
    </row>
    <row r="1802" spans="2:17">
      <c r="B1802" t="s">
        <v>3184</v>
      </c>
      <c r="C1802" t="s">
        <v>1635</v>
      </c>
      <c r="D1802">
        <v>1.1981470347001701E-6</v>
      </c>
      <c r="E1802" t="s">
        <v>94</v>
      </c>
      <c r="H1802" t="s">
        <v>588</v>
      </c>
      <c r="I1802">
        <v>1.1981470347001701E-6</v>
      </c>
      <c r="J1802">
        <v>1.074399999999982</v>
      </c>
      <c r="N1802" t="s">
        <v>3185</v>
      </c>
      <c r="O1802" t="s">
        <v>589</v>
      </c>
      <c r="Q1802" t="s">
        <v>1637</v>
      </c>
    </row>
    <row r="1803" spans="2:17">
      <c r="B1803" t="s">
        <v>1317</v>
      </c>
      <c r="C1803" t="s">
        <v>673</v>
      </c>
      <c r="D1803">
        <v>8.2484529209599596E-5</v>
      </c>
      <c r="E1803" t="s">
        <v>94</v>
      </c>
      <c r="H1803" t="s">
        <v>588</v>
      </c>
      <c r="I1803">
        <v>8.2484529209599596E-5</v>
      </c>
      <c r="J1803">
        <v>1.0247973619913604</v>
      </c>
      <c r="N1803" t="s">
        <v>1318</v>
      </c>
      <c r="O1803" t="s">
        <v>1002</v>
      </c>
      <c r="Q1803" t="s">
        <v>3186</v>
      </c>
    </row>
    <row r="1804" spans="2:17">
      <c r="B1804" t="s">
        <v>1317</v>
      </c>
      <c r="C1804" t="s">
        <v>673</v>
      </c>
      <c r="D1804">
        <v>4.7838112137340097E-6</v>
      </c>
      <c r="E1804" t="s">
        <v>94</v>
      </c>
      <c r="H1804" t="s">
        <v>588</v>
      </c>
      <c r="I1804">
        <v>4.7838112137340097E-6</v>
      </c>
      <c r="J1804">
        <v>1.0247973619913604</v>
      </c>
      <c r="N1804" t="s">
        <v>3187</v>
      </c>
      <c r="O1804" t="s">
        <v>641</v>
      </c>
      <c r="Q1804" t="s">
        <v>1643</v>
      </c>
    </row>
    <row r="1805" spans="2:17">
      <c r="B1805" t="s">
        <v>1317</v>
      </c>
      <c r="C1805" t="s">
        <v>673</v>
      </c>
      <c r="D1805">
        <v>7.80969965014787E-4</v>
      </c>
      <c r="E1805" t="s">
        <v>94</v>
      </c>
      <c r="H1805" t="s">
        <v>588</v>
      </c>
      <c r="I1805">
        <v>7.80969965014787E-4</v>
      </c>
      <c r="J1805">
        <v>1.151909910168909</v>
      </c>
      <c r="N1805" t="s">
        <v>1318</v>
      </c>
      <c r="O1805" t="s">
        <v>2782</v>
      </c>
      <c r="Q1805" t="s">
        <v>595</v>
      </c>
    </row>
    <row r="1806" spans="2:17">
      <c r="B1806" t="s">
        <v>3188</v>
      </c>
      <c r="C1806" t="s">
        <v>708</v>
      </c>
      <c r="D1806">
        <v>1.7533068074270301E-5</v>
      </c>
      <c r="E1806" t="s">
        <v>94</v>
      </c>
      <c r="H1806" t="s">
        <v>588</v>
      </c>
      <c r="I1806">
        <v>1.7533068074270301E-5</v>
      </c>
      <c r="J1806">
        <v>1.7293101253499219</v>
      </c>
      <c r="N1806" t="s">
        <v>3189</v>
      </c>
      <c r="O1806" t="s">
        <v>1929</v>
      </c>
      <c r="Q1806" t="s">
        <v>3190</v>
      </c>
    </row>
    <row r="1807" spans="2:17">
      <c r="B1807" t="s">
        <v>3191</v>
      </c>
      <c r="C1807" t="s">
        <v>597</v>
      </c>
      <c r="D1807">
        <v>6.2006215689831704E-4</v>
      </c>
      <c r="E1807" t="s">
        <v>94</v>
      </c>
      <c r="H1807" t="s">
        <v>588</v>
      </c>
      <c r="I1807">
        <v>6.2006215689831704E-4</v>
      </c>
      <c r="J1807">
        <v>3.1273169269509444</v>
      </c>
      <c r="N1807" t="s">
        <v>3192</v>
      </c>
      <c r="O1807" t="s">
        <v>3193</v>
      </c>
      <c r="Q1807" t="s">
        <v>3194</v>
      </c>
    </row>
    <row r="1808" spans="2:17">
      <c r="B1808" t="s">
        <v>3195</v>
      </c>
      <c r="C1808" t="s">
        <v>673</v>
      </c>
      <c r="D1808">
        <v>3.8795717558935202E-8</v>
      </c>
      <c r="E1808" t="s">
        <v>94</v>
      </c>
      <c r="H1808" t="s">
        <v>588</v>
      </c>
      <c r="I1808">
        <v>3.8795717558935202E-8</v>
      </c>
      <c r="J1808">
        <v>1.1051709180756477</v>
      </c>
      <c r="N1808" t="s">
        <v>3196</v>
      </c>
      <c r="O1808" t="s">
        <v>956</v>
      </c>
      <c r="Q1808" t="s">
        <v>1545</v>
      </c>
    </row>
    <row r="1809" spans="2:17">
      <c r="B1809" t="s">
        <v>3197</v>
      </c>
      <c r="C1809" t="s">
        <v>673</v>
      </c>
      <c r="D1809">
        <v>4.0659073087089102E-8</v>
      </c>
      <c r="E1809" t="s">
        <v>94</v>
      </c>
      <c r="H1809" t="s">
        <v>588</v>
      </c>
      <c r="I1809">
        <v>4.0659073087089102E-8</v>
      </c>
      <c r="J1809">
        <v>1</v>
      </c>
      <c r="N1809" t="s">
        <v>3198</v>
      </c>
      <c r="O1809" t="s">
        <v>956</v>
      </c>
      <c r="Q1809" t="s">
        <v>3199</v>
      </c>
    </row>
    <row r="1810" spans="2:17">
      <c r="B1810" t="s">
        <v>3200</v>
      </c>
      <c r="C1810" t="s">
        <v>673</v>
      </c>
      <c r="D1810">
        <v>3.4870365121991003E-8</v>
      </c>
      <c r="E1810" t="s">
        <v>94</v>
      </c>
      <c r="H1810" t="s">
        <v>588</v>
      </c>
      <c r="I1810">
        <v>3.4870365121991003E-8</v>
      </c>
      <c r="J1810">
        <v>1</v>
      </c>
      <c r="N1810" t="s">
        <v>3201</v>
      </c>
      <c r="O1810" t="s">
        <v>956</v>
      </c>
      <c r="Q1810" t="s">
        <v>3199</v>
      </c>
    </row>
    <row r="1811" spans="2:17">
      <c r="B1811" t="s">
        <v>3202</v>
      </c>
      <c r="C1811" t="s">
        <v>673</v>
      </c>
      <c r="D1811">
        <v>1.1856989424441601E-6</v>
      </c>
      <c r="E1811" t="s">
        <v>94</v>
      </c>
      <c r="H1811" t="s">
        <v>588</v>
      </c>
      <c r="I1811">
        <v>1.1856989424441601E-6</v>
      </c>
      <c r="J1811">
        <v>1.0247973619913604</v>
      </c>
      <c r="N1811" t="s">
        <v>3203</v>
      </c>
      <c r="O1811" t="s">
        <v>1649</v>
      </c>
      <c r="Q1811" t="s">
        <v>3204</v>
      </c>
    </row>
    <row r="1812" spans="2:17">
      <c r="B1812" t="s">
        <v>3205</v>
      </c>
      <c r="C1812" t="s">
        <v>2739</v>
      </c>
      <c r="D1812">
        <v>2.38993236159456E-13</v>
      </c>
      <c r="E1812" t="s">
        <v>616</v>
      </c>
      <c r="H1812" t="s">
        <v>588</v>
      </c>
      <c r="I1812">
        <v>2.38993236159456E-13</v>
      </c>
      <c r="J1812">
        <v>1.0247973619913604</v>
      </c>
      <c r="N1812" t="s">
        <v>3206</v>
      </c>
      <c r="O1812" t="s">
        <v>1649</v>
      </c>
      <c r="Q1812" t="s">
        <v>695</v>
      </c>
    </row>
    <row r="1813" spans="2:17">
      <c r="B1813" t="s">
        <v>3205</v>
      </c>
      <c r="C1813" t="s">
        <v>2739</v>
      </c>
      <c r="D1813">
        <v>3.95653674755339E-13</v>
      </c>
      <c r="E1813" t="s">
        <v>616</v>
      </c>
      <c r="H1813" t="s">
        <v>588</v>
      </c>
      <c r="I1813">
        <v>3.95653674755339E-13</v>
      </c>
      <c r="J1813">
        <v>1.0247973619913604</v>
      </c>
      <c r="N1813" t="s">
        <v>3207</v>
      </c>
      <c r="O1813" t="s">
        <v>1649</v>
      </c>
      <c r="Q1813" t="s">
        <v>3208</v>
      </c>
    </row>
    <row r="1814" spans="2:17">
      <c r="B1814" t="s">
        <v>3205</v>
      </c>
      <c r="C1814" t="s">
        <v>2739</v>
      </c>
      <c r="D1814">
        <v>4.1761766044835699E-14</v>
      </c>
      <c r="E1814" t="s">
        <v>616</v>
      </c>
      <c r="H1814" t="s">
        <v>588</v>
      </c>
      <c r="I1814">
        <v>4.1761766044835699E-14</v>
      </c>
      <c r="J1814">
        <v>1</v>
      </c>
      <c r="N1814" t="s">
        <v>3206</v>
      </c>
      <c r="O1814" t="s">
        <v>956</v>
      </c>
      <c r="Q1814" t="s">
        <v>1545</v>
      </c>
    </row>
    <row r="1815" spans="2:17">
      <c r="B1815" t="s">
        <v>3205</v>
      </c>
      <c r="C1815" t="s">
        <v>2739</v>
      </c>
      <c r="D1815">
        <v>3.9832181369560298E-14</v>
      </c>
      <c r="E1815" t="s">
        <v>616</v>
      </c>
      <c r="H1815" t="s">
        <v>588</v>
      </c>
      <c r="I1815">
        <v>3.9832181369560298E-14</v>
      </c>
      <c r="J1815">
        <v>1.0247973619913604</v>
      </c>
      <c r="N1815" t="s">
        <v>3206</v>
      </c>
      <c r="O1815" t="s">
        <v>1649</v>
      </c>
      <c r="Q1815" t="s">
        <v>3208</v>
      </c>
    </row>
    <row r="1816" spans="2:17">
      <c r="B1816" t="s">
        <v>3209</v>
      </c>
      <c r="C1816" t="s">
        <v>2739</v>
      </c>
      <c r="D1816">
        <v>4.4380411979805701E-14</v>
      </c>
      <c r="E1816" t="s">
        <v>616</v>
      </c>
      <c r="H1816" t="s">
        <v>588</v>
      </c>
      <c r="I1816">
        <v>4.4380411979805701E-14</v>
      </c>
      <c r="J1816">
        <v>1.0247973619913604</v>
      </c>
      <c r="N1816" t="s">
        <v>3210</v>
      </c>
      <c r="O1816" t="s">
        <v>1649</v>
      </c>
      <c r="Q1816" t="s">
        <v>3211</v>
      </c>
    </row>
    <row r="1817" spans="2:17">
      <c r="B1817" t="s">
        <v>3209</v>
      </c>
      <c r="C1817" t="s">
        <v>2739</v>
      </c>
      <c r="D1817">
        <v>1.06382698526991E-12</v>
      </c>
      <c r="E1817" t="s">
        <v>616</v>
      </c>
      <c r="H1817" t="s">
        <v>588</v>
      </c>
      <c r="I1817">
        <v>1.06382698526991E-12</v>
      </c>
      <c r="J1817">
        <v>1.0247973619913604</v>
      </c>
      <c r="N1817" t="s">
        <v>3212</v>
      </c>
      <c r="O1817" t="s">
        <v>1649</v>
      </c>
      <c r="Q1817" t="s">
        <v>3211</v>
      </c>
    </row>
    <row r="1818" spans="2:17">
      <c r="B1818" t="s">
        <v>3209</v>
      </c>
      <c r="C1818" t="s">
        <v>2739</v>
      </c>
      <c r="D1818">
        <v>2.6628299032311998E-13</v>
      </c>
      <c r="E1818" t="s">
        <v>616</v>
      </c>
      <c r="H1818" t="s">
        <v>588</v>
      </c>
      <c r="I1818">
        <v>2.6628299032311998E-13</v>
      </c>
      <c r="J1818">
        <v>1.0247973619913604</v>
      </c>
      <c r="N1818" t="s">
        <v>3210</v>
      </c>
      <c r="O1818" t="s">
        <v>1649</v>
      </c>
      <c r="Q1818" t="s">
        <v>695</v>
      </c>
    </row>
    <row r="1819" spans="2:17">
      <c r="B1819" t="s">
        <v>3209</v>
      </c>
      <c r="C1819" t="s">
        <v>2739</v>
      </c>
      <c r="D1819">
        <v>1.7752199354874699E-13</v>
      </c>
      <c r="E1819" t="s">
        <v>616</v>
      </c>
      <c r="H1819" t="s">
        <v>588</v>
      </c>
      <c r="I1819">
        <v>1.7752199354874699E-13</v>
      </c>
      <c r="J1819">
        <v>1.0247973619913604</v>
      </c>
      <c r="N1819" t="s">
        <v>3210</v>
      </c>
      <c r="O1819" t="s">
        <v>1649</v>
      </c>
      <c r="Q1819" t="s">
        <v>695</v>
      </c>
    </row>
    <row r="1820" spans="2:17">
      <c r="B1820" t="s">
        <v>3209</v>
      </c>
      <c r="C1820" t="s">
        <v>2739</v>
      </c>
      <c r="D1820">
        <v>4.4380464700715797E-14</v>
      </c>
      <c r="E1820" t="s">
        <v>616</v>
      </c>
      <c r="H1820" t="s">
        <v>588</v>
      </c>
      <c r="I1820">
        <v>4.4380464700715797E-14</v>
      </c>
      <c r="J1820">
        <v>1.0247973619913604</v>
      </c>
      <c r="N1820" t="s">
        <v>3210</v>
      </c>
      <c r="O1820" t="s">
        <v>1649</v>
      </c>
      <c r="Q1820" t="s">
        <v>3211</v>
      </c>
    </row>
    <row r="1821" spans="2:17">
      <c r="B1821" t="s">
        <v>3209</v>
      </c>
      <c r="C1821" t="s">
        <v>2739</v>
      </c>
      <c r="D1821">
        <v>4.4380467715840999E-14</v>
      </c>
      <c r="E1821" t="s">
        <v>616</v>
      </c>
      <c r="H1821" t="s">
        <v>588</v>
      </c>
      <c r="I1821">
        <v>4.4380467715840999E-14</v>
      </c>
      <c r="J1821">
        <v>1.0247973619913604</v>
      </c>
      <c r="N1821" t="s">
        <v>3210</v>
      </c>
      <c r="O1821" t="s">
        <v>1649</v>
      </c>
      <c r="Q1821" t="s">
        <v>3211</v>
      </c>
    </row>
    <row r="1822" spans="2:17">
      <c r="B1822" t="s">
        <v>3213</v>
      </c>
      <c r="C1822" t="s">
        <v>2739</v>
      </c>
      <c r="D1822">
        <v>1.10512607311184E-13</v>
      </c>
      <c r="E1822" t="s">
        <v>616</v>
      </c>
      <c r="H1822" t="s">
        <v>588</v>
      </c>
      <c r="I1822">
        <v>1.10512607311184E-13</v>
      </c>
      <c r="J1822">
        <v>1.0247973619913604</v>
      </c>
      <c r="N1822" t="s">
        <v>3214</v>
      </c>
      <c r="O1822" t="s">
        <v>1779</v>
      </c>
      <c r="Q1822" t="s">
        <v>3215</v>
      </c>
    </row>
    <row r="1823" spans="2:17">
      <c r="B1823" t="s">
        <v>3213</v>
      </c>
      <c r="C1823" t="s">
        <v>2739</v>
      </c>
      <c r="D1823">
        <v>1.60238074926893E-12</v>
      </c>
      <c r="E1823" t="s">
        <v>616</v>
      </c>
      <c r="H1823" t="s">
        <v>588</v>
      </c>
      <c r="I1823">
        <v>1.60238074926893E-12</v>
      </c>
      <c r="J1823">
        <v>1.0247973619913604</v>
      </c>
      <c r="N1823" t="s">
        <v>3216</v>
      </c>
      <c r="O1823" t="s">
        <v>1779</v>
      </c>
      <c r="Q1823" t="s">
        <v>3217</v>
      </c>
    </row>
    <row r="1824" spans="2:17">
      <c r="B1824" t="s">
        <v>1319</v>
      </c>
      <c r="C1824" t="s">
        <v>701</v>
      </c>
      <c r="D1824">
        <v>6.1551410167516904E-6</v>
      </c>
      <c r="E1824" t="s">
        <v>94</v>
      </c>
      <c r="H1824" t="s">
        <v>588</v>
      </c>
      <c r="I1824">
        <v>6.1551410167516904E-6</v>
      </c>
      <c r="J1824">
        <v>1.0247973619913604</v>
      </c>
      <c r="N1824" t="s">
        <v>1320</v>
      </c>
      <c r="O1824" t="s">
        <v>641</v>
      </c>
      <c r="Q1824" t="s">
        <v>1643</v>
      </c>
    </row>
    <row r="1825" spans="2:17">
      <c r="B1825" t="s">
        <v>1319</v>
      </c>
      <c r="C1825" t="s">
        <v>701</v>
      </c>
      <c r="D1825">
        <v>1.85770525880497E-6</v>
      </c>
      <c r="E1825" t="s">
        <v>94</v>
      </c>
      <c r="H1825" t="s">
        <v>588</v>
      </c>
      <c r="I1825">
        <v>1.85770525880497E-6</v>
      </c>
      <c r="J1825">
        <v>1.0247973619913604</v>
      </c>
      <c r="N1825" t="s">
        <v>1320</v>
      </c>
      <c r="O1825" t="s">
        <v>641</v>
      </c>
      <c r="Q1825" t="s">
        <v>1643</v>
      </c>
    </row>
    <row r="1826" spans="2:17">
      <c r="B1826" t="s">
        <v>3218</v>
      </c>
      <c r="C1826" t="s">
        <v>701</v>
      </c>
      <c r="D1826">
        <v>3.9155871008022398E-6</v>
      </c>
      <c r="E1826" t="s">
        <v>94</v>
      </c>
      <c r="H1826" t="s">
        <v>1733</v>
      </c>
      <c r="I1826">
        <v>3.9155871008022398E-6</v>
      </c>
      <c r="K1826">
        <v>3.9155871008022398E-6</v>
      </c>
      <c r="L1826">
        <v>3.9155871008022398E-6</v>
      </c>
      <c r="N1826" t="s">
        <v>3219</v>
      </c>
      <c r="O1826" t="s">
        <v>3220</v>
      </c>
      <c r="Q1826" t="s">
        <v>3221</v>
      </c>
    </row>
    <row r="1827" spans="2:17">
      <c r="B1827" t="s">
        <v>3222</v>
      </c>
      <c r="C1827" t="s">
        <v>621</v>
      </c>
      <c r="D1827">
        <v>1.2130580484690999E-2</v>
      </c>
      <c r="E1827" t="s">
        <v>622</v>
      </c>
      <c r="H1827" t="s">
        <v>588</v>
      </c>
      <c r="I1827">
        <v>1.2130580484690999E-2</v>
      </c>
      <c r="J1827">
        <v>1.0491269218018107</v>
      </c>
      <c r="O1827" t="s">
        <v>1756</v>
      </c>
      <c r="Q1827" t="s">
        <v>3223</v>
      </c>
    </row>
    <row r="1828" spans="2:17">
      <c r="B1828" t="s">
        <v>849</v>
      </c>
      <c r="C1828" t="s">
        <v>621</v>
      </c>
      <c r="D1828">
        <v>1.7465157732384501E-4</v>
      </c>
      <c r="E1828" t="s">
        <v>622</v>
      </c>
      <c r="H1828" t="s">
        <v>588</v>
      </c>
      <c r="I1828">
        <v>1.7465157732384501E-4</v>
      </c>
      <c r="J1828">
        <v>1.2775561233185384</v>
      </c>
      <c r="O1828" t="s">
        <v>1770</v>
      </c>
      <c r="Q1828" t="s">
        <v>1949</v>
      </c>
    </row>
    <row r="1829" spans="2:17">
      <c r="B1829" t="s">
        <v>3224</v>
      </c>
      <c r="C1829" t="s">
        <v>621</v>
      </c>
      <c r="D1829">
        <v>1.5859003172666399E-3</v>
      </c>
      <c r="E1829" t="s">
        <v>622</v>
      </c>
      <c r="H1829" t="s">
        <v>588</v>
      </c>
      <c r="I1829">
        <v>1.5859003172666399E-3</v>
      </c>
      <c r="J1829">
        <v>1.4139824580805163</v>
      </c>
      <c r="O1829" t="s">
        <v>3050</v>
      </c>
      <c r="Q1829" t="s">
        <v>3051</v>
      </c>
    </row>
    <row r="1830" spans="2:17">
      <c r="B1830" t="s">
        <v>850</v>
      </c>
      <c r="C1830" t="s">
        <v>621</v>
      </c>
      <c r="D1830">
        <v>3.5048519156962603E-2</v>
      </c>
      <c r="E1830" t="s">
        <v>622</v>
      </c>
      <c r="H1830" t="s">
        <v>588</v>
      </c>
      <c r="I1830">
        <v>3.5048519156962603E-2</v>
      </c>
      <c r="J1830">
        <v>1.2775561233185384</v>
      </c>
      <c r="O1830" t="s">
        <v>1770</v>
      </c>
      <c r="Q1830" t="s">
        <v>1949</v>
      </c>
    </row>
    <row r="1831" spans="2:17">
      <c r="B1831" t="s">
        <v>1322</v>
      </c>
      <c r="C1831" t="s">
        <v>621</v>
      </c>
      <c r="D1831">
        <v>2.58027811320673E-10</v>
      </c>
      <c r="E1831" t="s">
        <v>622</v>
      </c>
      <c r="H1831" t="s">
        <v>588</v>
      </c>
      <c r="I1831">
        <v>2.58027811320673E-10</v>
      </c>
      <c r="J1831">
        <v>1</v>
      </c>
      <c r="O1831" t="s">
        <v>1157</v>
      </c>
      <c r="Q1831" t="s">
        <v>1323</v>
      </c>
    </row>
    <row r="1832" spans="2:17">
      <c r="B1832" t="s">
        <v>3225</v>
      </c>
      <c r="C1832" t="s">
        <v>621</v>
      </c>
      <c r="D1832">
        <v>8.0066128047838299E-5</v>
      </c>
      <c r="E1832" t="s">
        <v>622</v>
      </c>
      <c r="H1832" t="s">
        <v>588</v>
      </c>
      <c r="I1832">
        <v>8.0066128047838299E-5</v>
      </c>
      <c r="J1832">
        <v>1.4341253160944203</v>
      </c>
      <c r="O1832" t="s">
        <v>855</v>
      </c>
    </row>
    <row r="1833" spans="2:17">
      <c r="B1833" t="s">
        <v>620</v>
      </c>
      <c r="C1833" t="s">
        <v>621</v>
      </c>
      <c r="D1833">
        <v>8.9672085828814904E-4</v>
      </c>
      <c r="E1833" t="s">
        <v>622</v>
      </c>
      <c r="H1833" t="s">
        <v>588</v>
      </c>
      <c r="I1833">
        <v>8.9672085828814904E-4</v>
      </c>
      <c r="J1833">
        <v>1.2775561233185384</v>
      </c>
      <c r="O1833" t="s">
        <v>3226</v>
      </c>
    </row>
    <row r="1834" spans="2:17">
      <c r="B1834" t="s">
        <v>3227</v>
      </c>
      <c r="C1834" t="s">
        <v>621</v>
      </c>
      <c r="D1834">
        <v>6.6071093198288897E-2</v>
      </c>
      <c r="E1834" t="s">
        <v>622</v>
      </c>
      <c r="H1834" t="s">
        <v>588</v>
      </c>
      <c r="I1834">
        <v>6.6071093198288897E-2</v>
      </c>
      <c r="J1834">
        <v>1.1129999999998694</v>
      </c>
      <c r="O1834" t="s">
        <v>1435</v>
      </c>
      <c r="Q1834" t="s">
        <v>3228</v>
      </c>
    </row>
    <row r="1835" spans="2:17">
      <c r="B1835" t="s">
        <v>3229</v>
      </c>
      <c r="C1835" t="s">
        <v>621</v>
      </c>
      <c r="D1835">
        <v>1.0742431955932499E-5</v>
      </c>
      <c r="E1835" t="s">
        <v>622</v>
      </c>
      <c r="H1835" t="s">
        <v>588</v>
      </c>
      <c r="I1835">
        <v>1.0742431955932499E-5</v>
      </c>
      <c r="J1835">
        <v>1.4537780777466462</v>
      </c>
      <c r="O1835" t="s">
        <v>2267</v>
      </c>
      <c r="Q1835" t="s">
        <v>3230</v>
      </c>
    </row>
    <row r="1836" spans="2:17">
      <c r="B1836" t="s">
        <v>3231</v>
      </c>
      <c r="C1836" t="s">
        <v>621</v>
      </c>
      <c r="D1836">
        <v>7.6036809598870199E-4</v>
      </c>
      <c r="E1836" t="s">
        <v>622</v>
      </c>
      <c r="H1836" t="s">
        <v>588</v>
      </c>
      <c r="I1836">
        <v>7.6036809598870199E-4</v>
      </c>
      <c r="J1836">
        <v>1.2214027581601699</v>
      </c>
      <c r="O1836" t="s">
        <v>1713</v>
      </c>
      <c r="Q1836" t="s">
        <v>3232</v>
      </c>
    </row>
    <row r="1837" spans="2:17">
      <c r="B1837" t="s">
        <v>3233</v>
      </c>
      <c r="C1837" t="s">
        <v>3234</v>
      </c>
      <c r="D1837">
        <v>7.3397047578398801E-13</v>
      </c>
      <c r="E1837" t="s">
        <v>616</v>
      </c>
      <c r="H1837" t="s">
        <v>588</v>
      </c>
      <c r="I1837">
        <v>7.3397047578398801E-13</v>
      </c>
      <c r="J1837">
        <v>1.7915751222543432</v>
      </c>
      <c r="N1837" t="s">
        <v>3235</v>
      </c>
      <c r="O1837" t="s">
        <v>3236</v>
      </c>
      <c r="Q1837" t="s">
        <v>3237</v>
      </c>
    </row>
    <row r="1838" spans="2:17">
      <c r="B1838" t="s">
        <v>3238</v>
      </c>
      <c r="C1838" t="s">
        <v>3234</v>
      </c>
      <c r="D1838">
        <v>2.6748168596971501E-12</v>
      </c>
      <c r="E1838" t="s">
        <v>616</v>
      </c>
      <c r="H1838" t="s">
        <v>588</v>
      </c>
      <c r="I1838">
        <v>2.6748168596971501E-12</v>
      </c>
      <c r="J1838">
        <v>1.760654165524179</v>
      </c>
      <c r="N1838" t="s">
        <v>3239</v>
      </c>
      <c r="O1838" t="s">
        <v>3240</v>
      </c>
      <c r="Q1838" t="s">
        <v>3241</v>
      </c>
    </row>
    <row r="1839" spans="2:17">
      <c r="B1839" t="s">
        <v>3242</v>
      </c>
      <c r="C1839" t="s">
        <v>3243</v>
      </c>
      <c r="D1839">
        <v>1.4375324499802E-7</v>
      </c>
      <c r="E1839" t="s">
        <v>1171</v>
      </c>
      <c r="H1839" t="s">
        <v>588</v>
      </c>
      <c r="I1839">
        <v>1.4375324499802E-7</v>
      </c>
      <c r="J1839">
        <v>1.1051709180756477</v>
      </c>
      <c r="N1839" t="s">
        <v>3244</v>
      </c>
      <c r="O1839" t="s">
        <v>2307</v>
      </c>
      <c r="Q1839" t="s">
        <v>3237</v>
      </c>
    </row>
    <row r="1840" spans="2:17">
      <c r="B1840" t="s">
        <v>3245</v>
      </c>
      <c r="C1840" t="s">
        <v>2629</v>
      </c>
      <c r="D1840">
        <v>1.31240515883989E-8</v>
      </c>
      <c r="E1840" t="s">
        <v>616</v>
      </c>
      <c r="H1840" t="s">
        <v>588</v>
      </c>
      <c r="I1840">
        <v>1.31240515883989E-8</v>
      </c>
      <c r="J1840">
        <v>1.499999999999694</v>
      </c>
      <c r="N1840" t="s">
        <v>3246</v>
      </c>
      <c r="O1840" t="s">
        <v>952</v>
      </c>
      <c r="Q1840" t="s">
        <v>3247</v>
      </c>
    </row>
    <row r="1841" spans="2:17">
      <c r="B1841" t="s">
        <v>3248</v>
      </c>
      <c r="C1841" t="s">
        <v>615</v>
      </c>
      <c r="D1841">
        <v>6.0160413137519704E-12</v>
      </c>
      <c r="E1841" t="s">
        <v>616</v>
      </c>
      <c r="H1841" t="s">
        <v>588</v>
      </c>
      <c r="I1841">
        <v>6.0160413137519704E-12</v>
      </c>
      <c r="J1841">
        <v>1.0247973619913604</v>
      </c>
      <c r="N1841" t="s">
        <v>3249</v>
      </c>
      <c r="O1841" t="s">
        <v>3250</v>
      </c>
      <c r="Q1841" t="s">
        <v>3251</v>
      </c>
    </row>
    <row r="1842" spans="2:17">
      <c r="B1842" t="s">
        <v>3252</v>
      </c>
      <c r="C1842" t="s">
        <v>2739</v>
      </c>
      <c r="D1842">
        <v>8.1939350376337497E-12</v>
      </c>
      <c r="E1842" t="s">
        <v>616</v>
      </c>
      <c r="H1842" t="s">
        <v>588</v>
      </c>
      <c r="I1842">
        <v>8.1939350376337497E-12</v>
      </c>
      <c r="J1842">
        <v>1.7293101253499219</v>
      </c>
      <c r="N1842" t="s">
        <v>3253</v>
      </c>
      <c r="O1842" t="s">
        <v>1798</v>
      </c>
      <c r="Q1842" t="s">
        <v>3254</v>
      </c>
    </row>
    <row r="1843" spans="2:17">
      <c r="B1843" t="s">
        <v>3252</v>
      </c>
      <c r="C1843" t="s">
        <v>2739</v>
      </c>
      <c r="D1843">
        <v>1.7586514762923699E-11</v>
      </c>
      <c r="E1843" t="s">
        <v>616</v>
      </c>
      <c r="H1843" t="s">
        <v>588</v>
      </c>
      <c r="I1843">
        <v>1.7586514762923699E-11</v>
      </c>
      <c r="J1843">
        <v>1.7293101253499219</v>
      </c>
      <c r="N1843" t="s">
        <v>3255</v>
      </c>
      <c r="O1843" t="s">
        <v>1798</v>
      </c>
      <c r="Q1843" t="s">
        <v>3256</v>
      </c>
    </row>
    <row r="1844" spans="2:17">
      <c r="B1844" t="s">
        <v>3257</v>
      </c>
      <c r="C1844" t="s">
        <v>3258</v>
      </c>
      <c r="D1844">
        <v>4.4510487506082998E-9</v>
      </c>
      <c r="E1844" t="s">
        <v>616</v>
      </c>
      <c r="H1844" t="s">
        <v>588</v>
      </c>
      <c r="I1844">
        <v>4.4510487506082998E-9</v>
      </c>
      <c r="J1844">
        <v>1.7293101253499219</v>
      </c>
      <c r="N1844" t="s">
        <v>3259</v>
      </c>
      <c r="O1844" t="s">
        <v>2109</v>
      </c>
      <c r="Q1844" t="s">
        <v>2110</v>
      </c>
    </row>
    <row r="1845" spans="2:17">
      <c r="B1845" t="s">
        <v>3260</v>
      </c>
      <c r="C1845" t="s">
        <v>587</v>
      </c>
      <c r="D1845">
        <v>0.11298949737859799</v>
      </c>
      <c r="E1845" t="s">
        <v>94</v>
      </c>
      <c r="H1845" t="s">
        <v>588</v>
      </c>
      <c r="I1845">
        <v>0.11298949737859799</v>
      </c>
      <c r="J1845">
        <v>1</v>
      </c>
      <c r="O1845" t="s">
        <v>798</v>
      </c>
      <c r="Q1845" t="s">
        <v>3261</v>
      </c>
    </row>
    <row r="1846" spans="2:17">
      <c r="B1846" t="s">
        <v>3262</v>
      </c>
      <c r="C1846" t="s">
        <v>3263</v>
      </c>
      <c r="D1846">
        <v>3.5238650315811901E-4</v>
      </c>
      <c r="E1846" t="s">
        <v>94</v>
      </c>
      <c r="N1846" t="s">
        <v>3264</v>
      </c>
    </row>
    <row r="1847" spans="2:17">
      <c r="B1847" t="s">
        <v>3262</v>
      </c>
      <c r="C1847" t="s">
        <v>3263</v>
      </c>
      <c r="D1847">
        <v>7.1938779732744803E-4</v>
      </c>
      <c r="E1847" t="s">
        <v>94</v>
      </c>
      <c r="N1847" t="s">
        <v>3264</v>
      </c>
    </row>
    <row r="1848" spans="2:17">
      <c r="B1848" t="s">
        <v>3262</v>
      </c>
      <c r="C1848" t="s">
        <v>3263</v>
      </c>
      <c r="D1848">
        <v>1.05994195342201E-3</v>
      </c>
      <c r="E1848" t="s">
        <v>94</v>
      </c>
      <c r="N1848" t="s">
        <v>3264</v>
      </c>
    </row>
    <row r="1849" spans="2:17">
      <c r="B1849" t="s">
        <v>3262</v>
      </c>
      <c r="C1849" t="s">
        <v>3263</v>
      </c>
      <c r="D1849">
        <v>2.5580595046890899E-4</v>
      </c>
      <c r="E1849" t="s">
        <v>94</v>
      </c>
      <c r="N1849" t="s">
        <v>3265</v>
      </c>
      <c r="Q1849" t="s">
        <v>1807</v>
      </c>
    </row>
    <row r="1850" spans="2:17">
      <c r="B1850" t="s">
        <v>3266</v>
      </c>
      <c r="C1850" t="s">
        <v>587</v>
      </c>
      <c r="D1850">
        <v>2.4455225581441501E-7</v>
      </c>
      <c r="E1850" t="s">
        <v>94</v>
      </c>
      <c r="Q1850" t="s">
        <v>1776</v>
      </c>
    </row>
    <row r="1851" spans="2:17">
      <c r="B1851" t="s">
        <v>3267</v>
      </c>
      <c r="C1851" t="s">
        <v>1830</v>
      </c>
      <c r="D1851">
        <v>1.03859943491353E-3</v>
      </c>
      <c r="E1851" t="s">
        <v>94</v>
      </c>
      <c r="N1851" t="s">
        <v>3268</v>
      </c>
    </row>
    <row r="1852" spans="2:17">
      <c r="B1852" t="s">
        <v>3267</v>
      </c>
      <c r="C1852" t="s">
        <v>1830</v>
      </c>
      <c r="D1852">
        <v>1.91516419042508E-3</v>
      </c>
      <c r="E1852" t="s">
        <v>94</v>
      </c>
      <c r="N1852" t="s">
        <v>3268</v>
      </c>
    </row>
    <row r="1853" spans="2:17">
      <c r="B1853" t="s">
        <v>3267</v>
      </c>
      <c r="C1853" t="s">
        <v>1830</v>
      </c>
      <c r="D1853">
        <v>4.9921239152703797E-4</v>
      </c>
      <c r="E1853" t="s">
        <v>94</v>
      </c>
      <c r="H1853" t="s">
        <v>588</v>
      </c>
      <c r="I1853">
        <v>4.9921239152703797E-4</v>
      </c>
      <c r="J1853">
        <v>1.0247973619913604</v>
      </c>
      <c r="N1853" t="s">
        <v>3269</v>
      </c>
      <c r="O1853" t="s">
        <v>1806</v>
      </c>
      <c r="Q1853" t="s">
        <v>1728</v>
      </c>
    </row>
    <row r="1854" spans="2:17">
      <c r="B1854" t="s">
        <v>3267</v>
      </c>
      <c r="C1854" t="s">
        <v>1830</v>
      </c>
      <c r="D1854">
        <v>1.1139602074894201E-5</v>
      </c>
      <c r="E1854" t="s">
        <v>94</v>
      </c>
      <c r="N1854" t="s">
        <v>3268</v>
      </c>
    </row>
    <row r="1855" spans="2:17">
      <c r="B1855" t="s">
        <v>3267</v>
      </c>
      <c r="C1855" t="s">
        <v>1830</v>
      </c>
      <c r="D1855">
        <v>1.12561235530878E-3</v>
      </c>
      <c r="E1855" t="s">
        <v>94</v>
      </c>
      <c r="N1855" t="s">
        <v>3268</v>
      </c>
    </row>
    <row r="1856" spans="2:17">
      <c r="B1856" t="s">
        <v>3267</v>
      </c>
      <c r="C1856" t="s">
        <v>1830</v>
      </c>
      <c r="D1856">
        <v>6.9587680003026106E-5</v>
      </c>
      <c r="E1856" t="s">
        <v>94</v>
      </c>
      <c r="N1856" t="s">
        <v>3268</v>
      </c>
    </row>
    <row r="1857" spans="2:17">
      <c r="B1857" t="s">
        <v>3270</v>
      </c>
      <c r="C1857" t="s">
        <v>3159</v>
      </c>
      <c r="D1857">
        <v>2.19188134715684E-11</v>
      </c>
      <c r="E1857" t="s">
        <v>616</v>
      </c>
      <c r="H1857" t="s">
        <v>588</v>
      </c>
      <c r="I1857">
        <v>2.19188134715684E-11</v>
      </c>
      <c r="J1857">
        <v>1.7915751222543432</v>
      </c>
      <c r="N1857" t="s">
        <v>3271</v>
      </c>
      <c r="O1857" t="s">
        <v>3236</v>
      </c>
      <c r="Q1857" t="s">
        <v>811</v>
      </c>
    </row>
    <row r="1858" spans="2:17">
      <c r="B1858" t="s">
        <v>3272</v>
      </c>
      <c r="C1858" t="s">
        <v>3243</v>
      </c>
      <c r="D1858">
        <v>4.3647210360988002E-11</v>
      </c>
      <c r="E1858" t="s">
        <v>616</v>
      </c>
      <c r="H1858" t="s">
        <v>588</v>
      </c>
      <c r="I1858">
        <v>4.3647210360988002E-11</v>
      </c>
      <c r="J1858">
        <v>1.7450381821146503</v>
      </c>
      <c r="N1858" t="s">
        <v>3273</v>
      </c>
      <c r="O1858" t="s">
        <v>3274</v>
      </c>
      <c r="Q1858" t="s">
        <v>3275</v>
      </c>
    </row>
    <row r="1859" spans="2:17">
      <c r="B1859" t="s">
        <v>3276</v>
      </c>
      <c r="C1859" t="s">
        <v>3243</v>
      </c>
      <c r="D1859">
        <v>7.4295377526640303E-7</v>
      </c>
      <c r="E1859" t="s">
        <v>1171</v>
      </c>
      <c r="H1859" t="s">
        <v>588</v>
      </c>
      <c r="I1859">
        <v>7.4295377526640303E-7</v>
      </c>
      <c r="J1859">
        <v>1.7293101253499219</v>
      </c>
      <c r="N1859" t="s">
        <v>3277</v>
      </c>
      <c r="O1859" t="s">
        <v>2307</v>
      </c>
      <c r="Q1859" t="s">
        <v>3161</v>
      </c>
    </row>
    <row r="1860" spans="2:17">
      <c r="B1860" t="s">
        <v>3278</v>
      </c>
      <c r="C1860" t="s">
        <v>3279</v>
      </c>
      <c r="D1860">
        <v>2.7186935860655299E-2</v>
      </c>
      <c r="E1860" t="s">
        <v>3280</v>
      </c>
      <c r="N1860" t="s">
        <v>3281</v>
      </c>
      <c r="Q1860" t="s">
        <v>3282</v>
      </c>
    </row>
    <row r="1861" spans="2:17">
      <c r="B1861" t="s">
        <v>3283</v>
      </c>
      <c r="C1861" t="s">
        <v>673</v>
      </c>
      <c r="D1861">
        <v>2.0613067416404101E-5</v>
      </c>
      <c r="E1861" t="s">
        <v>94</v>
      </c>
      <c r="H1861" t="s">
        <v>588</v>
      </c>
      <c r="I1861">
        <v>2.0613067416404101E-5</v>
      </c>
      <c r="J1861">
        <v>1.1051709180756477</v>
      </c>
      <c r="N1861" t="s">
        <v>3284</v>
      </c>
      <c r="O1861" t="s">
        <v>1700</v>
      </c>
      <c r="Q1861" t="s">
        <v>3285</v>
      </c>
    </row>
    <row r="1862" spans="2:17">
      <c r="B1862" t="s">
        <v>3286</v>
      </c>
      <c r="C1862" t="s">
        <v>2939</v>
      </c>
      <c r="D1862">
        <v>6.8630097457006902E-3</v>
      </c>
      <c r="E1862" t="s">
        <v>94</v>
      </c>
      <c r="N1862" t="s">
        <v>3287</v>
      </c>
    </row>
    <row r="1863" spans="2:17">
      <c r="B1863" t="s">
        <v>3286</v>
      </c>
      <c r="C1863" t="s">
        <v>2939</v>
      </c>
      <c r="D1863">
        <v>6.3479902029510795E-4</v>
      </c>
      <c r="E1863" t="s">
        <v>94</v>
      </c>
      <c r="N1863" t="s">
        <v>3287</v>
      </c>
    </row>
    <row r="1864" spans="2:17">
      <c r="B1864" t="s">
        <v>3286</v>
      </c>
      <c r="C1864" t="s">
        <v>2939</v>
      </c>
      <c r="D1864">
        <v>4.6896065864305398E-4</v>
      </c>
      <c r="E1864" t="s">
        <v>94</v>
      </c>
      <c r="N1864" t="s">
        <v>3287</v>
      </c>
    </row>
    <row r="1865" spans="2:17">
      <c r="B1865" t="s">
        <v>3286</v>
      </c>
      <c r="C1865" t="s">
        <v>2939</v>
      </c>
      <c r="D1865">
        <v>3.6141286017957902E-4</v>
      </c>
      <c r="E1865" t="s">
        <v>94</v>
      </c>
      <c r="N1865" t="s">
        <v>3287</v>
      </c>
    </row>
    <row r="1866" spans="2:17">
      <c r="B1866" t="s">
        <v>3286</v>
      </c>
      <c r="C1866" t="s">
        <v>2939</v>
      </c>
      <c r="D1866">
        <v>9.9938187417821195E-4</v>
      </c>
      <c r="E1866" t="s">
        <v>94</v>
      </c>
      <c r="H1866" t="s">
        <v>588</v>
      </c>
      <c r="I1866">
        <v>9.9938187417821195E-4</v>
      </c>
      <c r="J1866">
        <v>1.0247973619913604</v>
      </c>
      <c r="N1866" t="s">
        <v>3288</v>
      </c>
      <c r="O1866" t="s">
        <v>1806</v>
      </c>
      <c r="Q1866" t="s">
        <v>1728</v>
      </c>
    </row>
    <row r="1867" spans="2:17">
      <c r="B1867" t="s">
        <v>3289</v>
      </c>
      <c r="C1867" t="s">
        <v>2939</v>
      </c>
      <c r="D1867">
        <v>1.76975420250965E-3</v>
      </c>
      <c r="E1867" t="s">
        <v>94</v>
      </c>
      <c r="N1867" t="s">
        <v>3290</v>
      </c>
    </row>
    <row r="1868" spans="2:17">
      <c r="B1868" t="s">
        <v>3289</v>
      </c>
      <c r="C1868" t="s">
        <v>2939</v>
      </c>
      <c r="D1868">
        <v>4.8978199581653902E-3</v>
      </c>
      <c r="E1868" t="s">
        <v>94</v>
      </c>
      <c r="N1868" t="s">
        <v>3290</v>
      </c>
    </row>
    <row r="1869" spans="2:17">
      <c r="B1869" t="s">
        <v>3289</v>
      </c>
      <c r="C1869" t="s">
        <v>2939</v>
      </c>
      <c r="D1869">
        <v>9.9938187417821195E-4</v>
      </c>
      <c r="E1869" t="s">
        <v>94</v>
      </c>
      <c r="H1869" t="s">
        <v>588</v>
      </c>
      <c r="I1869">
        <v>9.9938187417821195E-4</v>
      </c>
      <c r="J1869">
        <v>1.0247973619913604</v>
      </c>
      <c r="N1869" t="s">
        <v>3291</v>
      </c>
      <c r="O1869" t="s">
        <v>3292</v>
      </c>
      <c r="Q1869" t="s">
        <v>1728</v>
      </c>
    </row>
    <row r="1870" spans="2:17">
      <c r="B1870" t="s">
        <v>3289</v>
      </c>
      <c r="C1870" t="s">
        <v>2939</v>
      </c>
      <c r="D1870">
        <v>1.6606081241434E-3</v>
      </c>
      <c r="E1870" t="s">
        <v>94</v>
      </c>
      <c r="N1870" t="s">
        <v>3290</v>
      </c>
    </row>
    <row r="1871" spans="2:17">
      <c r="B1871" t="s">
        <v>3293</v>
      </c>
      <c r="C1871" t="s">
        <v>1635</v>
      </c>
      <c r="D1871">
        <v>2.3600517416294698E-6</v>
      </c>
      <c r="E1871" t="s">
        <v>94</v>
      </c>
      <c r="H1871" t="s">
        <v>588</v>
      </c>
      <c r="I1871">
        <v>2.3600517416294698E-6</v>
      </c>
      <c r="J1871">
        <v>1.074399999999982</v>
      </c>
      <c r="N1871" t="s">
        <v>3294</v>
      </c>
      <c r="O1871" t="s">
        <v>2024</v>
      </c>
      <c r="Q1871" t="s">
        <v>1886</v>
      </c>
    </row>
    <row r="1872" spans="2:17">
      <c r="B1872" t="s">
        <v>3295</v>
      </c>
      <c r="C1872" t="s">
        <v>1698</v>
      </c>
      <c r="D1872">
        <v>2.31571206269037E-6</v>
      </c>
      <c r="E1872" t="s">
        <v>616</v>
      </c>
      <c r="H1872" t="s">
        <v>588</v>
      </c>
      <c r="I1872">
        <v>2.31571206269037E-6</v>
      </c>
      <c r="J1872">
        <v>1</v>
      </c>
      <c r="N1872" t="s">
        <v>3296</v>
      </c>
      <c r="O1872" t="s">
        <v>1700</v>
      </c>
      <c r="Q1872" t="s">
        <v>595</v>
      </c>
    </row>
    <row r="1873" spans="2:17">
      <c r="B1873" t="s">
        <v>1324</v>
      </c>
      <c r="C1873" t="s">
        <v>673</v>
      </c>
      <c r="D1873">
        <v>6.6799669464057598E-4</v>
      </c>
      <c r="E1873" t="s">
        <v>94</v>
      </c>
      <c r="H1873" t="s">
        <v>588</v>
      </c>
      <c r="I1873">
        <v>6.6799669464057598E-4</v>
      </c>
      <c r="J1873">
        <v>1.0247973619913604</v>
      </c>
      <c r="N1873" t="s">
        <v>1325</v>
      </c>
      <c r="O1873" t="s">
        <v>641</v>
      </c>
      <c r="Q1873" t="s">
        <v>1643</v>
      </c>
    </row>
    <row r="1874" spans="2:17">
      <c r="B1874" t="s">
        <v>1324</v>
      </c>
      <c r="C1874" t="s">
        <v>673</v>
      </c>
      <c r="D1874">
        <v>1.27550712500089E-3</v>
      </c>
      <c r="E1874" t="s">
        <v>94</v>
      </c>
      <c r="H1874" t="s">
        <v>588</v>
      </c>
      <c r="I1874">
        <v>1.27550712500089E-3</v>
      </c>
      <c r="J1874">
        <v>1.0247973619913604</v>
      </c>
      <c r="N1874" t="s">
        <v>1325</v>
      </c>
      <c r="O1874" t="s">
        <v>641</v>
      </c>
      <c r="Q1874" t="s">
        <v>1643</v>
      </c>
    </row>
    <row r="1875" spans="2:17">
      <c r="B1875" t="s">
        <v>3297</v>
      </c>
      <c r="C1875" t="s">
        <v>673</v>
      </c>
      <c r="D1875">
        <v>1.16101812022128E-7</v>
      </c>
      <c r="E1875" t="s">
        <v>94</v>
      </c>
      <c r="H1875" t="s">
        <v>588</v>
      </c>
      <c r="I1875">
        <v>1.16101812022128E-7</v>
      </c>
      <c r="J1875">
        <v>1.0247973619913604</v>
      </c>
      <c r="N1875" t="s">
        <v>3298</v>
      </c>
      <c r="O1875" t="s">
        <v>2004</v>
      </c>
      <c r="Q1875" t="s">
        <v>2005</v>
      </c>
    </row>
    <row r="1876" spans="2:17">
      <c r="B1876" t="s">
        <v>3297</v>
      </c>
      <c r="C1876" t="s">
        <v>673</v>
      </c>
      <c r="D1876">
        <v>1.03508871101302E-6</v>
      </c>
      <c r="E1876" t="s">
        <v>94</v>
      </c>
      <c r="H1876" t="s">
        <v>588</v>
      </c>
      <c r="I1876">
        <v>1.03508871101302E-6</v>
      </c>
      <c r="J1876">
        <v>1.0247973619913604</v>
      </c>
      <c r="N1876" t="s">
        <v>3298</v>
      </c>
      <c r="O1876" t="s">
        <v>2414</v>
      </c>
      <c r="Q1876" t="s">
        <v>2005</v>
      </c>
    </row>
    <row r="1877" spans="2:17">
      <c r="B1877" t="s">
        <v>3299</v>
      </c>
      <c r="C1877" t="s">
        <v>615</v>
      </c>
      <c r="D1877">
        <v>3.5016946556077001E-11</v>
      </c>
      <c r="E1877" t="s">
        <v>616</v>
      </c>
      <c r="H1877" t="s">
        <v>588</v>
      </c>
      <c r="I1877">
        <v>3.5016946556077001E-11</v>
      </c>
      <c r="J1877">
        <v>1.7293101253499219</v>
      </c>
      <c r="N1877" t="s">
        <v>3300</v>
      </c>
      <c r="O1877" t="s">
        <v>3301</v>
      </c>
      <c r="Q1877" t="s">
        <v>3302</v>
      </c>
    </row>
    <row r="1878" spans="2:17">
      <c r="B1878" t="s">
        <v>3299</v>
      </c>
      <c r="C1878" t="s">
        <v>615</v>
      </c>
      <c r="D1878">
        <v>2.6548830087633199E-11</v>
      </c>
      <c r="E1878" t="s">
        <v>616</v>
      </c>
      <c r="H1878" t="s">
        <v>588</v>
      </c>
      <c r="I1878">
        <v>2.6548830087633199E-11</v>
      </c>
      <c r="J1878">
        <v>1.7293101253499219</v>
      </c>
      <c r="N1878" t="s">
        <v>3303</v>
      </c>
      <c r="O1878" t="s">
        <v>3301</v>
      </c>
      <c r="Q1878" t="s">
        <v>3302</v>
      </c>
    </row>
    <row r="1879" spans="2:17">
      <c r="B1879" t="s">
        <v>3304</v>
      </c>
      <c r="C1879" t="s">
        <v>1249</v>
      </c>
      <c r="D1879">
        <v>2.1876167652590001E-4</v>
      </c>
      <c r="E1879" t="s">
        <v>94</v>
      </c>
      <c r="H1879" t="s">
        <v>588</v>
      </c>
      <c r="I1879">
        <v>2.1876167652590001E-4</v>
      </c>
      <c r="J1879">
        <v>1.0247973619913604</v>
      </c>
      <c r="N1879" t="s">
        <v>3305</v>
      </c>
      <c r="O1879" t="s">
        <v>1883</v>
      </c>
    </row>
    <row r="1880" spans="2:17">
      <c r="B1880" t="s">
        <v>3306</v>
      </c>
      <c r="C1880" t="s">
        <v>615</v>
      </c>
      <c r="D1880">
        <v>3.0221637904874499E-12</v>
      </c>
      <c r="E1880" t="s">
        <v>616</v>
      </c>
      <c r="H1880" t="s">
        <v>588</v>
      </c>
      <c r="I1880">
        <v>3.0221637904874499E-12</v>
      </c>
      <c r="J1880">
        <v>1.8068915230828115</v>
      </c>
      <c r="N1880" t="s">
        <v>3307</v>
      </c>
      <c r="O1880" t="s">
        <v>3308</v>
      </c>
      <c r="Q1880" t="s">
        <v>3309</v>
      </c>
    </row>
    <row r="1881" spans="2:17">
      <c r="B1881" t="s">
        <v>3306</v>
      </c>
      <c r="C1881" t="s">
        <v>615</v>
      </c>
      <c r="D1881">
        <v>3.9005890031961296E-12</v>
      </c>
      <c r="E1881" t="s">
        <v>616</v>
      </c>
      <c r="H1881" t="s">
        <v>588</v>
      </c>
      <c r="I1881">
        <v>3.9005890031961296E-12</v>
      </c>
      <c r="J1881">
        <v>1.8372616934040338</v>
      </c>
      <c r="N1881" t="s">
        <v>3310</v>
      </c>
      <c r="O1881" t="s">
        <v>3311</v>
      </c>
      <c r="Q1881" t="s">
        <v>3312</v>
      </c>
    </row>
    <row r="1882" spans="2:17">
      <c r="B1882" t="s">
        <v>3313</v>
      </c>
      <c r="C1882" t="s">
        <v>1243</v>
      </c>
      <c r="D1882">
        <v>3.31786743882928E-4</v>
      </c>
      <c r="E1882" t="s">
        <v>94</v>
      </c>
      <c r="H1882" t="s">
        <v>1733</v>
      </c>
      <c r="I1882">
        <v>3.31786743882928E-4</v>
      </c>
      <c r="K1882">
        <v>3.31786743882928E-4</v>
      </c>
      <c r="L1882">
        <v>3.31786743882928E-4</v>
      </c>
      <c r="N1882" t="s">
        <v>3314</v>
      </c>
      <c r="O1882" t="s">
        <v>1657</v>
      </c>
      <c r="Q1882" t="s">
        <v>3315</v>
      </c>
    </row>
    <row r="1883" spans="2:17">
      <c r="B1883" t="s">
        <v>3316</v>
      </c>
      <c r="C1883" t="s">
        <v>1249</v>
      </c>
      <c r="D1883">
        <v>1.8552485329297201E-2</v>
      </c>
      <c r="E1883" t="s">
        <v>94</v>
      </c>
      <c r="H1883" t="s">
        <v>588</v>
      </c>
      <c r="I1883">
        <v>1.8552485329297201E-2</v>
      </c>
      <c r="J1883">
        <v>1.0247973619913604</v>
      </c>
      <c r="N1883" t="s">
        <v>3317</v>
      </c>
      <c r="O1883" t="s">
        <v>3318</v>
      </c>
      <c r="Q1883" t="s">
        <v>3319</v>
      </c>
    </row>
    <row r="1884" spans="2:17">
      <c r="B1884" t="s">
        <v>3320</v>
      </c>
      <c r="C1884" t="s">
        <v>1249</v>
      </c>
      <c r="D1884">
        <v>8.5304518821213403E-5</v>
      </c>
      <c r="E1884" t="s">
        <v>94</v>
      </c>
      <c r="H1884" t="s">
        <v>588</v>
      </c>
      <c r="I1884">
        <v>8.5304518821213403E-5</v>
      </c>
      <c r="J1884">
        <v>1.0247973619913604</v>
      </c>
      <c r="N1884" t="s">
        <v>3321</v>
      </c>
      <c r="O1884" t="s">
        <v>3318</v>
      </c>
      <c r="Q1884" t="s">
        <v>3322</v>
      </c>
    </row>
    <row r="1885" spans="2:17">
      <c r="B1885" t="s">
        <v>3323</v>
      </c>
      <c r="C1885" t="s">
        <v>3324</v>
      </c>
      <c r="D1885">
        <v>5.6971338260344097E-2</v>
      </c>
      <c r="E1885" t="s">
        <v>94</v>
      </c>
      <c r="H1885" t="s">
        <v>588</v>
      </c>
      <c r="I1885">
        <v>5.6971338260344097E-2</v>
      </c>
      <c r="J1885">
        <v>2.2394398661220611</v>
      </c>
      <c r="N1885" t="s">
        <v>3325</v>
      </c>
      <c r="O1885" t="s">
        <v>798</v>
      </c>
      <c r="Q1885" t="s">
        <v>2146</v>
      </c>
    </row>
    <row r="1886" spans="2:17">
      <c r="B1886" t="s">
        <v>3323</v>
      </c>
      <c r="C1886" t="s">
        <v>3324</v>
      </c>
      <c r="D1886">
        <v>0.105679184744007</v>
      </c>
      <c r="E1886" t="s">
        <v>94</v>
      </c>
      <c r="H1886" t="s">
        <v>588</v>
      </c>
      <c r="I1886">
        <v>0.105679184744007</v>
      </c>
      <c r="J1886">
        <v>2.2394398661220611</v>
      </c>
      <c r="N1886" t="s">
        <v>3326</v>
      </c>
      <c r="O1886" t="s">
        <v>1082</v>
      </c>
      <c r="Q1886" t="s">
        <v>979</v>
      </c>
    </row>
    <row r="1887" spans="2:17">
      <c r="B1887" t="s">
        <v>1326</v>
      </c>
      <c r="C1887" t="s">
        <v>667</v>
      </c>
      <c r="D1887">
        <v>5.6581076979632699E-10</v>
      </c>
      <c r="E1887" t="s">
        <v>94</v>
      </c>
      <c r="H1887" t="s">
        <v>588</v>
      </c>
      <c r="I1887">
        <v>5.6581076979632699E-10</v>
      </c>
      <c r="J1887">
        <v>1.2214027581601699</v>
      </c>
      <c r="N1887" t="s">
        <v>1327</v>
      </c>
      <c r="O1887" t="s">
        <v>1708</v>
      </c>
      <c r="Q1887" t="s">
        <v>595</v>
      </c>
    </row>
    <row r="1888" spans="2:17">
      <c r="B1888" t="s">
        <v>3327</v>
      </c>
      <c r="C1888" t="s">
        <v>3263</v>
      </c>
      <c r="D1888">
        <v>1.46575736180457E-2</v>
      </c>
      <c r="E1888" t="s">
        <v>94</v>
      </c>
      <c r="H1888" t="s">
        <v>588</v>
      </c>
      <c r="I1888">
        <v>1.46575736180457E-2</v>
      </c>
      <c r="J1888">
        <v>1.1051709180756477</v>
      </c>
      <c r="N1888" t="s">
        <v>3328</v>
      </c>
      <c r="O1888" t="s">
        <v>594</v>
      </c>
      <c r="Q1888" t="s">
        <v>3329</v>
      </c>
    </row>
    <row r="1889" spans="2:17">
      <c r="B1889" t="s">
        <v>3330</v>
      </c>
      <c r="C1889" t="s">
        <v>2163</v>
      </c>
      <c r="D1889">
        <v>6.41198633368068E-4</v>
      </c>
      <c r="E1889" t="s">
        <v>94</v>
      </c>
      <c r="H1889" t="s">
        <v>588</v>
      </c>
      <c r="I1889">
        <v>6.41198633368068E-4</v>
      </c>
      <c r="J1889">
        <v>1.1051709180756477</v>
      </c>
      <c r="N1889" t="s">
        <v>3331</v>
      </c>
      <c r="O1889" t="s">
        <v>1798</v>
      </c>
      <c r="Q1889" t="s">
        <v>3332</v>
      </c>
    </row>
    <row r="1890" spans="2:17">
      <c r="B1890" t="s">
        <v>3333</v>
      </c>
      <c r="C1890" t="s">
        <v>2163</v>
      </c>
      <c r="D1890">
        <v>5.9438826331733295E-4</v>
      </c>
      <c r="E1890" t="s">
        <v>94</v>
      </c>
      <c r="H1890" t="s">
        <v>588</v>
      </c>
      <c r="I1890">
        <v>5.9438826331733295E-4</v>
      </c>
      <c r="J1890">
        <v>1.1051709180756477</v>
      </c>
      <c r="N1890" t="s">
        <v>3334</v>
      </c>
      <c r="O1890" t="s">
        <v>1798</v>
      </c>
      <c r="Q1890" t="s">
        <v>2018</v>
      </c>
    </row>
    <row r="1891" spans="2:17">
      <c r="B1891" t="s">
        <v>3335</v>
      </c>
      <c r="C1891" t="s">
        <v>1835</v>
      </c>
      <c r="D1891">
        <v>2.0308167910857699E-4</v>
      </c>
      <c r="E1891" t="s">
        <v>94</v>
      </c>
      <c r="H1891" t="s">
        <v>588</v>
      </c>
      <c r="I1891">
        <v>2.0308167910857699E-4</v>
      </c>
      <c r="J1891">
        <v>1.0247973619913604</v>
      </c>
      <c r="N1891" t="s">
        <v>3336</v>
      </c>
      <c r="O1891" t="s">
        <v>1806</v>
      </c>
      <c r="Q1891" t="s">
        <v>1728</v>
      </c>
    </row>
    <row r="1892" spans="2:17">
      <c r="B1892" t="s">
        <v>3335</v>
      </c>
      <c r="C1892" t="s">
        <v>1835</v>
      </c>
      <c r="D1892">
        <v>1.6923473259048099E-3</v>
      </c>
      <c r="E1892" t="s">
        <v>94</v>
      </c>
      <c r="N1892" t="s">
        <v>3337</v>
      </c>
    </row>
    <row r="1893" spans="2:17">
      <c r="B1893" t="s">
        <v>3338</v>
      </c>
      <c r="C1893" t="s">
        <v>615</v>
      </c>
      <c r="D1893">
        <v>1.5002536286833901E-12</v>
      </c>
      <c r="E1893" t="s">
        <v>616</v>
      </c>
      <c r="H1893" t="s">
        <v>588</v>
      </c>
      <c r="I1893">
        <v>1.5002536286833901E-12</v>
      </c>
      <c r="J1893">
        <v>1.681380601046174</v>
      </c>
      <c r="N1893" t="s">
        <v>3339</v>
      </c>
      <c r="O1893" t="s">
        <v>873</v>
      </c>
      <c r="Q1893" t="s">
        <v>3340</v>
      </c>
    </row>
    <row r="1894" spans="2:17">
      <c r="B1894" t="s">
        <v>3338</v>
      </c>
      <c r="C1894" t="s">
        <v>615</v>
      </c>
      <c r="D1894">
        <v>8.3673823956787895E-14</v>
      </c>
      <c r="E1894" t="s">
        <v>616</v>
      </c>
      <c r="H1894" t="s">
        <v>588</v>
      </c>
      <c r="I1894">
        <v>8.3673823956787895E-14</v>
      </c>
      <c r="J1894">
        <v>1.7293101253499219</v>
      </c>
      <c r="N1894" t="s">
        <v>3341</v>
      </c>
      <c r="O1894" t="s">
        <v>3342</v>
      </c>
      <c r="Q1894" t="s">
        <v>3343</v>
      </c>
    </row>
    <row r="1895" spans="2:17">
      <c r="B1895" t="s">
        <v>3344</v>
      </c>
      <c r="C1895" t="s">
        <v>615</v>
      </c>
      <c r="D1895">
        <v>1.97377112586577E-13</v>
      </c>
      <c r="E1895" t="s">
        <v>616</v>
      </c>
      <c r="H1895" t="s">
        <v>588</v>
      </c>
      <c r="I1895">
        <v>1.97377112586577E-13</v>
      </c>
      <c r="J1895">
        <v>1.681380601046174</v>
      </c>
      <c r="N1895" t="s">
        <v>3345</v>
      </c>
      <c r="O1895" t="s">
        <v>873</v>
      </c>
      <c r="Q1895" t="s">
        <v>3343</v>
      </c>
    </row>
    <row r="1896" spans="2:17">
      <c r="B1896" t="s">
        <v>3346</v>
      </c>
      <c r="C1896" t="s">
        <v>1848</v>
      </c>
      <c r="D1896">
        <v>9.3731316849085896E-6</v>
      </c>
      <c r="E1896" t="s">
        <v>94</v>
      </c>
      <c r="H1896" t="s">
        <v>588</v>
      </c>
      <c r="I1896">
        <v>9.3731316849085896E-6</v>
      </c>
      <c r="J1896">
        <v>1.0247973619913604</v>
      </c>
      <c r="N1896" t="s">
        <v>3347</v>
      </c>
      <c r="O1896" t="s">
        <v>972</v>
      </c>
      <c r="Q1896" t="s">
        <v>3348</v>
      </c>
    </row>
    <row r="1897" spans="2:17">
      <c r="B1897" t="s">
        <v>3346</v>
      </c>
      <c r="C1897" t="s">
        <v>1848</v>
      </c>
      <c r="D1897">
        <v>9.3292573908165902E-6</v>
      </c>
      <c r="E1897" t="s">
        <v>94</v>
      </c>
      <c r="H1897" t="s">
        <v>588</v>
      </c>
      <c r="I1897">
        <v>9.3292573908165902E-6</v>
      </c>
      <c r="J1897">
        <v>1.0247973619913604</v>
      </c>
      <c r="N1897" t="s">
        <v>3347</v>
      </c>
      <c r="O1897" t="s">
        <v>3040</v>
      </c>
      <c r="Q1897" t="s">
        <v>3348</v>
      </c>
    </row>
    <row r="1898" spans="2:17">
      <c r="B1898" t="s">
        <v>3349</v>
      </c>
      <c r="C1898" t="s">
        <v>1848</v>
      </c>
      <c r="D1898">
        <v>3.0993543926919001E-5</v>
      </c>
      <c r="E1898" t="s">
        <v>94</v>
      </c>
      <c r="H1898" t="s">
        <v>588</v>
      </c>
      <c r="I1898">
        <v>3.0993543926919001E-5</v>
      </c>
      <c r="J1898">
        <v>1.4537780777466462</v>
      </c>
      <c r="N1898" t="s">
        <v>3350</v>
      </c>
      <c r="O1898" t="s">
        <v>2558</v>
      </c>
      <c r="Q1898" t="s">
        <v>595</v>
      </c>
    </row>
    <row r="1899" spans="2:17">
      <c r="B1899" t="s">
        <v>3349</v>
      </c>
      <c r="C1899" t="s">
        <v>1848</v>
      </c>
      <c r="D1899">
        <v>3.1007252848347298E-5</v>
      </c>
      <c r="E1899" t="s">
        <v>94</v>
      </c>
      <c r="H1899" t="s">
        <v>588</v>
      </c>
      <c r="I1899">
        <v>3.1007252848347298E-5</v>
      </c>
      <c r="J1899">
        <v>1.4537780777466462</v>
      </c>
      <c r="N1899" t="s">
        <v>3350</v>
      </c>
      <c r="O1899" t="s">
        <v>952</v>
      </c>
      <c r="Q1899" t="s">
        <v>595</v>
      </c>
    </row>
    <row r="1900" spans="2:17">
      <c r="B1900" t="s">
        <v>3351</v>
      </c>
      <c r="C1900" t="s">
        <v>1848</v>
      </c>
      <c r="D1900">
        <v>3.19614565780401E-5</v>
      </c>
      <c r="E1900" t="s">
        <v>94</v>
      </c>
      <c r="H1900" t="s">
        <v>588</v>
      </c>
      <c r="I1900">
        <v>3.19614565780401E-5</v>
      </c>
      <c r="J1900">
        <v>1.0247973619913604</v>
      </c>
      <c r="N1900" t="s">
        <v>3352</v>
      </c>
      <c r="O1900" t="s">
        <v>1883</v>
      </c>
    </row>
    <row r="1901" spans="2:17">
      <c r="B1901" t="s">
        <v>3351</v>
      </c>
      <c r="C1901" t="s">
        <v>1848</v>
      </c>
      <c r="D1901">
        <v>3.2033808180741998E-5</v>
      </c>
      <c r="E1901" t="s">
        <v>94</v>
      </c>
      <c r="H1901" t="s">
        <v>588</v>
      </c>
      <c r="I1901">
        <v>3.2033808180741998E-5</v>
      </c>
      <c r="J1901">
        <v>1.0247973619913604</v>
      </c>
      <c r="N1901" t="s">
        <v>3352</v>
      </c>
      <c r="O1901" t="s">
        <v>2189</v>
      </c>
    </row>
    <row r="1902" spans="2:17">
      <c r="B1902" t="s">
        <v>3353</v>
      </c>
      <c r="C1902" t="s">
        <v>1848</v>
      </c>
      <c r="D1902">
        <v>2.1977943454040401E-4</v>
      </c>
      <c r="E1902" t="s">
        <v>94</v>
      </c>
      <c r="H1902" t="s">
        <v>588</v>
      </c>
      <c r="I1902">
        <v>2.1977943454040401E-4</v>
      </c>
      <c r="J1902">
        <v>1</v>
      </c>
      <c r="N1902" t="s">
        <v>3354</v>
      </c>
      <c r="O1902" t="s">
        <v>956</v>
      </c>
      <c r="Q1902" t="s">
        <v>1780</v>
      </c>
    </row>
    <row r="1903" spans="2:17">
      <c r="B1903" t="s">
        <v>3353</v>
      </c>
      <c r="C1903" t="s">
        <v>1848</v>
      </c>
      <c r="D1903">
        <v>2.3054192745550401E-4</v>
      </c>
      <c r="E1903" t="s">
        <v>94</v>
      </c>
      <c r="H1903" t="s">
        <v>588</v>
      </c>
      <c r="I1903">
        <v>2.3054192745550401E-4</v>
      </c>
      <c r="J1903">
        <v>1.0247973619913604</v>
      </c>
      <c r="N1903" t="s">
        <v>3354</v>
      </c>
      <c r="O1903" t="s">
        <v>1659</v>
      </c>
      <c r="Q1903" t="s">
        <v>3355</v>
      </c>
    </row>
    <row r="1904" spans="2:17">
      <c r="B1904" t="s">
        <v>3356</v>
      </c>
      <c r="C1904" t="s">
        <v>1848</v>
      </c>
      <c r="D1904">
        <v>2.5072930729123798E-6</v>
      </c>
      <c r="E1904" t="s">
        <v>94</v>
      </c>
      <c r="H1904" t="s">
        <v>588</v>
      </c>
      <c r="I1904">
        <v>2.5072930729123798E-6</v>
      </c>
      <c r="J1904">
        <v>1.151909910168909</v>
      </c>
      <c r="N1904" t="s">
        <v>3357</v>
      </c>
      <c r="O1904" t="s">
        <v>867</v>
      </c>
      <c r="Q1904" t="s">
        <v>3358</v>
      </c>
    </row>
    <row r="1905" spans="2:17">
      <c r="B1905" t="s">
        <v>3359</v>
      </c>
      <c r="C1905" t="s">
        <v>664</v>
      </c>
      <c r="D1905">
        <v>1.66655522641626E-3</v>
      </c>
      <c r="E1905" t="s">
        <v>94</v>
      </c>
      <c r="H1905" t="s">
        <v>588</v>
      </c>
      <c r="I1905">
        <v>1.66655522641626E-3</v>
      </c>
      <c r="J1905">
        <v>1.1712995782321958</v>
      </c>
      <c r="N1905" t="s">
        <v>3360</v>
      </c>
      <c r="O1905" t="s">
        <v>2387</v>
      </c>
      <c r="Q1905" t="s">
        <v>2388</v>
      </c>
    </row>
    <row r="1906" spans="2:17">
      <c r="B1906" t="s">
        <v>3361</v>
      </c>
      <c r="C1906" t="s">
        <v>1830</v>
      </c>
      <c r="D1906">
        <v>4.4340736377306003E-3</v>
      </c>
      <c r="E1906" t="s">
        <v>94</v>
      </c>
      <c r="N1906" t="s">
        <v>3362</v>
      </c>
    </row>
    <row r="1907" spans="2:17">
      <c r="B1907" t="s">
        <v>3361</v>
      </c>
      <c r="C1907" t="s">
        <v>1830</v>
      </c>
      <c r="D1907">
        <v>5.3208883652767201E-4</v>
      </c>
      <c r="E1907" t="s">
        <v>94</v>
      </c>
      <c r="H1907" t="s">
        <v>588</v>
      </c>
      <c r="I1907">
        <v>5.3208883652767201E-4</v>
      </c>
      <c r="J1907">
        <v>1.0247973619913604</v>
      </c>
      <c r="N1907" t="s">
        <v>3363</v>
      </c>
      <c r="O1907" t="s">
        <v>1806</v>
      </c>
      <c r="Q1907" t="s">
        <v>1728</v>
      </c>
    </row>
    <row r="1908" spans="2:17">
      <c r="B1908" t="s">
        <v>3364</v>
      </c>
      <c r="C1908" t="s">
        <v>2589</v>
      </c>
      <c r="D1908">
        <v>4.5994989426919004E-9</v>
      </c>
      <c r="E1908" t="s">
        <v>640</v>
      </c>
      <c r="H1908" t="s">
        <v>588</v>
      </c>
      <c r="I1908">
        <v>4.5994989426919004E-9</v>
      </c>
      <c r="J1908">
        <v>1.0321280889960358</v>
      </c>
      <c r="N1908" t="s">
        <v>3365</v>
      </c>
      <c r="O1908" t="s">
        <v>2050</v>
      </c>
      <c r="Q1908" t="s">
        <v>3366</v>
      </c>
    </row>
    <row r="1909" spans="2:17">
      <c r="B1909" t="s">
        <v>3364</v>
      </c>
      <c r="C1909" t="s">
        <v>2589</v>
      </c>
      <c r="D1909">
        <v>4.59838379737492E-9</v>
      </c>
      <c r="E1909" t="s">
        <v>640</v>
      </c>
      <c r="H1909" t="s">
        <v>588</v>
      </c>
      <c r="I1909">
        <v>4.59838379737492E-9</v>
      </c>
      <c r="J1909">
        <v>1.0321280889960358</v>
      </c>
      <c r="N1909" t="s">
        <v>3365</v>
      </c>
      <c r="O1909" t="s">
        <v>2050</v>
      </c>
      <c r="Q1909" t="s">
        <v>3366</v>
      </c>
    </row>
    <row r="1910" spans="2:17">
      <c r="B1910" t="s">
        <v>3367</v>
      </c>
      <c r="C1910" t="s">
        <v>2589</v>
      </c>
      <c r="D1910">
        <v>7.8644712018888405E-7</v>
      </c>
      <c r="E1910" t="s">
        <v>640</v>
      </c>
      <c r="H1910" t="s">
        <v>588</v>
      </c>
      <c r="I1910">
        <v>7.8644712018888405E-7</v>
      </c>
      <c r="J1910">
        <v>1.0805386501323246</v>
      </c>
      <c r="N1910" t="s">
        <v>3368</v>
      </c>
      <c r="O1910" t="s">
        <v>2314</v>
      </c>
      <c r="Q1910" t="s">
        <v>3369</v>
      </c>
    </row>
    <row r="1911" spans="2:17">
      <c r="B1911" t="s">
        <v>3367</v>
      </c>
      <c r="C1911" t="s">
        <v>2589</v>
      </c>
      <c r="D1911">
        <v>8.4992897107815402E-9</v>
      </c>
      <c r="E1911" t="s">
        <v>640</v>
      </c>
      <c r="H1911" t="s">
        <v>588</v>
      </c>
      <c r="I1911">
        <v>8.4992897107815402E-9</v>
      </c>
      <c r="J1911">
        <v>1.0805386501323246</v>
      </c>
      <c r="N1911" t="s">
        <v>3368</v>
      </c>
      <c r="O1911" t="s">
        <v>2314</v>
      </c>
      <c r="Q1911" t="s">
        <v>3369</v>
      </c>
    </row>
    <row r="1912" spans="2:17">
      <c r="B1912" t="s">
        <v>3370</v>
      </c>
      <c r="C1912" t="s">
        <v>1804</v>
      </c>
      <c r="D1912">
        <v>6.7535812152864601E-4</v>
      </c>
      <c r="E1912" t="s">
        <v>94</v>
      </c>
      <c r="N1912" t="s">
        <v>3371</v>
      </c>
    </row>
    <row r="1913" spans="2:17">
      <c r="B1913" t="s">
        <v>3370</v>
      </c>
      <c r="C1913" t="s">
        <v>1804</v>
      </c>
      <c r="D1913">
        <v>7.8130458592599603E-5</v>
      </c>
      <c r="E1913" t="s">
        <v>94</v>
      </c>
      <c r="N1913" t="s">
        <v>3371</v>
      </c>
    </row>
    <row r="1914" spans="2:17">
      <c r="B1914" t="s">
        <v>3370</v>
      </c>
      <c r="C1914" t="s">
        <v>1804</v>
      </c>
      <c r="D1914">
        <v>4.4209036929285499E-4</v>
      </c>
      <c r="E1914" t="s">
        <v>94</v>
      </c>
      <c r="N1914" t="s">
        <v>3371</v>
      </c>
    </row>
    <row r="1915" spans="2:17">
      <c r="B1915" t="s">
        <v>3370</v>
      </c>
      <c r="C1915" t="s">
        <v>1804</v>
      </c>
      <c r="D1915">
        <v>1.55122984392775E-4</v>
      </c>
      <c r="E1915" t="s">
        <v>94</v>
      </c>
      <c r="N1915" t="s">
        <v>3372</v>
      </c>
      <c r="Q1915" t="s">
        <v>1728</v>
      </c>
    </row>
    <row r="1916" spans="2:17">
      <c r="B1916" t="s">
        <v>3370</v>
      </c>
      <c r="C1916" t="s">
        <v>1804</v>
      </c>
      <c r="D1916">
        <v>9.7112587192356697E-5</v>
      </c>
      <c r="E1916" t="s">
        <v>94</v>
      </c>
      <c r="N1916" t="s">
        <v>3371</v>
      </c>
    </row>
    <row r="1917" spans="2:17">
      <c r="B1917" t="s">
        <v>3373</v>
      </c>
      <c r="C1917" t="s">
        <v>1804</v>
      </c>
      <c r="D1917">
        <v>7.5410182465685796E-4</v>
      </c>
      <c r="E1917" t="s">
        <v>94</v>
      </c>
      <c r="N1917" t="s">
        <v>3374</v>
      </c>
    </row>
    <row r="1918" spans="2:17">
      <c r="B1918" t="s">
        <v>3373</v>
      </c>
      <c r="C1918" t="s">
        <v>1804</v>
      </c>
      <c r="D1918">
        <v>5.9444241162355997E-5</v>
      </c>
      <c r="E1918" t="s">
        <v>94</v>
      </c>
      <c r="N1918" t="s">
        <v>3374</v>
      </c>
    </row>
    <row r="1919" spans="2:17">
      <c r="B1919" t="s">
        <v>3373</v>
      </c>
      <c r="C1919" t="s">
        <v>1804</v>
      </c>
      <c r="D1919">
        <v>1.04759050351348E-4</v>
      </c>
      <c r="E1919" t="s">
        <v>94</v>
      </c>
      <c r="N1919" t="s">
        <v>3374</v>
      </c>
    </row>
    <row r="1920" spans="2:17">
      <c r="B1920" t="s">
        <v>3373</v>
      </c>
      <c r="C1920" t="s">
        <v>1804</v>
      </c>
      <c r="D1920">
        <v>3.7431967373956898E-4</v>
      </c>
      <c r="E1920" t="s">
        <v>94</v>
      </c>
      <c r="H1920" t="s">
        <v>588</v>
      </c>
      <c r="I1920">
        <v>3.7431967373956898E-4</v>
      </c>
      <c r="J1920">
        <v>1.0247973619913604</v>
      </c>
      <c r="N1920" t="s">
        <v>3375</v>
      </c>
      <c r="O1920" t="s">
        <v>1806</v>
      </c>
      <c r="Q1920" t="s">
        <v>1728</v>
      </c>
    </row>
    <row r="1921" spans="2:17">
      <c r="B1921" t="s">
        <v>3373</v>
      </c>
      <c r="C1921" t="s">
        <v>1804</v>
      </c>
      <c r="D1921">
        <v>2.1628307808982698E-3</v>
      </c>
      <c r="E1921" t="s">
        <v>94</v>
      </c>
      <c r="N1921" t="s">
        <v>3374</v>
      </c>
    </row>
    <row r="1922" spans="2:17">
      <c r="B1922" t="s">
        <v>3373</v>
      </c>
      <c r="C1922" t="s">
        <v>1804</v>
      </c>
      <c r="D1922">
        <v>3.8194717427581502E-5</v>
      </c>
      <c r="E1922" t="s">
        <v>94</v>
      </c>
      <c r="N1922" t="s">
        <v>3374</v>
      </c>
    </row>
    <row r="1923" spans="2:17">
      <c r="B1923" t="s">
        <v>3376</v>
      </c>
      <c r="C1923" t="s">
        <v>3377</v>
      </c>
      <c r="D1923">
        <v>5.1965014446796296E-4</v>
      </c>
      <c r="E1923" t="s">
        <v>94</v>
      </c>
      <c r="H1923" t="s">
        <v>588</v>
      </c>
      <c r="I1923">
        <v>5.1965014446796296E-4</v>
      </c>
      <c r="J1923">
        <v>1.0247973619913604</v>
      </c>
      <c r="N1923" t="s">
        <v>3378</v>
      </c>
      <c r="O1923" t="s">
        <v>2731</v>
      </c>
      <c r="Q1923" t="s">
        <v>3379</v>
      </c>
    </row>
    <row r="1924" spans="2:17">
      <c r="B1924" t="s">
        <v>3380</v>
      </c>
      <c r="C1924" t="s">
        <v>2481</v>
      </c>
      <c r="D1924">
        <v>9.8424609948027593E-6</v>
      </c>
      <c r="E1924" t="s">
        <v>94</v>
      </c>
      <c r="Q1924" t="s">
        <v>1776</v>
      </c>
    </row>
    <row r="1925" spans="2:17">
      <c r="B1925" t="s">
        <v>3381</v>
      </c>
      <c r="C1925" t="s">
        <v>673</v>
      </c>
      <c r="D1925">
        <v>3.5368928593250197E-5</v>
      </c>
      <c r="E1925" t="s">
        <v>94</v>
      </c>
      <c r="H1925" t="s">
        <v>588</v>
      </c>
      <c r="I1925">
        <v>3.5368928593250197E-5</v>
      </c>
      <c r="J1925">
        <v>1.1401373874887699</v>
      </c>
      <c r="N1925" t="s">
        <v>3382</v>
      </c>
      <c r="O1925" t="s">
        <v>2314</v>
      </c>
      <c r="Q1925" t="s">
        <v>3383</v>
      </c>
    </row>
    <row r="1926" spans="2:17">
      <c r="B1926" t="s">
        <v>1328</v>
      </c>
      <c r="C1926" t="s">
        <v>676</v>
      </c>
      <c r="D1926">
        <v>7.2701155021490394E-8</v>
      </c>
      <c r="E1926" t="s">
        <v>94</v>
      </c>
      <c r="H1926" t="s">
        <v>588</v>
      </c>
      <c r="I1926">
        <v>7.2701155021490394E-8</v>
      </c>
      <c r="J1926">
        <v>1.0247973619913604</v>
      </c>
      <c r="N1926" t="s">
        <v>1329</v>
      </c>
      <c r="O1926" t="s">
        <v>1157</v>
      </c>
      <c r="Q1926" t="s">
        <v>1166</v>
      </c>
    </row>
    <row r="1927" spans="2:17">
      <c r="B1927" t="s">
        <v>3384</v>
      </c>
      <c r="C1927" t="s">
        <v>1635</v>
      </c>
      <c r="D1927">
        <v>4.3988568887770399E-7</v>
      </c>
      <c r="E1927" t="s">
        <v>94</v>
      </c>
      <c r="H1927" t="s">
        <v>588</v>
      </c>
      <c r="I1927">
        <v>4.3988568887770399E-7</v>
      </c>
      <c r="J1927">
        <v>1.0247973619913604</v>
      </c>
      <c r="N1927" t="s">
        <v>3385</v>
      </c>
      <c r="O1927" t="s">
        <v>609</v>
      </c>
      <c r="Q1927" t="s">
        <v>3386</v>
      </c>
    </row>
    <row r="1928" spans="2:17">
      <c r="B1928" t="s">
        <v>3387</v>
      </c>
      <c r="C1928" t="s">
        <v>664</v>
      </c>
      <c r="D1928">
        <v>1.2961926894594199E-3</v>
      </c>
      <c r="E1928" t="s">
        <v>94</v>
      </c>
      <c r="N1928" t="s">
        <v>3388</v>
      </c>
    </row>
    <row r="1929" spans="2:17">
      <c r="B1929" t="s">
        <v>3387</v>
      </c>
      <c r="C1929" t="s">
        <v>664</v>
      </c>
      <c r="D1929">
        <v>6.0035361916270101E-4</v>
      </c>
      <c r="E1929" t="s">
        <v>94</v>
      </c>
      <c r="N1929" t="s">
        <v>3389</v>
      </c>
    </row>
    <row r="1930" spans="2:17">
      <c r="B1930" t="s">
        <v>3387</v>
      </c>
      <c r="C1930" t="s">
        <v>664</v>
      </c>
      <c r="D1930">
        <v>1.06610118585158E-6</v>
      </c>
      <c r="E1930" t="s">
        <v>94</v>
      </c>
      <c r="N1930" t="s">
        <v>3390</v>
      </c>
      <c r="Q1930" t="s">
        <v>2505</v>
      </c>
    </row>
    <row r="1931" spans="2:17">
      <c r="B1931" t="s">
        <v>3387</v>
      </c>
      <c r="C1931" t="s">
        <v>664</v>
      </c>
      <c r="D1931">
        <v>1.89654819302746E-3</v>
      </c>
      <c r="E1931" t="s">
        <v>94</v>
      </c>
      <c r="N1931" t="s">
        <v>3389</v>
      </c>
    </row>
    <row r="1932" spans="2:17">
      <c r="B1932" t="s">
        <v>3387</v>
      </c>
      <c r="C1932" t="s">
        <v>664</v>
      </c>
      <c r="D1932">
        <v>2.7244044481879598E-7</v>
      </c>
      <c r="E1932" t="s">
        <v>94</v>
      </c>
      <c r="H1932" t="s">
        <v>588</v>
      </c>
      <c r="I1932">
        <v>2.7244044481879598E-7</v>
      </c>
      <c r="J1932">
        <v>1.0247973619913604</v>
      </c>
      <c r="N1932" t="s">
        <v>3390</v>
      </c>
      <c r="O1932" t="s">
        <v>855</v>
      </c>
      <c r="Q1932" t="s">
        <v>2292</v>
      </c>
    </row>
    <row r="1933" spans="2:17">
      <c r="B1933" t="s">
        <v>3391</v>
      </c>
      <c r="C1933" t="s">
        <v>664</v>
      </c>
      <c r="D1933">
        <v>1.34152175209364E-3</v>
      </c>
      <c r="E1933" t="s">
        <v>94</v>
      </c>
      <c r="N1933" t="s">
        <v>3392</v>
      </c>
    </row>
    <row r="1934" spans="2:17">
      <c r="B1934" t="s">
        <v>3391</v>
      </c>
      <c r="C1934" t="s">
        <v>664</v>
      </c>
      <c r="D1934">
        <v>5.24427137722306E-9</v>
      </c>
      <c r="E1934" t="s">
        <v>94</v>
      </c>
      <c r="H1934" t="s">
        <v>588</v>
      </c>
      <c r="I1934">
        <v>5.24427137722306E-9</v>
      </c>
      <c r="J1934">
        <v>1.0247973619913604</v>
      </c>
      <c r="N1934" t="s">
        <v>3393</v>
      </c>
      <c r="O1934" t="s">
        <v>641</v>
      </c>
      <c r="Q1934" t="s">
        <v>1643</v>
      </c>
    </row>
    <row r="1935" spans="2:17">
      <c r="B1935" t="s">
        <v>3391</v>
      </c>
      <c r="C1935" t="s">
        <v>664</v>
      </c>
      <c r="D1935">
        <v>1.0049312021151299E-3</v>
      </c>
      <c r="E1935" t="s">
        <v>94</v>
      </c>
      <c r="N1935" t="s">
        <v>3392</v>
      </c>
    </row>
    <row r="1936" spans="2:17">
      <c r="B1936" t="s">
        <v>3391</v>
      </c>
      <c r="C1936" t="s">
        <v>664</v>
      </c>
      <c r="D1936">
        <v>1.2091754988888901E-3</v>
      </c>
      <c r="E1936" t="s">
        <v>94</v>
      </c>
      <c r="N1936" t="s">
        <v>3392</v>
      </c>
    </row>
    <row r="1937" spans="2:17">
      <c r="B1937" t="s">
        <v>3391</v>
      </c>
      <c r="C1937" t="s">
        <v>664</v>
      </c>
      <c r="D1937">
        <v>1.8489937064235401E-3</v>
      </c>
      <c r="E1937" t="s">
        <v>94</v>
      </c>
      <c r="N1937" t="s">
        <v>3392</v>
      </c>
    </row>
    <row r="1938" spans="2:17">
      <c r="B1938" t="s">
        <v>3391</v>
      </c>
      <c r="C1938" t="s">
        <v>664</v>
      </c>
      <c r="D1938">
        <v>4.7554486664178397E-5</v>
      </c>
      <c r="E1938" t="s">
        <v>94</v>
      </c>
      <c r="N1938" t="s">
        <v>3394</v>
      </c>
    </row>
    <row r="1939" spans="2:17">
      <c r="B1939" t="s">
        <v>3391</v>
      </c>
      <c r="C1939" t="s">
        <v>664</v>
      </c>
      <c r="D1939">
        <v>3.8425546931602798E-8</v>
      </c>
      <c r="E1939" t="s">
        <v>94</v>
      </c>
      <c r="H1939" t="s">
        <v>588</v>
      </c>
      <c r="I1939">
        <v>3.8425546931602798E-8</v>
      </c>
      <c r="J1939">
        <v>1.0247973619913604</v>
      </c>
      <c r="N1939" t="s">
        <v>3393</v>
      </c>
      <c r="O1939" t="s">
        <v>641</v>
      </c>
      <c r="Q1939" t="s">
        <v>1643</v>
      </c>
    </row>
    <row r="1940" spans="2:17">
      <c r="B1940" t="s">
        <v>3391</v>
      </c>
      <c r="C1940" t="s">
        <v>664</v>
      </c>
      <c r="D1940">
        <v>8.9161699097259405E-4</v>
      </c>
      <c r="E1940" t="s">
        <v>94</v>
      </c>
      <c r="N1940" t="s">
        <v>3394</v>
      </c>
    </row>
    <row r="1941" spans="2:17">
      <c r="B1941" t="s">
        <v>3391</v>
      </c>
      <c r="C1941" t="s">
        <v>664</v>
      </c>
      <c r="D1941">
        <v>1.07083394263807E-6</v>
      </c>
      <c r="E1941" t="s">
        <v>94</v>
      </c>
      <c r="H1941" t="s">
        <v>588</v>
      </c>
      <c r="I1941">
        <v>1.07083394263807E-6</v>
      </c>
      <c r="J1941">
        <v>1.0247973619913604</v>
      </c>
      <c r="N1941" t="s">
        <v>3393</v>
      </c>
      <c r="O1941" t="s">
        <v>641</v>
      </c>
      <c r="Q1941" t="s">
        <v>1643</v>
      </c>
    </row>
    <row r="1942" spans="2:17">
      <c r="B1942" t="s">
        <v>3391</v>
      </c>
      <c r="C1942" t="s">
        <v>664</v>
      </c>
      <c r="D1942">
        <v>1.0673711903215799E-6</v>
      </c>
      <c r="E1942" t="s">
        <v>94</v>
      </c>
      <c r="H1942" t="s">
        <v>588</v>
      </c>
      <c r="I1942">
        <v>1.0673711903215799E-6</v>
      </c>
      <c r="J1942">
        <v>1.0247973619913604</v>
      </c>
      <c r="N1942" t="s">
        <v>3393</v>
      </c>
      <c r="O1942" t="s">
        <v>641</v>
      </c>
      <c r="Q1942" t="s">
        <v>1643</v>
      </c>
    </row>
    <row r="1943" spans="2:17">
      <c r="B1943" t="s">
        <v>3391</v>
      </c>
      <c r="C1943" t="s">
        <v>664</v>
      </c>
      <c r="D1943">
        <v>5.5563372933934402E-5</v>
      </c>
      <c r="E1943" t="s">
        <v>94</v>
      </c>
      <c r="N1943" t="s">
        <v>3394</v>
      </c>
    </row>
    <row r="1944" spans="2:17">
      <c r="B1944" t="s">
        <v>3391</v>
      </c>
      <c r="C1944" t="s">
        <v>664</v>
      </c>
      <c r="D1944">
        <v>1.2648229872982301E-9</v>
      </c>
      <c r="E1944" t="s">
        <v>94</v>
      </c>
      <c r="H1944" t="s">
        <v>588</v>
      </c>
      <c r="I1944">
        <v>1.2648229872982301E-9</v>
      </c>
      <c r="J1944">
        <v>1.0247973619913604</v>
      </c>
      <c r="N1944" t="s">
        <v>3393</v>
      </c>
      <c r="O1944" t="s">
        <v>641</v>
      </c>
      <c r="Q1944" t="s">
        <v>1643</v>
      </c>
    </row>
    <row r="1945" spans="2:17">
      <c r="B1945" t="s">
        <v>3391</v>
      </c>
      <c r="C1945" t="s">
        <v>664</v>
      </c>
      <c r="D1945">
        <v>6.3180932126489901E-4</v>
      </c>
      <c r="E1945" t="s">
        <v>94</v>
      </c>
      <c r="N1945" t="s">
        <v>3395</v>
      </c>
    </row>
    <row r="1946" spans="2:17">
      <c r="B1946" t="s">
        <v>3391</v>
      </c>
      <c r="C1946" t="s">
        <v>664</v>
      </c>
      <c r="D1946">
        <v>5.5502644099407797E-4</v>
      </c>
      <c r="E1946" t="s">
        <v>94</v>
      </c>
      <c r="N1946" t="s">
        <v>3394</v>
      </c>
    </row>
    <row r="1947" spans="2:17">
      <c r="B1947" t="s">
        <v>3391</v>
      </c>
      <c r="C1947" t="s">
        <v>664</v>
      </c>
      <c r="D1947">
        <v>1.45638896788858E-7</v>
      </c>
      <c r="E1947" t="s">
        <v>94</v>
      </c>
      <c r="H1947" t="s">
        <v>588</v>
      </c>
      <c r="I1947">
        <v>1.45638896788858E-7</v>
      </c>
      <c r="J1947">
        <v>1.0247973619913604</v>
      </c>
      <c r="N1947" t="s">
        <v>3393</v>
      </c>
      <c r="O1947" t="s">
        <v>641</v>
      </c>
      <c r="Q1947" t="s">
        <v>1643</v>
      </c>
    </row>
    <row r="1948" spans="2:17">
      <c r="B1948" t="s">
        <v>3391</v>
      </c>
      <c r="C1948" t="s">
        <v>664</v>
      </c>
      <c r="D1948">
        <v>1.06636278861154E-6</v>
      </c>
      <c r="E1948" t="s">
        <v>94</v>
      </c>
      <c r="H1948" t="s">
        <v>588</v>
      </c>
      <c r="I1948">
        <v>1.06636278861154E-6</v>
      </c>
      <c r="J1948">
        <v>1.0247973619913604</v>
      </c>
      <c r="N1948" t="s">
        <v>3393</v>
      </c>
      <c r="O1948" t="s">
        <v>641</v>
      </c>
      <c r="Q1948" t="s">
        <v>1643</v>
      </c>
    </row>
    <row r="1949" spans="2:17">
      <c r="B1949" t="s">
        <v>3396</v>
      </c>
      <c r="C1949" t="s">
        <v>1810</v>
      </c>
      <c r="D1949">
        <v>3.2492102571810499E-4</v>
      </c>
      <c r="E1949" t="s">
        <v>607</v>
      </c>
      <c r="H1949" t="s">
        <v>588</v>
      </c>
      <c r="I1949">
        <v>3.2492102571810499E-4</v>
      </c>
      <c r="J1949">
        <v>1.4049000000004648</v>
      </c>
      <c r="N1949" t="s">
        <v>3397</v>
      </c>
      <c r="O1949" t="s">
        <v>1758</v>
      </c>
      <c r="Q1949" t="s">
        <v>2691</v>
      </c>
    </row>
    <row r="1950" spans="2:17">
      <c r="B1950" t="s">
        <v>960</v>
      </c>
      <c r="C1950" t="s">
        <v>664</v>
      </c>
      <c r="D1950">
        <v>1.12054548362818E-4</v>
      </c>
      <c r="E1950" t="s">
        <v>94</v>
      </c>
      <c r="H1950" t="s">
        <v>588</v>
      </c>
      <c r="I1950">
        <v>1.12054548362818E-4</v>
      </c>
      <c r="J1950">
        <v>1.0247973619913604</v>
      </c>
      <c r="N1950" t="s">
        <v>961</v>
      </c>
      <c r="O1950" t="s">
        <v>641</v>
      </c>
      <c r="Q1950" t="s">
        <v>1672</v>
      </c>
    </row>
    <row r="1951" spans="2:17">
      <c r="B1951" t="s">
        <v>3398</v>
      </c>
      <c r="C1951" t="s">
        <v>673</v>
      </c>
      <c r="D1951">
        <v>8.8337706393990697E-5</v>
      </c>
      <c r="E1951" t="s">
        <v>94</v>
      </c>
      <c r="H1951" t="s">
        <v>588</v>
      </c>
      <c r="I1951">
        <v>8.8337706393990697E-5</v>
      </c>
      <c r="J1951">
        <v>1.1051709180756477</v>
      </c>
      <c r="N1951" t="s">
        <v>3399</v>
      </c>
      <c r="O1951" t="s">
        <v>1700</v>
      </c>
      <c r="Q1951" t="s">
        <v>595</v>
      </c>
    </row>
    <row r="1952" spans="2:17">
      <c r="B1952" t="s">
        <v>3398</v>
      </c>
      <c r="C1952" t="s">
        <v>673</v>
      </c>
      <c r="D1952">
        <v>7.17029701260689E-5</v>
      </c>
      <c r="E1952" t="s">
        <v>94</v>
      </c>
      <c r="H1952" t="s">
        <v>588</v>
      </c>
      <c r="I1952">
        <v>7.17029701260689E-5</v>
      </c>
      <c r="J1952">
        <v>1.1051709180756477</v>
      </c>
      <c r="N1952" t="s">
        <v>3399</v>
      </c>
      <c r="O1952" t="s">
        <v>1700</v>
      </c>
      <c r="Q1952" t="s">
        <v>595</v>
      </c>
    </row>
    <row r="1953" spans="2:17">
      <c r="B1953" t="s">
        <v>3400</v>
      </c>
      <c r="C1953" t="s">
        <v>701</v>
      </c>
      <c r="D1953">
        <v>5.2980981938919103E-5</v>
      </c>
      <c r="E1953" t="s">
        <v>94</v>
      </c>
      <c r="H1953" t="s">
        <v>588</v>
      </c>
      <c r="I1953">
        <v>5.2980981938919103E-5</v>
      </c>
      <c r="J1953">
        <v>1.1051709180756477</v>
      </c>
      <c r="N1953" t="s">
        <v>3401</v>
      </c>
      <c r="O1953" t="s">
        <v>2387</v>
      </c>
    </row>
    <row r="1954" spans="2:17">
      <c r="B1954" t="s">
        <v>3400</v>
      </c>
      <c r="C1954" t="s">
        <v>701</v>
      </c>
      <c r="D1954">
        <v>4.7505147041825398E-5</v>
      </c>
      <c r="E1954" t="s">
        <v>94</v>
      </c>
      <c r="H1954" t="s">
        <v>588</v>
      </c>
      <c r="I1954">
        <v>4.7505147041825398E-5</v>
      </c>
      <c r="J1954">
        <v>1.1051709180756477</v>
      </c>
      <c r="N1954" t="s">
        <v>3401</v>
      </c>
      <c r="O1954" t="s">
        <v>798</v>
      </c>
      <c r="Q1954" t="s">
        <v>3402</v>
      </c>
    </row>
    <row r="1955" spans="2:17">
      <c r="B1955" t="s">
        <v>3400</v>
      </c>
      <c r="C1955" t="s">
        <v>701</v>
      </c>
      <c r="D1955">
        <v>4.4982800378703402E-5</v>
      </c>
      <c r="E1955" t="s">
        <v>94</v>
      </c>
      <c r="H1955" t="s">
        <v>588</v>
      </c>
      <c r="I1955">
        <v>4.4982800378703402E-5</v>
      </c>
      <c r="J1955">
        <v>1.0247973619913604</v>
      </c>
      <c r="N1955" t="s">
        <v>3403</v>
      </c>
      <c r="O1955" t="s">
        <v>1765</v>
      </c>
      <c r="Q1955" t="s">
        <v>1766</v>
      </c>
    </row>
    <row r="1956" spans="2:17">
      <c r="B1956" t="s">
        <v>3404</v>
      </c>
      <c r="C1956" t="s">
        <v>673</v>
      </c>
      <c r="D1956">
        <v>1.24262315601112E-5</v>
      </c>
      <c r="E1956" t="s">
        <v>94</v>
      </c>
      <c r="H1956" t="s">
        <v>588</v>
      </c>
      <c r="I1956">
        <v>1.24262315601112E-5</v>
      </c>
      <c r="J1956">
        <v>1.0247973619913604</v>
      </c>
      <c r="N1956" t="s">
        <v>3405</v>
      </c>
      <c r="O1956" t="s">
        <v>1624</v>
      </c>
      <c r="Q1956" t="s">
        <v>2337</v>
      </c>
    </row>
    <row r="1957" spans="2:17">
      <c r="B1957" t="s">
        <v>3406</v>
      </c>
      <c r="C1957" t="s">
        <v>1635</v>
      </c>
      <c r="D1957">
        <v>2.1912995897838401E-8</v>
      </c>
      <c r="E1957" t="s">
        <v>94</v>
      </c>
      <c r="H1957" t="s">
        <v>588</v>
      </c>
      <c r="I1957">
        <v>2.1912995897838401E-8</v>
      </c>
      <c r="J1957">
        <v>1</v>
      </c>
      <c r="N1957" t="s">
        <v>3407</v>
      </c>
      <c r="O1957" t="s">
        <v>1918</v>
      </c>
      <c r="Q1957" t="s">
        <v>3408</v>
      </c>
    </row>
    <row r="1958" spans="2:17">
      <c r="B1958" t="s">
        <v>852</v>
      </c>
      <c r="C1958" t="s">
        <v>853</v>
      </c>
      <c r="D1958">
        <v>1.32871512080883E-5</v>
      </c>
      <c r="E1958" t="s">
        <v>94</v>
      </c>
      <c r="H1958" t="s">
        <v>588</v>
      </c>
      <c r="I1958">
        <v>1.32871512080883E-5</v>
      </c>
      <c r="J1958">
        <v>1</v>
      </c>
      <c r="N1958" t="s">
        <v>854</v>
      </c>
      <c r="O1958" t="s">
        <v>1756</v>
      </c>
      <c r="Q1958" t="s">
        <v>3409</v>
      </c>
    </row>
    <row r="1959" spans="2:17">
      <c r="B1959" t="s">
        <v>852</v>
      </c>
      <c r="C1959" t="s">
        <v>853</v>
      </c>
      <c r="D1959">
        <v>3.1838589258170899E-5</v>
      </c>
      <c r="E1959" t="s">
        <v>94</v>
      </c>
      <c r="H1959" t="s">
        <v>588</v>
      </c>
      <c r="I1959">
        <v>3.1838589258170899E-5</v>
      </c>
      <c r="J1959">
        <v>1.4049000000004648</v>
      </c>
      <c r="N1959" t="s">
        <v>854</v>
      </c>
      <c r="O1959" t="s">
        <v>2069</v>
      </c>
      <c r="Q1959" t="s">
        <v>3410</v>
      </c>
    </row>
    <row r="1960" spans="2:17">
      <c r="B1960" t="s">
        <v>852</v>
      </c>
      <c r="C1960" t="s">
        <v>853</v>
      </c>
      <c r="D1960">
        <v>4.74480664358776E-4</v>
      </c>
      <c r="E1960" t="s">
        <v>94</v>
      </c>
      <c r="H1960" t="s">
        <v>588</v>
      </c>
      <c r="I1960">
        <v>4.74480664358776E-4</v>
      </c>
      <c r="J1960">
        <v>1.4049000000004648</v>
      </c>
      <c r="N1960" t="s">
        <v>854</v>
      </c>
      <c r="O1960" t="s">
        <v>1435</v>
      </c>
      <c r="Q1960" t="s">
        <v>3411</v>
      </c>
    </row>
    <row r="1961" spans="2:17">
      <c r="B1961" t="s">
        <v>852</v>
      </c>
      <c r="C1961" t="s">
        <v>853</v>
      </c>
      <c r="D1961">
        <v>3.4266439075351801E-5</v>
      </c>
      <c r="E1961" t="s">
        <v>94</v>
      </c>
      <c r="H1961" t="s">
        <v>588</v>
      </c>
      <c r="I1961">
        <v>3.4266439075351801E-5</v>
      </c>
      <c r="J1961">
        <v>1</v>
      </c>
      <c r="N1961" t="s">
        <v>854</v>
      </c>
      <c r="O1961" t="s">
        <v>1756</v>
      </c>
      <c r="Q1961" t="s">
        <v>3412</v>
      </c>
    </row>
    <row r="1962" spans="2:17">
      <c r="B1962" t="s">
        <v>808</v>
      </c>
      <c r="C1962" t="s">
        <v>809</v>
      </c>
      <c r="D1962">
        <v>1.3845456831360699E-8</v>
      </c>
      <c r="E1962" t="s">
        <v>94</v>
      </c>
      <c r="H1962" t="s">
        <v>588</v>
      </c>
      <c r="I1962">
        <v>1.3845456831360699E-8</v>
      </c>
      <c r="J1962">
        <v>1.4139824580805163</v>
      </c>
      <c r="N1962" t="s">
        <v>810</v>
      </c>
      <c r="O1962" t="s">
        <v>798</v>
      </c>
      <c r="Q1962" t="s">
        <v>3413</v>
      </c>
    </row>
    <row r="1963" spans="2:17">
      <c r="B1963" t="s">
        <v>3414</v>
      </c>
      <c r="C1963" t="s">
        <v>673</v>
      </c>
      <c r="D1963">
        <v>2.1455918299843499E-5</v>
      </c>
      <c r="E1963" t="s">
        <v>94</v>
      </c>
      <c r="H1963" t="s">
        <v>588</v>
      </c>
      <c r="I1963">
        <v>2.1455918299843499E-5</v>
      </c>
      <c r="J1963">
        <v>1.0247973619913604</v>
      </c>
      <c r="N1963" t="s">
        <v>3415</v>
      </c>
      <c r="O1963" t="s">
        <v>641</v>
      </c>
      <c r="Q1963" t="s">
        <v>1672</v>
      </c>
    </row>
    <row r="1964" spans="2:17">
      <c r="B1964" t="s">
        <v>3416</v>
      </c>
      <c r="C1964" t="s">
        <v>587</v>
      </c>
      <c r="D1964">
        <v>1.68075062478422E-3</v>
      </c>
      <c r="E1964" t="s">
        <v>94</v>
      </c>
      <c r="H1964" t="s">
        <v>588</v>
      </c>
      <c r="I1964">
        <v>1.68075062478422E-3</v>
      </c>
      <c r="J1964">
        <v>1.0247973619913604</v>
      </c>
      <c r="O1964" t="s">
        <v>641</v>
      </c>
      <c r="Q1964" t="s">
        <v>1643</v>
      </c>
    </row>
    <row r="1965" spans="2:17">
      <c r="B1965" t="s">
        <v>3417</v>
      </c>
      <c r="C1965" t="s">
        <v>673</v>
      </c>
      <c r="D1965">
        <v>1.8658625645421999E-7</v>
      </c>
      <c r="E1965" t="s">
        <v>94</v>
      </c>
      <c r="H1965" t="s">
        <v>588</v>
      </c>
      <c r="I1965">
        <v>1.8658625645421999E-7</v>
      </c>
      <c r="J1965">
        <v>1.1051709180756477</v>
      </c>
      <c r="N1965" t="s">
        <v>3418</v>
      </c>
      <c r="O1965" t="s">
        <v>1700</v>
      </c>
      <c r="Q1965" t="s">
        <v>2295</v>
      </c>
    </row>
    <row r="1966" spans="2:17">
      <c r="B1966" t="s">
        <v>3419</v>
      </c>
      <c r="C1966" t="s">
        <v>615</v>
      </c>
      <c r="D1966">
        <v>7.8768514123491198E-13</v>
      </c>
      <c r="E1966" t="s">
        <v>616</v>
      </c>
      <c r="H1966" t="s">
        <v>588</v>
      </c>
      <c r="I1966">
        <v>7.8768514123491198E-13</v>
      </c>
      <c r="J1966">
        <v>1.760654165524179</v>
      </c>
      <c r="N1966" t="s">
        <v>3420</v>
      </c>
      <c r="O1966" t="s">
        <v>1967</v>
      </c>
      <c r="Q1966" t="s">
        <v>3421</v>
      </c>
    </row>
    <row r="1967" spans="2:17">
      <c r="B1967" t="s">
        <v>3422</v>
      </c>
      <c r="C1967" t="s">
        <v>1170</v>
      </c>
      <c r="D1967">
        <v>4.6862028642590501E-6</v>
      </c>
      <c r="E1967" t="s">
        <v>626</v>
      </c>
      <c r="H1967" t="s">
        <v>588</v>
      </c>
      <c r="I1967">
        <v>4.6862028642590501E-6</v>
      </c>
      <c r="J1967">
        <v>1</v>
      </c>
      <c r="N1967" t="s">
        <v>3423</v>
      </c>
      <c r="O1967" t="s">
        <v>1632</v>
      </c>
      <c r="Q1967" t="s">
        <v>595</v>
      </c>
    </row>
    <row r="1968" spans="2:17">
      <c r="B1968" t="s">
        <v>3424</v>
      </c>
      <c r="C1968" t="s">
        <v>1170</v>
      </c>
      <c r="D1968">
        <v>2.0975592799319501E-5</v>
      </c>
      <c r="E1968" t="s">
        <v>626</v>
      </c>
      <c r="H1968" t="s">
        <v>588</v>
      </c>
      <c r="I1968">
        <v>2.0975592799319501E-5</v>
      </c>
      <c r="J1968">
        <v>1</v>
      </c>
      <c r="N1968" t="s">
        <v>3425</v>
      </c>
      <c r="O1968" t="s">
        <v>1632</v>
      </c>
      <c r="Q1968" t="s">
        <v>595</v>
      </c>
    </row>
    <row r="1969" spans="2:17">
      <c r="B1969" t="s">
        <v>3426</v>
      </c>
      <c r="C1969" t="s">
        <v>1170</v>
      </c>
      <c r="D1969">
        <v>4.6862028642590501E-6</v>
      </c>
      <c r="E1969" t="s">
        <v>626</v>
      </c>
      <c r="H1969" t="s">
        <v>588</v>
      </c>
      <c r="I1969">
        <v>4.6862028642590501E-6</v>
      </c>
      <c r="J1969">
        <v>1</v>
      </c>
      <c r="N1969" t="s">
        <v>3427</v>
      </c>
      <c r="O1969" t="s">
        <v>1632</v>
      </c>
      <c r="Q1969" t="s">
        <v>595</v>
      </c>
    </row>
    <row r="1970" spans="2:17">
      <c r="B1970" t="s">
        <v>3428</v>
      </c>
      <c r="C1970" t="s">
        <v>615</v>
      </c>
      <c r="D1970">
        <v>1.9399607986491501E-10</v>
      </c>
      <c r="E1970" t="s">
        <v>616</v>
      </c>
      <c r="H1970" t="s">
        <v>588</v>
      </c>
      <c r="I1970">
        <v>1.9399607986491501E-10</v>
      </c>
      <c r="J1970">
        <v>1.7293101253499219</v>
      </c>
      <c r="N1970" t="s">
        <v>3429</v>
      </c>
      <c r="O1970" t="s">
        <v>1675</v>
      </c>
      <c r="Q1970" t="s">
        <v>2133</v>
      </c>
    </row>
    <row r="1971" spans="2:17">
      <c r="B1971" t="s">
        <v>3430</v>
      </c>
      <c r="C1971" t="s">
        <v>673</v>
      </c>
      <c r="D1971">
        <v>8.5667762352062003E-4</v>
      </c>
      <c r="E1971" t="s">
        <v>94</v>
      </c>
      <c r="H1971" t="s">
        <v>588</v>
      </c>
      <c r="I1971">
        <v>8.5667762352062003E-4</v>
      </c>
      <c r="J1971">
        <v>1.1051709180756477</v>
      </c>
      <c r="N1971" t="s">
        <v>3431</v>
      </c>
      <c r="O1971" t="s">
        <v>1700</v>
      </c>
      <c r="Q1971" t="s">
        <v>2516</v>
      </c>
    </row>
    <row r="1972" spans="2:17">
      <c r="B1972" t="s">
        <v>3432</v>
      </c>
      <c r="C1972" t="s">
        <v>821</v>
      </c>
      <c r="D1972">
        <v>1.7439440779932301E-4</v>
      </c>
      <c r="E1972" t="s">
        <v>94</v>
      </c>
      <c r="H1972" t="s">
        <v>588</v>
      </c>
      <c r="I1972">
        <v>1.7439440779932301E-4</v>
      </c>
      <c r="J1972">
        <v>1.0247973619913604</v>
      </c>
      <c r="N1972" t="s">
        <v>3433</v>
      </c>
      <c r="O1972" t="s">
        <v>641</v>
      </c>
      <c r="Q1972" t="s">
        <v>1643</v>
      </c>
    </row>
    <row r="1973" spans="2:17">
      <c r="B1973" t="s">
        <v>3432</v>
      </c>
      <c r="C1973" t="s">
        <v>821</v>
      </c>
      <c r="D1973">
        <v>1.6152827222712198E-5</v>
      </c>
      <c r="E1973" t="s">
        <v>94</v>
      </c>
      <c r="H1973" t="s">
        <v>588</v>
      </c>
      <c r="I1973">
        <v>1.6152827222712198E-5</v>
      </c>
      <c r="J1973">
        <v>1.0247973619913604</v>
      </c>
      <c r="N1973" t="s">
        <v>3433</v>
      </c>
      <c r="O1973" t="s">
        <v>641</v>
      </c>
      <c r="Q1973" t="s">
        <v>1643</v>
      </c>
    </row>
    <row r="1974" spans="2:17">
      <c r="B1974" t="s">
        <v>3434</v>
      </c>
      <c r="C1974" t="s">
        <v>1835</v>
      </c>
      <c r="D1974">
        <v>2.1729959175057099E-3</v>
      </c>
      <c r="E1974" t="s">
        <v>94</v>
      </c>
      <c r="N1974" t="s">
        <v>3435</v>
      </c>
    </row>
    <row r="1975" spans="2:17">
      <c r="B1975" t="s">
        <v>3434</v>
      </c>
      <c r="C1975" t="s">
        <v>1835</v>
      </c>
      <c r="D1975">
        <v>2.60759510100685E-4</v>
      </c>
      <c r="E1975" t="s">
        <v>94</v>
      </c>
      <c r="H1975" t="s">
        <v>588</v>
      </c>
      <c r="I1975">
        <v>2.60759510100685E-4</v>
      </c>
      <c r="J1975">
        <v>1.0247973619913604</v>
      </c>
      <c r="N1975" t="s">
        <v>3436</v>
      </c>
      <c r="O1975" t="s">
        <v>1806</v>
      </c>
      <c r="Q1975" t="s">
        <v>1728</v>
      </c>
    </row>
    <row r="1976" spans="2:17">
      <c r="B1976" t="s">
        <v>3437</v>
      </c>
      <c r="C1976" t="s">
        <v>2739</v>
      </c>
      <c r="D1976">
        <v>7.20605707989358E-10</v>
      </c>
      <c r="E1976" t="s">
        <v>475</v>
      </c>
      <c r="H1976" t="s">
        <v>588</v>
      </c>
      <c r="I1976">
        <v>7.20605707989358E-10</v>
      </c>
      <c r="J1976">
        <v>1.7450381821146503</v>
      </c>
      <c r="N1976" t="s">
        <v>3438</v>
      </c>
      <c r="O1976" t="s">
        <v>3274</v>
      </c>
      <c r="Q1976" t="s">
        <v>3275</v>
      </c>
    </row>
    <row r="1977" spans="2:17">
      <c r="B1977" t="s">
        <v>3439</v>
      </c>
      <c r="C1977" t="s">
        <v>2739</v>
      </c>
      <c r="D1977">
        <v>2.3038452153135E-11</v>
      </c>
      <c r="E1977" t="s">
        <v>475</v>
      </c>
      <c r="H1977" t="s">
        <v>588</v>
      </c>
      <c r="I1977">
        <v>2.3038452153135E-11</v>
      </c>
      <c r="J1977">
        <v>1.7293101253499219</v>
      </c>
      <c r="N1977" t="s">
        <v>3440</v>
      </c>
      <c r="O1977" t="s">
        <v>798</v>
      </c>
      <c r="Q1977" t="s">
        <v>3241</v>
      </c>
    </row>
    <row r="1978" spans="2:17">
      <c r="B1978" t="s">
        <v>767</v>
      </c>
      <c r="C1978" t="s">
        <v>664</v>
      </c>
      <c r="D1978">
        <v>3.7173911306804302E-5</v>
      </c>
      <c r="E1978" t="s">
        <v>94</v>
      </c>
      <c r="H1978" t="s">
        <v>588</v>
      </c>
      <c r="I1978">
        <v>3.7173911306804302E-5</v>
      </c>
      <c r="J1978">
        <v>1.0247973619913604</v>
      </c>
      <c r="N1978" t="s">
        <v>962</v>
      </c>
      <c r="O1978" t="s">
        <v>1649</v>
      </c>
      <c r="Q1978" t="s">
        <v>1910</v>
      </c>
    </row>
    <row r="1979" spans="2:17">
      <c r="B1979" t="s">
        <v>767</v>
      </c>
      <c r="C1979" t="s">
        <v>664</v>
      </c>
      <c r="D1979">
        <v>3.2146435799573298E-4</v>
      </c>
      <c r="E1979" t="s">
        <v>94</v>
      </c>
      <c r="H1979" t="s">
        <v>588</v>
      </c>
      <c r="I1979">
        <v>3.2146435799573298E-4</v>
      </c>
      <c r="J1979">
        <v>1.0247973619913604</v>
      </c>
      <c r="N1979" t="s">
        <v>962</v>
      </c>
      <c r="O1979" t="s">
        <v>1649</v>
      </c>
      <c r="Q1979" t="s">
        <v>1910</v>
      </c>
    </row>
    <row r="1980" spans="2:17">
      <c r="B1980" t="s">
        <v>767</v>
      </c>
      <c r="C1980" t="s">
        <v>664</v>
      </c>
      <c r="D1980">
        <v>5.3069733043719397E-5</v>
      </c>
      <c r="E1980" t="s">
        <v>94</v>
      </c>
      <c r="H1980" t="s">
        <v>588</v>
      </c>
      <c r="I1980">
        <v>5.3069733043719397E-5</v>
      </c>
      <c r="J1980">
        <v>1.0247973619913604</v>
      </c>
      <c r="N1980" t="s">
        <v>962</v>
      </c>
      <c r="O1980" t="s">
        <v>1649</v>
      </c>
      <c r="Q1980" t="s">
        <v>1910</v>
      </c>
    </row>
    <row r="1981" spans="2:17">
      <c r="B1981" t="s">
        <v>767</v>
      </c>
      <c r="C1981" t="s">
        <v>664</v>
      </c>
      <c r="D1981">
        <v>2.4571814847603401E-3</v>
      </c>
      <c r="E1981" t="s">
        <v>94</v>
      </c>
      <c r="H1981" t="s">
        <v>588</v>
      </c>
      <c r="I1981">
        <v>2.4571814847603401E-3</v>
      </c>
      <c r="J1981">
        <v>1.0247973619913604</v>
      </c>
      <c r="N1981" t="s">
        <v>962</v>
      </c>
      <c r="O1981" t="s">
        <v>1649</v>
      </c>
      <c r="Q1981" t="s">
        <v>1910</v>
      </c>
    </row>
    <row r="1982" spans="2:17">
      <c r="B1982" t="s">
        <v>767</v>
      </c>
      <c r="C1982" t="s">
        <v>664</v>
      </c>
      <c r="D1982">
        <v>8.2918007736485096E-4</v>
      </c>
      <c r="E1982" t="s">
        <v>94</v>
      </c>
      <c r="H1982" t="s">
        <v>588</v>
      </c>
      <c r="I1982">
        <v>8.2918007736485096E-4</v>
      </c>
      <c r="J1982">
        <v>1.0247973619913604</v>
      </c>
      <c r="N1982" t="s">
        <v>962</v>
      </c>
      <c r="O1982" t="s">
        <v>1649</v>
      </c>
      <c r="Q1982" t="s">
        <v>1910</v>
      </c>
    </row>
    <row r="1983" spans="2:17">
      <c r="B1983" t="s">
        <v>767</v>
      </c>
      <c r="C1983" t="s">
        <v>664</v>
      </c>
      <c r="D1983">
        <v>2.3206043859841001E-3</v>
      </c>
      <c r="E1983" t="s">
        <v>94</v>
      </c>
      <c r="H1983" t="s">
        <v>588</v>
      </c>
      <c r="I1983">
        <v>2.3206043859841001E-3</v>
      </c>
      <c r="J1983">
        <v>1.0247973619913604</v>
      </c>
      <c r="N1983" t="s">
        <v>962</v>
      </c>
      <c r="O1983" t="s">
        <v>1649</v>
      </c>
      <c r="Q1983" t="s">
        <v>1910</v>
      </c>
    </row>
    <row r="1984" spans="2:17">
      <c r="B1984" t="s">
        <v>767</v>
      </c>
      <c r="C1984" t="s">
        <v>664</v>
      </c>
      <c r="D1984">
        <v>1.5267198485781499E-5</v>
      </c>
      <c r="E1984" t="s">
        <v>94</v>
      </c>
      <c r="H1984" t="s">
        <v>588</v>
      </c>
      <c r="I1984">
        <v>1.5267198485781499E-5</v>
      </c>
      <c r="J1984">
        <v>1.1051709180756477</v>
      </c>
      <c r="N1984" t="s">
        <v>962</v>
      </c>
      <c r="O1984" t="s">
        <v>956</v>
      </c>
      <c r="Q1984" t="s">
        <v>1910</v>
      </c>
    </row>
    <row r="1985" spans="2:17">
      <c r="B1985" t="s">
        <v>767</v>
      </c>
      <c r="C1985" t="s">
        <v>664</v>
      </c>
      <c r="D1985">
        <v>1.8323730859530699E-5</v>
      </c>
      <c r="E1985" t="s">
        <v>94</v>
      </c>
      <c r="H1985" t="s">
        <v>588</v>
      </c>
      <c r="I1985">
        <v>1.8323730859530699E-5</v>
      </c>
      <c r="J1985">
        <v>1.0247973619913604</v>
      </c>
      <c r="N1985" t="s">
        <v>962</v>
      </c>
      <c r="O1985" t="s">
        <v>1649</v>
      </c>
      <c r="Q1985" t="s">
        <v>1910</v>
      </c>
    </row>
    <row r="1986" spans="2:17">
      <c r="B1986" t="s">
        <v>3441</v>
      </c>
      <c r="C1986" t="s">
        <v>673</v>
      </c>
      <c r="D1986">
        <v>1.47529396943292E-7</v>
      </c>
      <c r="E1986" t="s">
        <v>94</v>
      </c>
      <c r="H1986" t="s">
        <v>588</v>
      </c>
      <c r="I1986">
        <v>1.47529396943292E-7</v>
      </c>
      <c r="J1986">
        <v>1.0247973619913604</v>
      </c>
      <c r="N1986" t="s">
        <v>3442</v>
      </c>
      <c r="O1986" t="s">
        <v>641</v>
      </c>
      <c r="Q1986" t="s">
        <v>2956</v>
      </c>
    </row>
    <row r="1987" spans="2:17">
      <c r="B1987" t="s">
        <v>3443</v>
      </c>
      <c r="C1987" t="s">
        <v>1810</v>
      </c>
      <c r="D1987">
        <v>1.0934240451793099E-3</v>
      </c>
      <c r="E1987" t="s">
        <v>616</v>
      </c>
      <c r="N1987" t="s">
        <v>3444</v>
      </c>
      <c r="Q1987" t="s">
        <v>3445</v>
      </c>
    </row>
    <row r="1988" spans="2:17">
      <c r="B1988" t="s">
        <v>3446</v>
      </c>
      <c r="C1988" t="s">
        <v>615</v>
      </c>
      <c r="D1988">
        <v>1.4182376478836999E-13</v>
      </c>
      <c r="E1988" t="s">
        <v>616</v>
      </c>
      <c r="H1988" t="s">
        <v>588</v>
      </c>
      <c r="I1988">
        <v>1.4182376478836999E-13</v>
      </c>
      <c r="J1988">
        <v>1.7293101253499219</v>
      </c>
      <c r="N1988" t="s">
        <v>3447</v>
      </c>
      <c r="O1988" t="s">
        <v>2902</v>
      </c>
      <c r="Q1988" t="s">
        <v>3448</v>
      </c>
    </row>
    <row r="1989" spans="2:17">
      <c r="B1989" t="s">
        <v>3449</v>
      </c>
      <c r="C1989" t="s">
        <v>673</v>
      </c>
      <c r="D1989">
        <v>4.23002669161388E-5</v>
      </c>
      <c r="E1989" t="s">
        <v>94</v>
      </c>
      <c r="H1989" t="s">
        <v>588</v>
      </c>
      <c r="I1989">
        <v>4.23002669161388E-5</v>
      </c>
      <c r="J1989">
        <v>1.0805386501323246</v>
      </c>
      <c r="N1989" t="s">
        <v>3450</v>
      </c>
      <c r="O1989" t="s">
        <v>2075</v>
      </c>
    </row>
    <row r="1990" spans="2:17">
      <c r="B1990" t="s">
        <v>696</v>
      </c>
      <c r="C1990" t="s">
        <v>667</v>
      </c>
      <c r="D1990">
        <v>1.9158438697447401E-8</v>
      </c>
      <c r="E1990" t="s">
        <v>94</v>
      </c>
      <c r="H1990" t="s">
        <v>588</v>
      </c>
      <c r="I1990">
        <v>1.9158438697447401E-8</v>
      </c>
      <c r="J1990">
        <v>1.2214027581601699</v>
      </c>
      <c r="N1990" t="s">
        <v>697</v>
      </c>
      <c r="O1990" t="s">
        <v>1708</v>
      </c>
      <c r="Q1990" t="s">
        <v>595</v>
      </c>
    </row>
    <row r="1991" spans="2:17">
      <c r="B1991" t="s">
        <v>1333</v>
      </c>
      <c r="C1991" t="s">
        <v>1170</v>
      </c>
      <c r="D1991">
        <v>1.8836210568308099E-4</v>
      </c>
      <c r="E1991" t="s">
        <v>616</v>
      </c>
      <c r="H1991" t="s">
        <v>588</v>
      </c>
      <c r="I1991">
        <v>1.8836210568308099E-4</v>
      </c>
      <c r="J1991">
        <v>1.0805386501323246</v>
      </c>
      <c r="N1991" t="s">
        <v>1334</v>
      </c>
      <c r="O1991" t="s">
        <v>1665</v>
      </c>
      <c r="Q1991" t="s">
        <v>3451</v>
      </c>
    </row>
    <row r="1992" spans="2:17">
      <c r="B1992" t="s">
        <v>1335</v>
      </c>
      <c r="C1992" t="s">
        <v>1170</v>
      </c>
      <c r="D1992">
        <v>1.8686643682533599E-4</v>
      </c>
      <c r="E1992" t="s">
        <v>616</v>
      </c>
      <c r="H1992" t="s">
        <v>588</v>
      </c>
      <c r="I1992">
        <v>1.8686643682533599E-4</v>
      </c>
      <c r="J1992">
        <v>1.151909910168909</v>
      </c>
      <c r="N1992" t="s">
        <v>1336</v>
      </c>
      <c r="O1992" t="s">
        <v>1967</v>
      </c>
      <c r="Q1992" t="s">
        <v>811</v>
      </c>
    </row>
    <row r="1993" spans="2:17">
      <c r="B1993" t="s">
        <v>3452</v>
      </c>
      <c r="C1993" t="s">
        <v>1170</v>
      </c>
      <c r="D1993">
        <v>5.2950326435977499E-5</v>
      </c>
      <c r="E1993" t="s">
        <v>616</v>
      </c>
      <c r="H1993" t="s">
        <v>588</v>
      </c>
      <c r="I1993">
        <v>5.2950326435977499E-5</v>
      </c>
      <c r="J1993">
        <v>1.1051709180756477</v>
      </c>
      <c r="N1993" t="s">
        <v>3453</v>
      </c>
      <c r="O1993" t="s">
        <v>1675</v>
      </c>
      <c r="Q1993" t="s">
        <v>811</v>
      </c>
    </row>
    <row r="1994" spans="2:17">
      <c r="B1994" t="s">
        <v>3454</v>
      </c>
      <c r="C1994" t="s">
        <v>2589</v>
      </c>
      <c r="D1994">
        <v>2.1655523943730701E-6</v>
      </c>
      <c r="E1994" t="s">
        <v>640</v>
      </c>
      <c r="H1994" t="s">
        <v>588</v>
      </c>
      <c r="I1994">
        <v>2.1655523943730701E-6</v>
      </c>
      <c r="J1994">
        <v>1.0247973619913604</v>
      </c>
      <c r="N1994" t="s">
        <v>3455</v>
      </c>
      <c r="O1994" t="s">
        <v>2220</v>
      </c>
      <c r="Q1994" t="s">
        <v>3456</v>
      </c>
    </row>
    <row r="1995" spans="2:17">
      <c r="B1995" t="s">
        <v>3454</v>
      </c>
      <c r="C1995" t="s">
        <v>2589</v>
      </c>
      <c r="D1995">
        <v>2.1612498306850201E-8</v>
      </c>
      <c r="E1995" t="s">
        <v>640</v>
      </c>
      <c r="H1995" t="s">
        <v>588</v>
      </c>
      <c r="I1995">
        <v>2.1612498306850201E-8</v>
      </c>
      <c r="J1995">
        <v>1.0247973619913604</v>
      </c>
      <c r="N1995" t="s">
        <v>3455</v>
      </c>
      <c r="O1995" t="s">
        <v>612</v>
      </c>
      <c r="Q1995" t="s">
        <v>3457</v>
      </c>
    </row>
    <row r="1996" spans="2:17">
      <c r="B1996" t="s">
        <v>3458</v>
      </c>
      <c r="C1996" t="s">
        <v>673</v>
      </c>
      <c r="D1996">
        <v>1.3634977142434501E-6</v>
      </c>
      <c r="E1996" t="s">
        <v>94</v>
      </c>
      <c r="H1996" t="s">
        <v>588</v>
      </c>
      <c r="I1996">
        <v>1.3634977142434501E-6</v>
      </c>
      <c r="J1996">
        <v>1.0247973619913604</v>
      </c>
      <c r="N1996" t="s">
        <v>3459</v>
      </c>
      <c r="O1996" t="s">
        <v>641</v>
      </c>
      <c r="Q1996" t="s">
        <v>1643</v>
      </c>
    </row>
    <row r="1997" spans="2:17">
      <c r="B1997" t="s">
        <v>3460</v>
      </c>
      <c r="C1997" t="s">
        <v>673</v>
      </c>
      <c r="D1997">
        <v>1.85107948749288E-6</v>
      </c>
      <c r="E1997" t="s">
        <v>94</v>
      </c>
      <c r="H1997" t="s">
        <v>588</v>
      </c>
      <c r="I1997">
        <v>1.85107948749288E-6</v>
      </c>
      <c r="J1997">
        <v>1.0247973619913604</v>
      </c>
      <c r="N1997" t="s">
        <v>3461</v>
      </c>
      <c r="O1997" t="s">
        <v>641</v>
      </c>
      <c r="Q1997" t="s">
        <v>3462</v>
      </c>
    </row>
    <row r="1998" spans="2:17">
      <c r="B1998" t="s">
        <v>3463</v>
      </c>
      <c r="C1998" t="s">
        <v>701</v>
      </c>
      <c r="D1998">
        <v>4.1505040930536301E-5</v>
      </c>
      <c r="E1998" t="s">
        <v>94</v>
      </c>
      <c r="H1998" t="s">
        <v>588</v>
      </c>
      <c r="I1998">
        <v>4.1505040930536301E-5</v>
      </c>
      <c r="J1998">
        <v>1.0805386501323246</v>
      </c>
      <c r="N1998" t="s">
        <v>3464</v>
      </c>
      <c r="O1998" t="s">
        <v>1665</v>
      </c>
      <c r="Q1998" t="s">
        <v>3465</v>
      </c>
    </row>
    <row r="1999" spans="2:17">
      <c r="B1999" t="s">
        <v>3466</v>
      </c>
      <c r="C1999" t="s">
        <v>708</v>
      </c>
      <c r="D1999">
        <v>3.1442590772531198E-5</v>
      </c>
      <c r="E1999" t="s">
        <v>94</v>
      </c>
      <c r="H1999" t="s">
        <v>588</v>
      </c>
      <c r="I1999">
        <v>3.1442590772531198E-5</v>
      </c>
      <c r="J1999">
        <v>1.0000039128455001</v>
      </c>
      <c r="N1999" t="s">
        <v>3467</v>
      </c>
      <c r="O1999" t="s">
        <v>952</v>
      </c>
      <c r="Q1999" t="s">
        <v>3468</v>
      </c>
    </row>
    <row r="2000" spans="2:17">
      <c r="B2000" t="s">
        <v>3466</v>
      </c>
      <c r="C2000" t="s">
        <v>708</v>
      </c>
      <c r="D2000">
        <v>2.1295823103304501E-5</v>
      </c>
      <c r="E2000" t="s">
        <v>94</v>
      </c>
      <c r="H2000" t="s">
        <v>588</v>
      </c>
      <c r="I2000">
        <v>2.1295823103304501E-5</v>
      </c>
      <c r="J2000">
        <v>1.0000039128455001</v>
      </c>
      <c r="N2000" t="s">
        <v>3467</v>
      </c>
      <c r="O2000" t="s">
        <v>952</v>
      </c>
      <c r="Q2000" t="s">
        <v>3468</v>
      </c>
    </row>
    <row r="2001" spans="2:17">
      <c r="B2001" t="s">
        <v>1337</v>
      </c>
      <c r="C2001" t="s">
        <v>701</v>
      </c>
      <c r="D2001">
        <v>4.0376491623205303E-6</v>
      </c>
      <c r="E2001" t="s">
        <v>94</v>
      </c>
      <c r="H2001" t="s">
        <v>588</v>
      </c>
      <c r="I2001">
        <v>4.0376491623205303E-6</v>
      </c>
      <c r="J2001">
        <v>1.499999999999694</v>
      </c>
      <c r="N2001" t="s">
        <v>1338</v>
      </c>
      <c r="O2001" t="s">
        <v>952</v>
      </c>
      <c r="Q2001" t="s">
        <v>3469</v>
      </c>
    </row>
    <row r="2002" spans="2:17">
      <c r="B2002" t="s">
        <v>1337</v>
      </c>
      <c r="C2002" t="s">
        <v>701</v>
      </c>
      <c r="D2002">
        <v>3.6140710480073E-6</v>
      </c>
      <c r="E2002" t="s">
        <v>94</v>
      </c>
      <c r="H2002" t="s">
        <v>588</v>
      </c>
      <c r="I2002">
        <v>3.6140710480073E-6</v>
      </c>
      <c r="J2002">
        <v>1.499999999999694</v>
      </c>
      <c r="N2002" t="s">
        <v>1338</v>
      </c>
      <c r="O2002" t="s">
        <v>952</v>
      </c>
      <c r="Q2002" t="s">
        <v>3469</v>
      </c>
    </row>
    <row r="2003" spans="2:17">
      <c r="B2003" t="s">
        <v>3470</v>
      </c>
      <c r="C2003" t="s">
        <v>1698</v>
      </c>
      <c r="D2003">
        <v>1.11815780483162E-3</v>
      </c>
      <c r="E2003" t="s">
        <v>1171</v>
      </c>
      <c r="H2003" t="s">
        <v>588</v>
      </c>
      <c r="I2003">
        <v>1.11815780483162E-3</v>
      </c>
      <c r="J2003">
        <v>1</v>
      </c>
      <c r="N2003" t="s">
        <v>3471</v>
      </c>
      <c r="O2003" t="s">
        <v>1700</v>
      </c>
      <c r="Q2003" t="s">
        <v>595</v>
      </c>
    </row>
    <row r="2004" spans="2:17">
      <c r="B2004" t="s">
        <v>3472</v>
      </c>
      <c r="C2004" t="s">
        <v>1698</v>
      </c>
      <c r="D2004">
        <v>2.7788544752284502E-4</v>
      </c>
      <c r="E2004" t="s">
        <v>1171</v>
      </c>
      <c r="H2004" t="s">
        <v>588</v>
      </c>
      <c r="I2004">
        <v>2.7788544752284502E-4</v>
      </c>
      <c r="J2004">
        <v>1</v>
      </c>
      <c r="N2004" t="s">
        <v>3473</v>
      </c>
      <c r="O2004" t="s">
        <v>1700</v>
      </c>
      <c r="Q2004" t="s">
        <v>1701</v>
      </c>
    </row>
    <row r="2005" spans="2:17">
      <c r="B2005" t="s">
        <v>1339</v>
      </c>
      <c r="C2005" t="s">
        <v>701</v>
      </c>
      <c r="D2005">
        <v>1.0911094360948701E-4</v>
      </c>
      <c r="E2005" t="s">
        <v>94</v>
      </c>
      <c r="H2005" t="s">
        <v>588</v>
      </c>
      <c r="I2005">
        <v>1.0911094360948701E-4</v>
      </c>
      <c r="J2005">
        <v>1.0247973619913604</v>
      </c>
      <c r="N2005" t="s">
        <v>1340</v>
      </c>
      <c r="O2005" t="s">
        <v>1914</v>
      </c>
      <c r="Q2005" t="s">
        <v>3474</v>
      </c>
    </row>
    <row r="2006" spans="2:17">
      <c r="B2006" t="s">
        <v>1342</v>
      </c>
      <c r="C2006" t="s">
        <v>701</v>
      </c>
      <c r="D2006">
        <v>3.0745423078869199E-3</v>
      </c>
      <c r="E2006" t="s">
        <v>94</v>
      </c>
      <c r="H2006" t="s">
        <v>588</v>
      </c>
      <c r="I2006">
        <v>3.0745423078869199E-3</v>
      </c>
      <c r="J2006">
        <v>1.1401373874887699</v>
      </c>
      <c r="N2006" t="s">
        <v>1343</v>
      </c>
      <c r="O2006" t="s">
        <v>2465</v>
      </c>
      <c r="Q2006" t="s">
        <v>595</v>
      </c>
    </row>
    <row r="2007" spans="2:17">
      <c r="B2007" t="s">
        <v>3475</v>
      </c>
      <c r="C2007" t="s">
        <v>701</v>
      </c>
      <c r="D2007">
        <v>3.4765843979186198E-4</v>
      </c>
      <c r="E2007" t="s">
        <v>94</v>
      </c>
      <c r="H2007" t="s">
        <v>588</v>
      </c>
      <c r="I2007">
        <v>3.4765843979186198E-4</v>
      </c>
      <c r="J2007">
        <v>1.499999999999694</v>
      </c>
      <c r="N2007" t="s">
        <v>3476</v>
      </c>
      <c r="O2007" t="s">
        <v>952</v>
      </c>
      <c r="Q2007" t="s">
        <v>3477</v>
      </c>
    </row>
    <row r="2008" spans="2:17">
      <c r="B2008" t="s">
        <v>1344</v>
      </c>
      <c r="C2008" t="s">
        <v>701</v>
      </c>
      <c r="D2008">
        <v>6.5592061191993101E-4</v>
      </c>
      <c r="E2008" t="s">
        <v>94</v>
      </c>
      <c r="H2008" t="s">
        <v>588</v>
      </c>
      <c r="I2008">
        <v>6.5592061191993101E-4</v>
      </c>
      <c r="J2008">
        <v>1.1051709180756477</v>
      </c>
      <c r="N2008" t="s">
        <v>1345</v>
      </c>
      <c r="O2008" t="s">
        <v>1789</v>
      </c>
      <c r="Q2008" t="s">
        <v>595</v>
      </c>
    </row>
    <row r="2009" spans="2:17">
      <c r="B2009" t="s">
        <v>3478</v>
      </c>
      <c r="C2009" t="s">
        <v>1249</v>
      </c>
      <c r="D2009">
        <v>1.7140891161512499E-5</v>
      </c>
      <c r="E2009" t="s">
        <v>94</v>
      </c>
      <c r="H2009" t="s">
        <v>588</v>
      </c>
      <c r="I2009">
        <v>1.7140891161512499E-5</v>
      </c>
      <c r="J2009">
        <v>1.499999999999694</v>
      </c>
      <c r="N2009" t="s">
        <v>3479</v>
      </c>
      <c r="O2009" t="s">
        <v>952</v>
      </c>
      <c r="Q2009" t="s">
        <v>3480</v>
      </c>
    </row>
    <row r="2010" spans="2:17">
      <c r="B2010" t="s">
        <v>3478</v>
      </c>
      <c r="C2010" t="s">
        <v>1249</v>
      </c>
      <c r="D2010">
        <v>1.78236658239589E-5</v>
      </c>
      <c r="E2010" t="s">
        <v>94</v>
      </c>
      <c r="H2010" t="s">
        <v>588</v>
      </c>
      <c r="I2010">
        <v>1.78236658239589E-5</v>
      </c>
      <c r="J2010">
        <v>1.499999999999694</v>
      </c>
      <c r="N2010" t="s">
        <v>3481</v>
      </c>
      <c r="O2010" t="s">
        <v>952</v>
      </c>
      <c r="Q2010" t="s">
        <v>3480</v>
      </c>
    </row>
    <row r="2011" spans="2:17">
      <c r="B2011" t="s">
        <v>3482</v>
      </c>
      <c r="C2011" t="s">
        <v>701</v>
      </c>
      <c r="D2011">
        <v>6.9833778053705096E-7</v>
      </c>
      <c r="E2011" t="s">
        <v>94</v>
      </c>
      <c r="H2011" t="s">
        <v>588</v>
      </c>
      <c r="I2011">
        <v>6.9833778053705096E-7</v>
      </c>
      <c r="J2011">
        <v>1.1051709180756477</v>
      </c>
      <c r="N2011" t="s">
        <v>3483</v>
      </c>
      <c r="O2011" t="s">
        <v>3484</v>
      </c>
      <c r="Q2011" t="s">
        <v>595</v>
      </c>
    </row>
    <row r="2012" spans="2:17">
      <c r="B2012" t="s">
        <v>3485</v>
      </c>
      <c r="C2012" t="s">
        <v>701</v>
      </c>
      <c r="D2012">
        <v>2.8955129915040202E-3</v>
      </c>
      <c r="E2012" t="s">
        <v>94</v>
      </c>
      <c r="H2012" t="s">
        <v>588</v>
      </c>
      <c r="I2012">
        <v>2.8955129915040202E-3</v>
      </c>
      <c r="J2012">
        <v>1.0247973619913604</v>
      </c>
      <c r="N2012" t="s">
        <v>3486</v>
      </c>
      <c r="O2012" t="s">
        <v>641</v>
      </c>
      <c r="Q2012" t="s">
        <v>1643</v>
      </c>
    </row>
    <row r="2013" spans="2:17">
      <c r="B2013" t="s">
        <v>3485</v>
      </c>
      <c r="C2013" t="s">
        <v>701</v>
      </c>
      <c r="D2013">
        <v>2.8860400131509598E-3</v>
      </c>
      <c r="E2013" t="s">
        <v>94</v>
      </c>
      <c r="H2013" t="s">
        <v>588</v>
      </c>
      <c r="I2013">
        <v>2.8860400131509598E-3</v>
      </c>
      <c r="J2013">
        <v>1.0247973619913604</v>
      </c>
      <c r="N2013" t="s">
        <v>3486</v>
      </c>
      <c r="O2013" t="s">
        <v>641</v>
      </c>
      <c r="Q2013" t="s">
        <v>1643</v>
      </c>
    </row>
    <row r="2014" spans="2:17">
      <c r="B2014" t="s">
        <v>1346</v>
      </c>
      <c r="C2014" t="s">
        <v>701</v>
      </c>
      <c r="D2014">
        <v>9.7839533948580892E-6</v>
      </c>
      <c r="E2014" t="s">
        <v>94</v>
      </c>
      <c r="H2014" t="s">
        <v>588</v>
      </c>
      <c r="I2014">
        <v>9.7839533948580892E-6</v>
      </c>
      <c r="J2014">
        <v>1.0247973619913604</v>
      </c>
      <c r="N2014" t="s">
        <v>1347</v>
      </c>
      <c r="O2014" t="s">
        <v>1173</v>
      </c>
      <c r="Q2014" t="s">
        <v>1233</v>
      </c>
    </row>
    <row r="2015" spans="2:17">
      <c r="B2015" t="s">
        <v>1348</v>
      </c>
      <c r="C2015" t="s">
        <v>701</v>
      </c>
      <c r="D2015">
        <v>3.8549106500436399E-4</v>
      </c>
      <c r="E2015" t="s">
        <v>94</v>
      </c>
      <c r="H2015" t="s">
        <v>588</v>
      </c>
      <c r="I2015">
        <v>3.8549106500436399E-4</v>
      </c>
      <c r="J2015">
        <v>1.151909910168909</v>
      </c>
      <c r="N2015" t="s">
        <v>1349</v>
      </c>
      <c r="O2015" t="s">
        <v>2794</v>
      </c>
      <c r="Q2015" t="s">
        <v>595</v>
      </c>
    </row>
    <row r="2016" spans="2:17">
      <c r="B2016" t="s">
        <v>3487</v>
      </c>
      <c r="C2016" t="s">
        <v>1249</v>
      </c>
      <c r="D2016">
        <v>2.9565182797612099E-3</v>
      </c>
      <c r="E2016" t="s">
        <v>94</v>
      </c>
      <c r="H2016" t="s">
        <v>588</v>
      </c>
      <c r="I2016">
        <v>2.9565182797612099E-3</v>
      </c>
      <c r="J2016">
        <v>1.9993463917594185</v>
      </c>
      <c r="N2016" t="s">
        <v>3488</v>
      </c>
      <c r="O2016" t="s">
        <v>1082</v>
      </c>
      <c r="Q2016" t="s">
        <v>595</v>
      </c>
    </row>
    <row r="2017" spans="2:17">
      <c r="B2017" t="s">
        <v>3489</v>
      </c>
      <c r="C2017" t="s">
        <v>701</v>
      </c>
      <c r="D2017">
        <v>5.3132486740077103E-5</v>
      </c>
      <c r="E2017" t="s">
        <v>94</v>
      </c>
      <c r="H2017" t="s">
        <v>588</v>
      </c>
      <c r="I2017">
        <v>5.3132486740077103E-5</v>
      </c>
      <c r="J2017">
        <v>1.499999999999694</v>
      </c>
      <c r="N2017" t="s">
        <v>3490</v>
      </c>
      <c r="O2017" t="s">
        <v>952</v>
      </c>
      <c r="Q2017" t="s">
        <v>3480</v>
      </c>
    </row>
    <row r="2018" spans="2:17">
      <c r="B2018" t="s">
        <v>3491</v>
      </c>
      <c r="C2018" t="s">
        <v>701</v>
      </c>
      <c r="D2018">
        <v>2.11668324665411E-7</v>
      </c>
      <c r="E2018" t="s">
        <v>94</v>
      </c>
      <c r="H2018" t="s">
        <v>588</v>
      </c>
      <c r="I2018">
        <v>2.11668324665411E-7</v>
      </c>
      <c r="J2018">
        <v>1.1051709180756477</v>
      </c>
      <c r="N2018" t="s">
        <v>3492</v>
      </c>
      <c r="O2018" t="s">
        <v>1675</v>
      </c>
      <c r="Q2018" t="s">
        <v>595</v>
      </c>
    </row>
    <row r="2019" spans="2:17">
      <c r="B2019" t="s">
        <v>3493</v>
      </c>
      <c r="C2019" t="s">
        <v>701</v>
      </c>
      <c r="D2019">
        <v>1.04204363668964E-4</v>
      </c>
      <c r="E2019" t="s">
        <v>94</v>
      </c>
      <c r="H2019" t="s">
        <v>588</v>
      </c>
      <c r="I2019">
        <v>1.04204363668964E-4</v>
      </c>
      <c r="J2019">
        <v>1.151909910168909</v>
      </c>
      <c r="N2019" t="s">
        <v>3494</v>
      </c>
      <c r="O2019" t="s">
        <v>867</v>
      </c>
      <c r="Q2019" t="s">
        <v>3358</v>
      </c>
    </row>
    <row r="2020" spans="2:17">
      <c r="B2020" t="s">
        <v>1351</v>
      </c>
      <c r="C2020" t="s">
        <v>701</v>
      </c>
      <c r="D2020">
        <v>2.7092540764636598E-4</v>
      </c>
      <c r="E2020" t="s">
        <v>94</v>
      </c>
      <c r="H2020" t="s">
        <v>588</v>
      </c>
      <c r="I2020">
        <v>2.7092540764636598E-4</v>
      </c>
      <c r="J2020">
        <v>1.1051709180756477</v>
      </c>
      <c r="N2020" t="s">
        <v>1352</v>
      </c>
      <c r="O2020" t="s">
        <v>1675</v>
      </c>
      <c r="Q2020" t="s">
        <v>2047</v>
      </c>
    </row>
    <row r="2021" spans="2:17">
      <c r="B2021" t="s">
        <v>3495</v>
      </c>
      <c r="C2021" t="s">
        <v>1138</v>
      </c>
      <c r="D2021">
        <v>1.48622211381676E-5</v>
      </c>
      <c r="E2021" t="s">
        <v>94</v>
      </c>
      <c r="H2021" t="s">
        <v>588</v>
      </c>
      <c r="I2021">
        <v>1.48622211381676E-5</v>
      </c>
      <c r="J2021">
        <v>1.0247973619913604</v>
      </c>
      <c r="N2021" t="s">
        <v>3496</v>
      </c>
      <c r="O2021" t="s">
        <v>1951</v>
      </c>
      <c r="Q2021" t="s">
        <v>3065</v>
      </c>
    </row>
    <row r="2022" spans="2:17">
      <c r="B2022" t="s">
        <v>1353</v>
      </c>
      <c r="C2022" t="s">
        <v>701</v>
      </c>
      <c r="D2022">
        <v>2.2883103168762701E-5</v>
      </c>
      <c r="E2022" t="s">
        <v>94</v>
      </c>
      <c r="H2022" t="s">
        <v>588</v>
      </c>
      <c r="I2022">
        <v>2.2883103168762701E-5</v>
      </c>
      <c r="J2022">
        <v>1.1051709180756477</v>
      </c>
      <c r="N2022" t="s">
        <v>1354</v>
      </c>
      <c r="O2022" t="s">
        <v>3497</v>
      </c>
      <c r="Q2022" t="s">
        <v>3498</v>
      </c>
    </row>
    <row r="2023" spans="2:17">
      <c r="B2023" t="s">
        <v>1353</v>
      </c>
      <c r="C2023" t="s">
        <v>701</v>
      </c>
      <c r="D2023">
        <v>3.9270737824502497E-6</v>
      </c>
      <c r="E2023" t="s">
        <v>94</v>
      </c>
      <c r="H2023" t="s">
        <v>588</v>
      </c>
      <c r="I2023">
        <v>3.9270737824502497E-6</v>
      </c>
      <c r="J2023">
        <v>1.1051709180756477</v>
      </c>
      <c r="N2023" t="s">
        <v>1354</v>
      </c>
      <c r="O2023" t="s">
        <v>1731</v>
      </c>
      <c r="Q2023" t="s">
        <v>3498</v>
      </c>
    </row>
    <row r="2024" spans="2:17">
      <c r="B2024" t="s">
        <v>3499</v>
      </c>
      <c r="C2024" t="s">
        <v>701</v>
      </c>
      <c r="D2024">
        <v>1.3867710764225801E-4</v>
      </c>
      <c r="E2024" t="s">
        <v>94</v>
      </c>
      <c r="H2024" t="s">
        <v>588</v>
      </c>
      <c r="I2024">
        <v>1.3867710764225801E-4</v>
      </c>
      <c r="J2024">
        <v>1</v>
      </c>
      <c r="N2024" t="s">
        <v>3500</v>
      </c>
      <c r="O2024" t="s">
        <v>1157</v>
      </c>
      <c r="Q2024" t="s">
        <v>1924</v>
      </c>
    </row>
    <row r="2025" spans="2:17">
      <c r="B2025" t="s">
        <v>3499</v>
      </c>
      <c r="C2025" t="s">
        <v>701</v>
      </c>
      <c r="D2025">
        <v>1.04035799943478E-4</v>
      </c>
      <c r="E2025" t="s">
        <v>94</v>
      </c>
      <c r="H2025" t="s">
        <v>588</v>
      </c>
      <c r="I2025">
        <v>1.04035799943478E-4</v>
      </c>
      <c r="J2025">
        <v>1</v>
      </c>
      <c r="N2025" t="s">
        <v>3500</v>
      </c>
      <c r="O2025" t="s">
        <v>1157</v>
      </c>
      <c r="Q2025" t="s">
        <v>1924</v>
      </c>
    </row>
    <row r="2026" spans="2:17">
      <c r="B2026" t="s">
        <v>1355</v>
      </c>
      <c r="C2026" t="s">
        <v>701</v>
      </c>
      <c r="D2026">
        <v>2.8483665790274298E-4</v>
      </c>
      <c r="E2026" t="s">
        <v>94</v>
      </c>
      <c r="H2026" t="s">
        <v>588</v>
      </c>
      <c r="I2026">
        <v>2.8483665790274298E-4</v>
      </c>
      <c r="J2026">
        <v>1.0247973619913604</v>
      </c>
      <c r="N2026" t="s">
        <v>1356</v>
      </c>
      <c r="O2026" t="s">
        <v>2220</v>
      </c>
      <c r="Q2026" t="s">
        <v>3501</v>
      </c>
    </row>
    <row r="2027" spans="2:17">
      <c r="B2027" t="s">
        <v>3502</v>
      </c>
      <c r="C2027" t="s">
        <v>701</v>
      </c>
      <c r="D2027">
        <v>2.6032261393452799E-5</v>
      </c>
      <c r="E2027" t="s">
        <v>94</v>
      </c>
      <c r="H2027" t="s">
        <v>588</v>
      </c>
      <c r="I2027">
        <v>2.6032261393452799E-5</v>
      </c>
      <c r="J2027">
        <v>1.151909910168909</v>
      </c>
      <c r="N2027" t="s">
        <v>3503</v>
      </c>
      <c r="O2027" t="s">
        <v>2794</v>
      </c>
      <c r="Q2027" t="s">
        <v>595</v>
      </c>
    </row>
    <row r="2028" spans="2:17">
      <c r="B2028" t="s">
        <v>1358</v>
      </c>
      <c r="C2028" t="s">
        <v>701</v>
      </c>
      <c r="D2028">
        <v>4.43756162250426E-4</v>
      </c>
      <c r="E2028" t="s">
        <v>94</v>
      </c>
      <c r="H2028" t="s">
        <v>588</v>
      </c>
      <c r="I2028">
        <v>4.43756162250426E-4</v>
      </c>
      <c r="J2028">
        <v>1.151909910168909</v>
      </c>
      <c r="N2028" t="s">
        <v>1359</v>
      </c>
      <c r="O2028" t="s">
        <v>2794</v>
      </c>
      <c r="Q2028" t="s">
        <v>595</v>
      </c>
    </row>
    <row r="2029" spans="2:17">
      <c r="B2029" t="s">
        <v>3504</v>
      </c>
      <c r="C2029" t="s">
        <v>701</v>
      </c>
      <c r="D2029">
        <v>4.4976357534625398E-4</v>
      </c>
      <c r="E2029" t="s">
        <v>94</v>
      </c>
      <c r="H2029" t="s">
        <v>588</v>
      </c>
      <c r="I2029">
        <v>4.4976357534625398E-4</v>
      </c>
      <c r="J2029">
        <v>1.499999999999694</v>
      </c>
      <c r="N2029" t="s">
        <v>3505</v>
      </c>
      <c r="O2029" t="s">
        <v>952</v>
      </c>
      <c r="Q2029" t="s">
        <v>3506</v>
      </c>
    </row>
    <row r="2030" spans="2:17">
      <c r="B2030" t="s">
        <v>3507</v>
      </c>
      <c r="C2030" t="s">
        <v>1249</v>
      </c>
      <c r="D2030">
        <v>4.1871513700016999E-6</v>
      </c>
      <c r="E2030" t="s">
        <v>94</v>
      </c>
      <c r="H2030" t="s">
        <v>588</v>
      </c>
      <c r="I2030">
        <v>4.1871513700016999E-6</v>
      </c>
      <c r="J2030">
        <v>1</v>
      </c>
      <c r="N2030" t="s">
        <v>3508</v>
      </c>
      <c r="O2030" t="s">
        <v>1918</v>
      </c>
      <c r="Q2030" t="s">
        <v>3509</v>
      </c>
    </row>
    <row r="2031" spans="2:17">
      <c r="B2031" t="s">
        <v>3510</v>
      </c>
      <c r="C2031" t="s">
        <v>701</v>
      </c>
      <c r="D2031">
        <v>4.3354064107763001E-5</v>
      </c>
      <c r="E2031" t="s">
        <v>94</v>
      </c>
      <c r="H2031" t="s">
        <v>588</v>
      </c>
      <c r="I2031">
        <v>4.3354064107763001E-5</v>
      </c>
      <c r="J2031">
        <v>1</v>
      </c>
      <c r="N2031" t="s">
        <v>3511</v>
      </c>
      <c r="O2031" t="s">
        <v>1157</v>
      </c>
      <c r="Q2031" t="s">
        <v>1924</v>
      </c>
    </row>
    <row r="2032" spans="2:17">
      <c r="B2032" t="s">
        <v>3510</v>
      </c>
      <c r="C2032" t="s">
        <v>701</v>
      </c>
      <c r="D2032">
        <v>8.6828123276448799E-5</v>
      </c>
      <c r="E2032" t="s">
        <v>94</v>
      </c>
      <c r="H2032" t="s">
        <v>588</v>
      </c>
      <c r="I2032">
        <v>8.6828123276448799E-5</v>
      </c>
      <c r="J2032">
        <v>1</v>
      </c>
      <c r="N2032" t="s">
        <v>3511</v>
      </c>
      <c r="O2032" t="s">
        <v>1157</v>
      </c>
      <c r="Q2032" t="s">
        <v>1924</v>
      </c>
    </row>
    <row r="2033" spans="2:17">
      <c r="B2033" t="s">
        <v>3512</v>
      </c>
      <c r="C2033" t="s">
        <v>569</v>
      </c>
      <c r="D2033">
        <v>1.1942567326050499E-5</v>
      </c>
      <c r="E2033" t="s">
        <v>94</v>
      </c>
      <c r="H2033" t="s">
        <v>588</v>
      </c>
      <c r="I2033">
        <v>1.1942567326050499E-5</v>
      </c>
      <c r="J2033">
        <v>1.1051709180756477</v>
      </c>
      <c r="N2033" t="s">
        <v>3513</v>
      </c>
      <c r="O2033" t="s">
        <v>921</v>
      </c>
      <c r="Q2033" t="s">
        <v>595</v>
      </c>
    </row>
    <row r="2034" spans="2:17">
      <c r="B2034" t="s">
        <v>3514</v>
      </c>
      <c r="C2034" t="s">
        <v>2890</v>
      </c>
      <c r="D2034">
        <v>1.1319041699261001E-5</v>
      </c>
      <c r="E2034" t="s">
        <v>94</v>
      </c>
      <c r="H2034" t="s">
        <v>588</v>
      </c>
      <c r="I2034">
        <v>1.1319041699261001E-5</v>
      </c>
      <c r="J2034">
        <v>1.074399999999982</v>
      </c>
      <c r="N2034" t="s">
        <v>3515</v>
      </c>
      <c r="O2034" t="s">
        <v>1435</v>
      </c>
      <c r="Q2034" t="s">
        <v>1886</v>
      </c>
    </row>
    <row r="2035" spans="2:17">
      <c r="B2035" t="s">
        <v>3516</v>
      </c>
      <c r="C2035" t="s">
        <v>853</v>
      </c>
      <c r="D2035">
        <v>1.61666361962408E-2</v>
      </c>
      <c r="E2035" t="s">
        <v>94</v>
      </c>
      <c r="H2035" t="s">
        <v>588</v>
      </c>
      <c r="I2035">
        <v>1.61666361962408E-2</v>
      </c>
      <c r="J2035">
        <v>1.0247973619913604</v>
      </c>
      <c r="N2035" t="s">
        <v>3517</v>
      </c>
      <c r="O2035" t="s">
        <v>841</v>
      </c>
      <c r="Q2035" t="s">
        <v>842</v>
      </c>
    </row>
    <row r="2036" spans="2:17">
      <c r="B2036" t="s">
        <v>3518</v>
      </c>
      <c r="C2036" t="s">
        <v>673</v>
      </c>
      <c r="D2036">
        <v>3.4929780157755101E-4</v>
      </c>
      <c r="E2036" t="s">
        <v>94</v>
      </c>
      <c r="H2036" t="s">
        <v>588</v>
      </c>
      <c r="I2036">
        <v>3.4929780157755101E-4</v>
      </c>
      <c r="J2036">
        <v>1.1891099436471448</v>
      </c>
      <c r="N2036" t="s">
        <v>3519</v>
      </c>
      <c r="O2036" t="s">
        <v>798</v>
      </c>
      <c r="Q2036" t="s">
        <v>811</v>
      </c>
    </row>
    <row r="2037" spans="2:17">
      <c r="B2037" t="s">
        <v>3520</v>
      </c>
      <c r="C2037" t="s">
        <v>809</v>
      </c>
      <c r="D2037">
        <v>6.6086505354861699E-4</v>
      </c>
      <c r="E2037" t="s">
        <v>94</v>
      </c>
      <c r="H2037" t="s">
        <v>588</v>
      </c>
      <c r="I2037">
        <v>6.6086505354861699E-4</v>
      </c>
      <c r="J2037">
        <v>1.4049000000004648</v>
      </c>
      <c r="N2037" t="s">
        <v>3521</v>
      </c>
      <c r="O2037" t="s">
        <v>1758</v>
      </c>
      <c r="Q2037" t="s">
        <v>3522</v>
      </c>
    </row>
    <row r="2038" spans="2:17">
      <c r="B2038" t="s">
        <v>3520</v>
      </c>
      <c r="C2038" t="s">
        <v>809</v>
      </c>
      <c r="D2038">
        <v>1.6914207515800401E-4</v>
      </c>
      <c r="E2038" t="s">
        <v>94</v>
      </c>
      <c r="H2038" t="s">
        <v>588</v>
      </c>
      <c r="I2038">
        <v>1.6914207515800401E-4</v>
      </c>
      <c r="J2038">
        <v>1</v>
      </c>
      <c r="N2038" t="s">
        <v>3521</v>
      </c>
      <c r="O2038" t="s">
        <v>1756</v>
      </c>
      <c r="Q2038" t="s">
        <v>3523</v>
      </c>
    </row>
    <row r="2039" spans="2:17">
      <c r="B2039" t="s">
        <v>1360</v>
      </c>
      <c r="C2039" t="s">
        <v>673</v>
      </c>
      <c r="D2039">
        <v>1.13239294249239E-6</v>
      </c>
      <c r="E2039" t="s">
        <v>94</v>
      </c>
      <c r="H2039" t="s">
        <v>588</v>
      </c>
      <c r="I2039">
        <v>1.13239294249239E-6</v>
      </c>
      <c r="J2039">
        <v>1.0247973619913604</v>
      </c>
      <c r="N2039" t="s">
        <v>1361</v>
      </c>
      <c r="O2039" t="s">
        <v>2272</v>
      </c>
      <c r="Q2039" t="s">
        <v>2277</v>
      </c>
    </row>
    <row r="2040" spans="2:17">
      <c r="B2040" t="s">
        <v>3524</v>
      </c>
      <c r="C2040" t="s">
        <v>809</v>
      </c>
      <c r="D2040">
        <v>7.1559131294806702E-5</v>
      </c>
      <c r="E2040" t="s">
        <v>94</v>
      </c>
      <c r="H2040" t="s">
        <v>588</v>
      </c>
      <c r="I2040">
        <v>7.1559131294806702E-5</v>
      </c>
      <c r="J2040">
        <v>1.1051709180756477</v>
      </c>
      <c r="N2040" t="s">
        <v>3525</v>
      </c>
      <c r="O2040" t="s">
        <v>1054</v>
      </c>
      <c r="Q2040" t="s">
        <v>3526</v>
      </c>
    </row>
    <row r="2041" spans="2:17">
      <c r="B2041" t="s">
        <v>3524</v>
      </c>
      <c r="C2041" t="s">
        <v>809</v>
      </c>
      <c r="D2041">
        <v>2.14361543465258E-6</v>
      </c>
      <c r="E2041" t="s">
        <v>94</v>
      </c>
      <c r="H2041" t="s">
        <v>588</v>
      </c>
      <c r="I2041">
        <v>2.14361543465258E-6</v>
      </c>
      <c r="J2041">
        <v>1.1051709180756477</v>
      </c>
      <c r="N2041" t="s">
        <v>3525</v>
      </c>
      <c r="O2041" t="s">
        <v>1054</v>
      </c>
      <c r="Q2041" t="s">
        <v>3526</v>
      </c>
    </row>
    <row r="2042" spans="2:17">
      <c r="B2042" t="s">
        <v>3524</v>
      </c>
      <c r="C2042" t="s">
        <v>809</v>
      </c>
      <c r="D2042">
        <v>1.5445259591299201E-4</v>
      </c>
      <c r="E2042" t="s">
        <v>94</v>
      </c>
      <c r="H2042" t="s">
        <v>588</v>
      </c>
      <c r="I2042">
        <v>1.5445259591299201E-4</v>
      </c>
      <c r="J2042">
        <v>1.1051709180756477</v>
      </c>
      <c r="N2042" t="s">
        <v>3525</v>
      </c>
      <c r="O2042" t="s">
        <v>1054</v>
      </c>
      <c r="Q2042" t="s">
        <v>3526</v>
      </c>
    </row>
    <row r="2043" spans="2:17">
      <c r="B2043" t="s">
        <v>3524</v>
      </c>
      <c r="C2043" t="s">
        <v>809</v>
      </c>
      <c r="D2043">
        <v>7.3665710556632596E-5</v>
      </c>
      <c r="E2043" t="s">
        <v>94</v>
      </c>
      <c r="H2043" t="s">
        <v>588</v>
      </c>
      <c r="I2043">
        <v>7.3665710556632596E-5</v>
      </c>
      <c r="J2043">
        <v>1.1051709180756477</v>
      </c>
      <c r="N2043" t="s">
        <v>3525</v>
      </c>
      <c r="O2043" t="s">
        <v>1054</v>
      </c>
      <c r="Q2043" t="s">
        <v>3526</v>
      </c>
    </row>
    <row r="2044" spans="2:17">
      <c r="B2044" t="s">
        <v>1363</v>
      </c>
      <c r="C2044" t="s">
        <v>673</v>
      </c>
      <c r="D2044">
        <v>1.22447554802937E-8</v>
      </c>
      <c r="E2044" t="s">
        <v>94</v>
      </c>
      <c r="H2044" t="s">
        <v>588</v>
      </c>
      <c r="I2044">
        <v>1.22447554802937E-8</v>
      </c>
      <c r="J2044">
        <v>1.0247973619913604</v>
      </c>
      <c r="N2044" t="s">
        <v>1364</v>
      </c>
      <c r="O2044" t="s">
        <v>641</v>
      </c>
      <c r="Q2044" t="s">
        <v>1672</v>
      </c>
    </row>
    <row r="2045" spans="2:17">
      <c r="B2045" t="s">
        <v>3527</v>
      </c>
      <c r="C2045" t="s">
        <v>809</v>
      </c>
      <c r="D2045">
        <v>1.4793122949983701E-4</v>
      </c>
      <c r="E2045" t="s">
        <v>94</v>
      </c>
      <c r="H2045" t="s">
        <v>588</v>
      </c>
      <c r="I2045">
        <v>1.4793122949983701E-4</v>
      </c>
      <c r="J2045">
        <v>1</v>
      </c>
      <c r="N2045" t="s">
        <v>3528</v>
      </c>
      <c r="O2045" t="s">
        <v>1756</v>
      </c>
      <c r="Q2045" t="s">
        <v>3529</v>
      </c>
    </row>
    <row r="2046" spans="2:17">
      <c r="B2046" t="s">
        <v>3527</v>
      </c>
      <c r="C2046" t="s">
        <v>809</v>
      </c>
      <c r="D2046">
        <v>2.0987405989694599E-4</v>
      </c>
      <c r="E2046" t="s">
        <v>94</v>
      </c>
      <c r="H2046" t="s">
        <v>588</v>
      </c>
      <c r="I2046">
        <v>2.0987405989694599E-4</v>
      </c>
      <c r="J2046">
        <v>1.4049000000004648</v>
      </c>
      <c r="N2046" t="s">
        <v>3528</v>
      </c>
      <c r="O2046" t="s">
        <v>1435</v>
      </c>
      <c r="Q2046" t="s">
        <v>3530</v>
      </c>
    </row>
    <row r="2047" spans="2:17">
      <c r="B2047" t="s">
        <v>3531</v>
      </c>
      <c r="C2047" t="s">
        <v>587</v>
      </c>
      <c r="D2047">
        <v>6.5081444860660197E-6</v>
      </c>
      <c r="E2047" t="s">
        <v>94</v>
      </c>
      <c r="H2047" t="s">
        <v>588</v>
      </c>
      <c r="I2047">
        <v>6.5081444860660197E-6</v>
      </c>
      <c r="J2047">
        <v>1.0247973619913604</v>
      </c>
      <c r="O2047" t="s">
        <v>641</v>
      </c>
      <c r="Q2047" t="s">
        <v>1643</v>
      </c>
    </row>
    <row r="2048" spans="2:17">
      <c r="B2048" t="s">
        <v>3532</v>
      </c>
      <c r="C2048" t="s">
        <v>1830</v>
      </c>
      <c r="D2048">
        <v>6.6989863197096304E-6</v>
      </c>
      <c r="E2048" t="s">
        <v>94</v>
      </c>
      <c r="N2048" t="s">
        <v>3533</v>
      </c>
    </row>
    <row r="2049" spans="2:17">
      <c r="B2049" t="s">
        <v>3532</v>
      </c>
      <c r="C2049" t="s">
        <v>1830</v>
      </c>
      <c r="D2049">
        <v>3.7589145451412501E-4</v>
      </c>
      <c r="E2049" t="s">
        <v>94</v>
      </c>
      <c r="N2049" t="s">
        <v>3533</v>
      </c>
    </row>
    <row r="2050" spans="2:17">
      <c r="B2050" t="s">
        <v>3532</v>
      </c>
      <c r="C2050" t="s">
        <v>1830</v>
      </c>
      <c r="D2050">
        <v>2.5170335437607703E-4</v>
      </c>
      <c r="E2050" t="s">
        <v>94</v>
      </c>
      <c r="N2050" t="s">
        <v>3533</v>
      </c>
    </row>
    <row r="2051" spans="2:17">
      <c r="B2051" t="s">
        <v>3532</v>
      </c>
      <c r="C2051" t="s">
        <v>1830</v>
      </c>
      <c r="D2051">
        <v>5.0821229886944196E-4</v>
      </c>
      <c r="E2051" t="s">
        <v>94</v>
      </c>
      <c r="N2051" t="s">
        <v>3533</v>
      </c>
    </row>
    <row r="2052" spans="2:17">
      <c r="B2052" t="s">
        <v>3532</v>
      </c>
      <c r="C2052" t="s">
        <v>1830</v>
      </c>
      <c r="D2052">
        <v>1.1032877272397E-3</v>
      </c>
      <c r="E2052" t="s">
        <v>94</v>
      </c>
      <c r="N2052" t="s">
        <v>3533</v>
      </c>
    </row>
    <row r="2053" spans="2:17">
      <c r="B2053" t="s">
        <v>3532</v>
      </c>
      <c r="C2053" t="s">
        <v>1830</v>
      </c>
      <c r="D2053">
        <v>2.25265293706678E-3</v>
      </c>
      <c r="E2053" t="s">
        <v>94</v>
      </c>
      <c r="N2053" t="s">
        <v>3533</v>
      </c>
    </row>
    <row r="2054" spans="2:17">
      <c r="B2054" t="s">
        <v>3532</v>
      </c>
      <c r="C2054" t="s">
        <v>1830</v>
      </c>
      <c r="D2054">
        <v>2.8192819431741798E-4</v>
      </c>
      <c r="E2054" t="s">
        <v>94</v>
      </c>
      <c r="N2054" t="s">
        <v>3533</v>
      </c>
    </row>
    <row r="2055" spans="2:17">
      <c r="B2055" t="s">
        <v>3532</v>
      </c>
      <c r="C2055" t="s">
        <v>1830</v>
      </c>
      <c r="D2055">
        <v>5.7364499432438997E-4</v>
      </c>
      <c r="E2055" t="s">
        <v>94</v>
      </c>
      <c r="H2055" t="s">
        <v>588</v>
      </c>
      <c r="I2055">
        <v>5.7364499432438997E-4</v>
      </c>
      <c r="J2055">
        <v>1.0247973619913604</v>
      </c>
      <c r="N2055" t="s">
        <v>3534</v>
      </c>
      <c r="O2055" t="s">
        <v>1806</v>
      </c>
      <c r="Q2055" t="s">
        <v>1728</v>
      </c>
    </row>
    <row r="2056" spans="2:17">
      <c r="B2056" t="s">
        <v>3535</v>
      </c>
      <c r="C2056" t="s">
        <v>1810</v>
      </c>
      <c r="D2056">
        <v>5.3089086526849502E-7</v>
      </c>
      <c r="E2056" t="s">
        <v>1811</v>
      </c>
      <c r="H2056" t="s">
        <v>588</v>
      </c>
      <c r="I2056">
        <v>5.3089086526849502E-7</v>
      </c>
      <c r="J2056">
        <v>1.0247973619913604</v>
      </c>
      <c r="N2056" t="s">
        <v>3536</v>
      </c>
      <c r="O2056" t="s">
        <v>1756</v>
      </c>
      <c r="Q2056" t="s">
        <v>3537</v>
      </c>
    </row>
    <row r="2057" spans="2:17">
      <c r="B2057" t="s">
        <v>3538</v>
      </c>
      <c r="C2057" t="s">
        <v>2682</v>
      </c>
      <c r="D2057">
        <v>4.4483968227178501E-4</v>
      </c>
      <c r="E2057" t="s">
        <v>94</v>
      </c>
      <c r="H2057" t="s">
        <v>588</v>
      </c>
      <c r="I2057">
        <v>4.4483968227178501E-4</v>
      </c>
      <c r="J2057">
        <v>1.1712995782321958</v>
      </c>
      <c r="N2057" t="s">
        <v>3539</v>
      </c>
      <c r="O2057" t="s">
        <v>2387</v>
      </c>
      <c r="Q2057" t="s">
        <v>3540</v>
      </c>
    </row>
    <row r="2058" spans="2:17">
      <c r="B2058" t="s">
        <v>3541</v>
      </c>
      <c r="C2058" t="s">
        <v>787</v>
      </c>
      <c r="D2058">
        <v>3.8452449355376803E-4</v>
      </c>
      <c r="E2058" t="s">
        <v>94</v>
      </c>
      <c r="H2058" t="s">
        <v>588</v>
      </c>
      <c r="I2058">
        <v>3.8452449355376803E-4</v>
      </c>
      <c r="J2058">
        <v>1.4049000000004648</v>
      </c>
      <c r="N2058" t="s">
        <v>3542</v>
      </c>
      <c r="O2058" t="s">
        <v>1758</v>
      </c>
      <c r="Q2058" t="s">
        <v>3543</v>
      </c>
    </row>
    <row r="2059" spans="2:17">
      <c r="B2059" t="s">
        <v>3544</v>
      </c>
      <c r="C2059" t="s">
        <v>1417</v>
      </c>
      <c r="D2059">
        <v>4.2333730807699798E-6</v>
      </c>
      <c r="E2059" t="s">
        <v>626</v>
      </c>
      <c r="H2059" t="s">
        <v>588</v>
      </c>
      <c r="I2059">
        <v>4.2333730807699798E-6</v>
      </c>
      <c r="J2059">
        <v>1.1051709180756477</v>
      </c>
      <c r="N2059" t="s">
        <v>3545</v>
      </c>
      <c r="O2059" t="s">
        <v>798</v>
      </c>
      <c r="Q2059" t="s">
        <v>3546</v>
      </c>
    </row>
    <row r="2060" spans="2:17">
      <c r="B2060" t="s">
        <v>3544</v>
      </c>
      <c r="C2060" t="s">
        <v>1417</v>
      </c>
      <c r="D2060">
        <v>5.77857030294805E-5</v>
      </c>
      <c r="E2060" t="s">
        <v>626</v>
      </c>
      <c r="H2060" t="s">
        <v>588</v>
      </c>
      <c r="I2060">
        <v>5.77857030294805E-5</v>
      </c>
      <c r="J2060">
        <v>1.2214027581601699</v>
      </c>
      <c r="N2060" t="s">
        <v>3547</v>
      </c>
      <c r="O2060" t="s">
        <v>3548</v>
      </c>
      <c r="Q2060" t="s">
        <v>595</v>
      </c>
    </row>
    <row r="2061" spans="2:17">
      <c r="B2061" t="s">
        <v>3549</v>
      </c>
      <c r="C2061" t="s">
        <v>1417</v>
      </c>
      <c r="D2061">
        <v>5.6679279963148497E-6</v>
      </c>
      <c r="E2061" t="s">
        <v>626</v>
      </c>
      <c r="H2061" t="s">
        <v>588</v>
      </c>
      <c r="I2061">
        <v>5.6679279963148497E-6</v>
      </c>
      <c r="J2061">
        <v>1.1051709180756477</v>
      </c>
      <c r="N2061" t="s">
        <v>3550</v>
      </c>
      <c r="O2061" t="s">
        <v>1632</v>
      </c>
      <c r="Q2061" t="s">
        <v>595</v>
      </c>
    </row>
    <row r="2062" spans="2:17">
      <c r="B2062" t="s">
        <v>3549</v>
      </c>
      <c r="C2062" t="s">
        <v>1417</v>
      </c>
      <c r="D2062">
        <v>4.6420402841116396E-6</v>
      </c>
      <c r="E2062" t="s">
        <v>626</v>
      </c>
      <c r="H2062" t="s">
        <v>588</v>
      </c>
      <c r="I2062">
        <v>4.6420402841116396E-6</v>
      </c>
      <c r="J2062">
        <v>1.1051709180756477</v>
      </c>
      <c r="N2062" t="s">
        <v>3551</v>
      </c>
      <c r="O2062" t="s">
        <v>1675</v>
      </c>
      <c r="Q2062" t="s">
        <v>695</v>
      </c>
    </row>
    <row r="2063" spans="2:17">
      <c r="B2063" t="s">
        <v>3552</v>
      </c>
      <c r="C2063" t="s">
        <v>1489</v>
      </c>
      <c r="D2063">
        <v>1.1546045149142101E-6</v>
      </c>
      <c r="E2063" t="s">
        <v>616</v>
      </c>
      <c r="H2063" t="s">
        <v>588</v>
      </c>
      <c r="I2063">
        <v>1.1546045149142101E-6</v>
      </c>
      <c r="J2063">
        <v>1.0805386501323246</v>
      </c>
      <c r="N2063" t="s">
        <v>3553</v>
      </c>
      <c r="O2063" t="s">
        <v>1665</v>
      </c>
      <c r="Q2063" t="s">
        <v>3554</v>
      </c>
    </row>
    <row r="2064" spans="2:17">
      <c r="B2064" t="s">
        <v>3555</v>
      </c>
      <c r="C2064" t="s">
        <v>1489</v>
      </c>
      <c r="D2064">
        <v>3.64646437436066E-5</v>
      </c>
      <c r="E2064" t="s">
        <v>616</v>
      </c>
      <c r="H2064" t="s">
        <v>588</v>
      </c>
      <c r="I2064">
        <v>3.64646437436066E-5</v>
      </c>
      <c r="J2064">
        <v>1.0247973619913604</v>
      </c>
      <c r="N2064" t="s">
        <v>3556</v>
      </c>
      <c r="O2064" t="s">
        <v>1914</v>
      </c>
      <c r="Q2064" t="s">
        <v>3557</v>
      </c>
    </row>
    <row r="2065" spans="2:17">
      <c r="B2065" t="s">
        <v>3558</v>
      </c>
      <c r="C2065" t="s">
        <v>1489</v>
      </c>
      <c r="D2065">
        <v>3.4551386032544102E-7</v>
      </c>
      <c r="E2065" t="s">
        <v>94</v>
      </c>
      <c r="H2065" t="s">
        <v>588</v>
      </c>
      <c r="I2065">
        <v>3.4551386032544102E-7</v>
      </c>
      <c r="J2065">
        <v>1.0247973619913604</v>
      </c>
      <c r="N2065" t="s">
        <v>3559</v>
      </c>
      <c r="O2065" t="s">
        <v>1150</v>
      </c>
      <c r="Q2065" t="s">
        <v>2096</v>
      </c>
    </row>
    <row r="2066" spans="2:17">
      <c r="B2066" t="s">
        <v>3560</v>
      </c>
      <c r="C2066" t="s">
        <v>1489</v>
      </c>
      <c r="D2066">
        <v>2.57958802857279E-6</v>
      </c>
      <c r="E2066" t="s">
        <v>616</v>
      </c>
      <c r="H2066" t="s">
        <v>588</v>
      </c>
      <c r="I2066">
        <v>2.57958802857279E-6</v>
      </c>
      <c r="J2066">
        <v>1.151909910168909</v>
      </c>
      <c r="N2066" t="s">
        <v>3561</v>
      </c>
      <c r="O2066" t="s">
        <v>1967</v>
      </c>
      <c r="Q2066" t="s">
        <v>1974</v>
      </c>
    </row>
    <row r="2067" spans="2:17">
      <c r="B2067" t="s">
        <v>1367</v>
      </c>
      <c r="C2067" t="s">
        <v>857</v>
      </c>
      <c r="D2067">
        <v>1.1407172449652201E-13</v>
      </c>
      <c r="E2067" t="s">
        <v>616</v>
      </c>
      <c r="H2067" t="s">
        <v>588</v>
      </c>
      <c r="I2067">
        <v>1.1407172449652201E-13</v>
      </c>
      <c r="J2067">
        <v>1.8523246175090917</v>
      </c>
      <c r="N2067" t="s">
        <v>3562</v>
      </c>
      <c r="O2067" t="s">
        <v>1783</v>
      </c>
      <c r="Q2067" t="s">
        <v>1784</v>
      </c>
    </row>
    <row r="2068" spans="2:17">
      <c r="B2068" t="s">
        <v>3563</v>
      </c>
      <c r="C2068" t="s">
        <v>3564</v>
      </c>
      <c r="D2068">
        <v>4.97291937267146E-7</v>
      </c>
      <c r="E2068" t="s">
        <v>94</v>
      </c>
      <c r="H2068" t="s">
        <v>588</v>
      </c>
      <c r="I2068">
        <v>4.97291937267146E-7</v>
      </c>
      <c r="J2068">
        <v>1.0247973619913604</v>
      </c>
      <c r="N2068" t="s">
        <v>3565</v>
      </c>
      <c r="O2068" t="s">
        <v>1929</v>
      </c>
      <c r="Q2068" t="s">
        <v>2411</v>
      </c>
    </row>
    <row r="2069" spans="2:17">
      <c r="B2069" t="s">
        <v>3566</v>
      </c>
      <c r="C2069" t="s">
        <v>615</v>
      </c>
      <c r="D2069">
        <v>2.2653299651387199E-11</v>
      </c>
      <c r="E2069" t="s">
        <v>616</v>
      </c>
      <c r="H2069" t="s">
        <v>588</v>
      </c>
      <c r="I2069">
        <v>2.2653299651387199E-11</v>
      </c>
      <c r="J2069">
        <v>1.760654165524179</v>
      </c>
      <c r="N2069" t="s">
        <v>3567</v>
      </c>
      <c r="O2069" t="s">
        <v>1967</v>
      </c>
      <c r="Q2069" t="s">
        <v>811</v>
      </c>
    </row>
    <row r="2070" spans="2:17">
      <c r="B2070" t="s">
        <v>3568</v>
      </c>
      <c r="C2070" t="s">
        <v>615</v>
      </c>
      <c r="D2070">
        <v>4.11252348664942E-10</v>
      </c>
      <c r="E2070" t="s">
        <v>616</v>
      </c>
      <c r="H2070" t="s">
        <v>588</v>
      </c>
      <c r="I2070">
        <v>4.11252348664942E-10</v>
      </c>
      <c r="J2070">
        <v>1.760654165524179</v>
      </c>
      <c r="N2070" t="s">
        <v>3569</v>
      </c>
      <c r="O2070" t="s">
        <v>3570</v>
      </c>
      <c r="Q2070" t="s">
        <v>811</v>
      </c>
    </row>
    <row r="2071" spans="2:17">
      <c r="B2071" t="s">
        <v>3571</v>
      </c>
      <c r="C2071" t="s">
        <v>615</v>
      </c>
      <c r="D2071">
        <v>3.42710290554118E-10</v>
      </c>
      <c r="E2071" t="s">
        <v>616</v>
      </c>
      <c r="H2071" t="s">
        <v>588</v>
      </c>
      <c r="I2071">
        <v>3.42710290554118E-10</v>
      </c>
      <c r="J2071">
        <v>1.760654165524179</v>
      </c>
      <c r="N2071" t="s">
        <v>3572</v>
      </c>
      <c r="O2071" t="s">
        <v>3570</v>
      </c>
      <c r="Q2071" t="s">
        <v>3573</v>
      </c>
    </row>
    <row r="2072" spans="2:17">
      <c r="B2072" t="s">
        <v>3574</v>
      </c>
      <c r="C2072" t="s">
        <v>1170</v>
      </c>
      <c r="D2072">
        <v>1.0060393311433899E-8</v>
      </c>
      <c r="E2072" t="s">
        <v>626</v>
      </c>
      <c r="H2072" t="s">
        <v>588</v>
      </c>
      <c r="I2072">
        <v>1.0060393311433899E-8</v>
      </c>
      <c r="J2072">
        <v>1.151909910168909</v>
      </c>
      <c r="N2072" t="s">
        <v>3575</v>
      </c>
      <c r="O2072" t="s">
        <v>1967</v>
      </c>
      <c r="Q2072" t="s">
        <v>3576</v>
      </c>
    </row>
    <row r="2073" spans="2:17">
      <c r="B2073" t="s">
        <v>3577</v>
      </c>
      <c r="C2073" t="s">
        <v>1170</v>
      </c>
      <c r="D2073">
        <v>5.8606243735662299E-7</v>
      </c>
      <c r="E2073" t="s">
        <v>626</v>
      </c>
      <c r="H2073" t="s">
        <v>588</v>
      </c>
      <c r="I2073">
        <v>5.8606243735662299E-7</v>
      </c>
      <c r="J2073">
        <v>1.151909910168909</v>
      </c>
      <c r="N2073" t="s">
        <v>3578</v>
      </c>
      <c r="O2073" t="s">
        <v>1967</v>
      </c>
      <c r="Q2073" t="s">
        <v>3576</v>
      </c>
    </row>
    <row r="2074" spans="2:17">
      <c r="B2074" t="s">
        <v>3579</v>
      </c>
      <c r="C2074" t="s">
        <v>1170</v>
      </c>
      <c r="D2074">
        <v>3.8895028294820501E-7</v>
      </c>
      <c r="E2074" t="s">
        <v>94</v>
      </c>
      <c r="H2074" t="s">
        <v>588</v>
      </c>
      <c r="I2074">
        <v>3.8895028294820501E-7</v>
      </c>
      <c r="J2074">
        <v>1.151909910168909</v>
      </c>
      <c r="N2074" t="s">
        <v>3580</v>
      </c>
      <c r="O2074" t="s">
        <v>1967</v>
      </c>
      <c r="Q2074" t="s">
        <v>1974</v>
      </c>
    </row>
    <row r="2075" spans="2:17">
      <c r="B2075" t="s">
        <v>1374</v>
      </c>
      <c r="C2075" t="s">
        <v>1170</v>
      </c>
      <c r="D2075">
        <v>2.6852052882698001E-7</v>
      </c>
      <c r="E2075" t="s">
        <v>94</v>
      </c>
      <c r="H2075" t="s">
        <v>588</v>
      </c>
      <c r="I2075">
        <v>2.6852052882698001E-7</v>
      </c>
      <c r="J2075">
        <v>1.0247973619913604</v>
      </c>
      <c r="N2075" t="s">
        <v>1375</v>
      </c>
      <c r="O2075" t="s">
        <v>1135</v>
      </c>
      <c r="Q2075" t="s">
        <v>1136</v>
      </c>
    </row>
    <row r="2076" spans="2:17">
      <c r="B2076" t="s">
        <v>3581</v>
      </c>
      <c r="C2076" t="s">
        <v>1170</v>
      </c>
      <c r="D2076">
        <v>2.6134341324009099E-7</v>
      </c>
      <c r="E2076" t="s">
        <v>94</v>
      </c>
      <c r="H2076" t="s">
        <v>588</v>
      </c>
      <c r="I2076">
        <v>2.6134341324009099E-7</v>
      </c>
      <c r="J2076">
        <v>1.0805386501323246</v>
      </c>
      <c r="N2076" t="s">
        <v>3582</v>
      </c>
      <c r="O2076" t="s">
        <v>1665</v>
      </c>
      <c r="Q2076" t="s">
        <v>3583</v>
      </c>
    </row>
    <row r="2077" spans="2:17">
      <c r="B2077" t="s">
        <v>3584</v>
      </c>
      <c r="C2077" t="s">
        <v>1170</v>
      </c>
      <c r="D2077">
        <v>1.5012739963687801E-7</v>
      </c>
      <c r="E2077" t="s">
        <v>626</v>
      </c>
      <c r="H2077" t="s">
        <v>588</v>
      </c>
      <c r="I2077">
        <v>1.5012739963687801E-7</v>
      </c>
      <c r="J2077">
        <v>1.0247973619913604</v>
      </c>
      <c r="N2077" t="s">
        <v>3585</v>
      </c>
      <c r="O2077" t="s">
        <v>952</v>
      </c>
      <c r="Q2077" t="s">
        <v>3586</v>
      </c>
    </row>
    <row r="2078" spans="2:17">
      <c r="B2078" t="s">
        <v>3587</v>
      </c>
      <c r="C2078" t="s">
        <v>1170</v>
      </c>
      <c r="D2078">
        <v>6.2109949978868798E-6</v>
      </c>
      <c r="E2078" t="s">
        <v>94</v>
      </c>
      <c r="H2078" t="s">
        <v>588</v>
      </c>
      <c r="I2078">
        <v>6.2109949978868798E-6</v>
      </c>
      <c r="J2078">
        <v>1</v>
      </c>
      <c r="N2078" t="s">
        <v>3588</v>
      </c>
      <c r="O2078" t="s">
        <v>1864</v>
      </c>
      <c r="Q2078" t="s">
        <v>3589</v>
      </c>
    </row>
    <row r="2079" spans="2:17">
      <c r="B2079" t="s">
        <v>1376</v>
      </c>
      <c r="C2079" t="s">
        <v>1170</v>
      </c>
      <c r="D2079">
        <v>5.47490423399187E-6</v>
      </c>
      <c r="E2079" t="s">
        <v>94</v>
      </c>
      <c r="H2079" t="s">
        <v>588</v>
      </c>
      <c r="I2079">
        <v>5.47490423399187E-6</v>
      </c>
      <c r="J2079">
        <v>1</v>
      </c>
      <c r="N2079" t="s">
        <v>1377</v>
      </c>
      <c r="O2079" t="s">
        <v>1864</v>
      </c>
      <c r="Q2079" t="s">
        <v>3589</v>
      </c>
    </row>
    <row r="2080" spans="2:17">
      <c r="B2080" t="s">
        <v>3590</v>
      </c>
      <c r="C2080" t="s">
        <v>1143</v>
      </c>
      <c r="D2080">
        <v>1.1649329383501599E-4</v>
      </c>
      <c r="E2080" t="s">
        <v>94</v>
      </c>
      <c r="H2080" t="s">
        <v>588</v>
      </c>
      <c r="I2080">
        <v>1.1649329383501599E-4</v>
      </c>
      <c r="J2080">
        <v>1.0247973619913604</v>
      </c>
      <c r="N2080" t="s">
        <v>3591</v>
      </c>
      <c r="O2080" t="s">
        <v>1659</v>
      </c>
      <c r="Q2080" t="s">
        <v>3592</v>
      </c>
    </row>
    <row r="2081" spans="2:17">
      <c r="B2081" t="s">
        <v>3590</v>
      </c>
      <c r="C2081" t="s">
        <v>1143</v>
      </c>
      <c r="D2081">
        <v>1.07649134179909E-4</v>
      </c>
      <c r="E2081" t="s">
        <v>94</v>
      </c>
      <c r="H2081" t="s">
        <v>588</v>
      </c>
      <c r="I2081">
        <v>1.07649134179909E-4</v>
      </c>
      <c r="J2081">
        <v>1.0247973619913604</v>
      </c>
      <c r="N2081" t="s">
        <v>3591</v>
      </c>
      <c r="O2081" t="s">
        <v>952</v>
      </c>
      <c r="Q2081" t="s">
        <v>2319</v>
      </c>
    </row>
    <row r="2082" spans="2:17">
      <c r="B2082" t="s">
        <v>3593</v>
      </c>
      <c r="C2082" t="s">
        <v>673</v>
      </c>
      <c r="D2082">
        <v>3.7161709885678101E-6</v>
      </c>
      <c r="E2082" t="s">
        <v>94</v>
      </c>
      <c r="H2082" t="s">
        <v>588</v>
      </c>
      <c r="I2082">
        <v>3.7161709885678101E-6</v>
      </c>
      <c r="J2082">
        <v>1.0247973619913604</v>
      </c>
      <c r="N2082" t="s">
        <v>3594</v>
      </c>
      <c r="O2082" t="s">
        <v>641</v>
      </c>
      <c r="Q2082" t="s">
        <v>1643</v>
      </c>
    </row>
    <row r="2083" spans="2:17">
      <c r="B2083" t="s">
        <v>1380</v>
      </c>
      <c r="C2083" t="s">
        <v>592</v>
      </c>
      <c r="D2083">
        <v>1.5341882041566799E-4</v>
      </c>
      <c r="E2083" t="s">
        <v>607</v>
      </c>
      <c r="H2083" t="s">
        <v>588</v>
      </c>
      <c r="I2083">
        <v>1.5341882041566799E-4</v>
      </c>
      <c r="J2083">
        <v>1</v>
      </c>
      <c r="N2083" t="s">
        <v>1381</v>
      </c>
      <c r="O2083" t="s">
        <v>3595</v>
      </c>
      <c r="Q2083" t="s">
        <v>1679</v>
      </c>
    </row>
    <row r="2084" spans="2:17">
      <c r="B2084" t="s">
        <v>1383</v>
      </c>
      <c r="C2084" t="s">
        <v>673</v>
      </c>
      <c r="D2084">
        <v>5.9811299888814097E-4</v>
      </c>
      <c r="E2084" t="s">
        <v>94</v>
      </c>
      <c r="H2084" t="s">
        <v>588</v>
      </c>
      <c r="I2084">
        <v>5.9811299888814097E-4</v>
      </c>
      <c r="J2084">
        <v>1.1051709180756477</v>
      </c>
      <c r="N2084" t="s">
        <v>1384</v>
      </c>
      <c r="O2084" t="s">
        <v>1798</v>
      </c>
      <c r="Q2084" t="s">
        <v>3596</v>
      </c>
    </row>
    <row r="2085" spans="2:17">
      <c r="B2085" t="s">
        <v>1383</v>
      </c>
      <c r="C2085" t="s">
        <v>673</v>
      </c>
      <c r="D2085">
        <v>6.0211179749239097E-6</v>
      </c>
      <c r="E2085" t="s">
        <v>94</v>
      </c>
      <c r="H2085" t="s">
        <v>588</v>
      </c>
      <c r="I2085">
        <v>6.0211179749239097E-6</v>
      </c>
      <c r="J2085">
        <v>1.0247973619913604</v>
      </c>
      <c r="N2085" t="s">
        <v>1384</v>
      </c>
      <c r="O2085" t="s">
        <v>2536</v>
      </c>
      <c r="Q2085" t="s">
        <v>3597</v>
      </c>
    </row>
    <row r="2086" spans="2:17">
      <c r="B2086" t="s">
        <v>3598</v>
      </c>
      <c r="C2086" t="s">
        <v>615</v>
      </c>
      <c r="D2086">
        <v>1.54305636389546E-12</v>
      </c>
      <c r="E2086" t="s">
        <v>616</v>
      </c>
      <c r="H2086" t="s">
        <v>588</v>
      </c>
      <c r="I2086">
        <v>1.54305636389546E-12</v>
      </c>
      <c r="J2086">
        <v>1.7293101253499219</v>
      </c>
      <c r="N2086" t="s">
        <v>3599</v>
      </c>
      <c r="O2086" t="s">
        <v>873</v>
      </c>
      <c r="Q2086" t="s">
        <v>1679</v>
      </c>
    </row>
    <row r="2087" spans="2:17">
      <c r="B2087" t="s">
        <v>3598</v>
      </c>
      <c r="C2087" t="s">
        <v>615</v>
      </c>
      <c r="D2087">
        <v>3.1968777658317598E-13</v>
      </c>
      <c r="E2087" t="s">
        <v>616</v>
      </c>
      <c r="H2087" t="s">
        <v>588</v>
      </c>
      <c r="I2087">
        <v>3.1968777658317598E-13</v>
      </c>
      <c r="J2087">
        <v>1.7293101253499219</v>
      </c>
      <c r="N2087" t="s">
        <v>3600</v>
      </c>
      <c r="O2087" t="s">
        <v>3601</v>
      </c>
      <c r="Q2087" t="s">
        <v>3602</v>
      </c>
    </row>
    <row r="2088" spans="2:17">
      <c r="B2088" t="s">
        <v>3603</v>
      </c>
      <c r="C2088" t="s">
        <v>2092</v>
      </c>
      <c r="D2088">
        <v>9.0485793359652198E-8</v>
      </c>
      <c r="E2088" t="s">
        <v>640</v>
      </c>
      <c r="H2088" t="s">
        <v>588</v>
      </c>
      <c r="I2088">
        <v>9.0485793359652198E-8</v>
      </c>
      <c r="J2088">
        <v>1.1712995782321958</v>
      </c>
      <c r="N2088" t="s">
        <v>3604</v>
      </c>
      <c r="O2088" t="s">
        <v>2711</v>
      </c>
      <c r="Q2088" t="s">
        <v>3605</v>
      </c>
    </row>
    <row r="2089" spans="2:17">
      <c r="B2089" t="s">
        <v>3603</v>
      </c>
      <c r="C2089" t="s">
        <v>2092</v>
      </c>
      <c r="D2089">
        <v>3.25695947040575E-6</v>
      </c>
      <c r="E2089" t="s">
        <v>640</v>
      </c>
      <c r="H2089" t="s">
        <v>588</v>
      </c>
      <c r="I2089">
        <v>3.25695947040575E-6</v>
      </c>
      <c r="J2089">
        <v>1.1712995782321958</v>
      </c>
      <c r="N2089" t="s">
        <v>3604</v>
      </c>
      <c r="O2089" t="s">
        <v>2711</v>
      </c>
      <c r="Q2089" t="s">
        <v>3605</v>
      </c>
    </row>
    <row r="2090" spans="2:17">
      <c r="B2090" t="s">
        <v>3603</v>
      </c>
      <c r="C2090" t="s">
        <v>2092</v>
      </c>
      <c r="D2090">
        <v>1.19129757457023E-5</v>
      </c>
      <c r="E2090" t="s">
        <v>640</v>
      </c>
      <c r="H2090" t="s">
        <v>588</v>
      </c>
      <c r="I2090">
        <v>1.19129757457023E-5</v>
      </c>
      <c r="J2090">
        <v>1.0805386501323246</v>
      </c>
      <c r="N2090" t="s">
        <v>3606</v>
      </c>
      <c r="O2090" t="s">
        <v>2004</v>
      </c>
      <c r="Q2090" t="s">
        <v>3607</v>
      </c>
    </row>
    <row r="2091" spans="2:17">
      <c r="B2091" t="s">
        <v>3603</v>
      </c>
      <c r="C2091" t="s">
        <v>2092</v>
      </c>
      <c r="D2091">
        <v>2.7804321346634601E-5</v>
      </c>
      <c r="E2091" t="s">
        <v>640</v>
      </c>
      <c r="H2091" t="s">
        <v>588</v>
      </c>
      <c r="I2091">
        <v>2.7804321346634601E-5</v>
      </c>
      <c r="J2091">
        <v>1.1712995782321958</v>
      </c>
      <c r="N2091" t="s">
        <v>3604</v>
      </c>
      <c r="O2091" t="s">
        <v>2387</v>
      </c>
      <c r="Q2091" t="s">
        <v>3605</v>
      </c>
    </row>
    <row r="2092" spans="2:17">
      <c r="B2092" t="s">
        <v>3608</v>
      </c>
      <c r="C2092" t="s">
        <v>2092</v>
      </c>
      <c r="D2092">
        <v>2.6004774742140798E-7</v>
      </c>
      <c r="E2092" t="s">
        <v>640</v>
      </c>
      <c r="H2092" t="s">
        <v>588</v>
      </c>
      <c r="I2092">
        <v>2.6004774742140798E-7</v>
      </c>
      <c r="J2092">
        <v>1.1712995782321958</v>
      </c>
      <c r="N2092" t="s">
        <v>3609</v>
      </c>
      <c r="O2092" t="s">
        <v>2711</v>
      </c>
      <c r="Q2092" t="s">
        <v>3610</v>
      </c>
    </row>
    <row r="2093" spans="2:17">
      <c r="B2093" t="s">
        <v>3608</v>
      </c>
      <c r="C2093" t="s">
        <v>2092</v>
      </c>
      <c r="D2093">
        <v>6.0669798564038199E-6</v>
      </c>
      <c r="E2093" t="s">
        <v>640</v>
      </c>
      <c r="H2093" t="s">
        <v>588</v>
      </c>
      <c r="I2093">
        <v>6.0669798564038199E-6</v>
      </c>
      <c r="J2093">
        <v>1.0247973619913604</v>
      </c>
      <c r="N2093" t="s">
        <v>3611</v>
      </c>
      <c r="O2093" t="s">
        <v>2004</v>
      </c>
      <c r="Q2093" t="s">
        <v>3612</v>
      </c>
    </row>
    <row r="2094" spans="2:17">
      <c r="B2094" t="s">
        <v>3608</v>
      </c>
      <c r="C2094" t="s">
        <v>2092</v>
      </c>
      <c r="D2094">
        <v>6.6948048301688302E-5</v>
      </c>
      <c r="E2094" t="s">
        <v>640</v>
      </c>
      <c r="H2094" t="s">
        <v>588</v>
      </c>
      <c r="I2094">
        <v>6.6948048301688302E-5</v>
      </c>
      <c r="J2094">
        <v>1.1712995782321958</v>
      </c>
      <c r="N2094" t="s">
        <v>3609</v>
      </c>
      <c r="O2094" t="s">
        <v>2387</v>
      </c>
      <c r="Q2094" t="s">
        <v>3610</v>
      </c>
    </row>
    <row r="2095" spans="2:17">
      <c r="B2095" t="s">
        <v>3608</v>
      </c>
      <c r="C2095" t="s">
        <v>2092</v>
      </c>
      <c r="D2095">
        <v>1.49211141491705E-5</v>
      </c>
      <c r="E2095" t="s">
        <v>640</v>
      </c>
      <c r="H2095" t="s">
        <v>588</v>
      </c>
      <c r="I2095">
        <v>1.49211141491705E-5</v>
      </c>
      <c r="J2095">
        <v>1.1712995782321958</v>
      </c>
      <c r="N2095" t="s">
        <v>3609</v>
      </c>
      <c r="O2095" t="s">
        <v>2711</v>
      </c>
      <c r="Q2095" t="s">
        <v>3610</v>
      </c>
    </row>
    <row r="2096" spans="2:17">
      <c r="B2096" t="s">
        <v>3608</v>
      </c>
      <c r="C2096" t="s">
        <v>2092</v>
      </c>
      <c r="D2096">
        <v>2.2395052866076701E-6</v>
      </c>
      <c r="E2096" t="s">
        <v>640</v>
      </c>
      <c r="H2096" t="s">
        <v>588</v>
      </c>
      <c r="I2096">
        <v>2.2395052866076701E-6</v>
      </c>
      <c r="J2096">
        <v>1.0247973619913604</v>
      </c>
      <c r="N2096" t="s">
        <v>3611</v>
      </c>
      <c r="O2096" t="s">
        <v>3613</v>
      </c>
      <c r="Q2096" t="s">
        <v>3614</v>
      </c>
    </row>
    <row r="2097" spans="2:17">
      <c r="B2097" t="s">
        <v>3608</v>
      </c>
      <c r="C2097" t="s">
        <v>2092</v>
      </c>
      <c r="D2097">
        <v>2.5040622298058299E-6</v>
      </c>
      <c r="E2097" t="s">
        <v>640</v>
      </c>
      <c r="H2097" t="s">
        <v>588</v>
      </c>
      <c r="I2097">
        <v>2.5040622298058299E-6</v>
      </c>
      <c r="J2097">
        <v>1.0247973619913604</v>
      </c>
      <c r="N2097" t="s">
        <v>3615</v>
      </c>
      <c r="O2097" t="s">
        <v>3616</v>
      </c>
      <c r="Q2097" t="s">
        <v>3617</v>
      </c>
    </row>
    <row r="2098" spans="2:17">
      <c r="B2098" t="s">
        <v>3608</v>
      </c>
      <c r="C2098" t="s">
        <v>2092</v>
      </c>
      <c r="D2098">
        <v>9.9854674201551497E-6</v>
      </c>
      <c r="E2098" t="s">
        <v>640</v>
      </c>
      <c r="H2098" t="s">
        <v>588</v>
      </c>
      <c r="I2098">
        <v>9.9854674201551497E-6</v>
      </c>
      <c r="J2098">
        <v>1.0247973619913604</v>
      </c>
      <c r="N2098" t="s">
        <v>3615</v>
      </c>
      <c r="O2098" t="s">
        <v>2004</v>
      </c>
      <c r="Q2098" t="s">
        <v>3618</v>
      </c>
    </row>
    <row r="2099" spans="2:17">
      <c r="B2099" t="s">
        <v>3619</v>
      </c>
      <c r="C2099" t="s">
        <v>676</v>
      </c>
      <c r="D2099">
        <v>4.86475112546279E-2</v>
      </c>
      <c r="E2099" t="s">
        <v>94</v>
      </c>
      <c r="H2099" t="s">
        <v>588</v>
      </c>
      <c r="I2099">
        <v>4.86475112546279E-2</v>
      </c>
      <c r="J2099">
        <v>1.2505791921887124</v>
      </c>
      <c r="N2099" t="s">
        <v>3620</v>
      </c>
      <c r="O2099" t="s">
        <v>1628</v>
      </c>
      <c r="Q2099" t="s">
        <v>1545</v>
      </c>
    </row>
    <row r="2100" spans="2:17">
      <c r="B2100" t="s">
        <v>3621</v>
      </c>
      <c r="C2100" t="s">
        <v>701</v>
      </c>
      <c r="D2100">
        <v>1.15921522254289E-3</v>
      </c>
      <c r="E2100" t="s">
        <v>94</v>
      </c>
      <c r="H2100" t="s">
        <v>588</v>
      </c>
      <c r="I2100">
        <v>1.15921522254289E-3</v>
      </c>
      <c r="J2100">
        <v>1.1958837337268053</v>
      </c>
      <c r="N2100" t="s">
        <v>3622</v>
      </c>
      <c r="O2100" t="s">
        <v>1889</v>
      </c>
      <c r="Q2100" t="s">
        <v>1890</v>
      </c>
    </row>
    <row r="2101" spans="2:17">
      <c r="B2101" t="s">
        <v>1386</v>
      </c>
      <c r="C2101" t="s">
        <v>673</v>
      </c>
      <c r="D2101">
        <v>1.6835189195935E-11</v>
      </c>
      <c r="E2101" t="s">
        <v>94</v>
      </c>
      <c r="H2101" t="s">
        <v>588</v>
      </c>
      <c r="I2101">
        <v>1.6835189195935E-11</v>
      </c>
      <c r="J2101">
        <v>1.0247973619913604</v>
      </c>
      <c r="N2101" t="s">
        <v>1387</v>
      </c>
      <c r="O2101" t="s">
        <v>1157</v>
      </c>
      <c r="Q2101" t="s">
        <v>1388</v>
      </c>
    </row>
    <row r="2102" spans="2:17">
      <c r="B2102" t="s">
        <v>3623</v>
      </c>
      <c r="C2102" t="s">
        <v>650</v>
      </c>
      <c r="D2102">
        <v>1.3191924751020101E-4</v>
      </c>
      <c r="E2102" t="s">
        <v>94</v>
      </c>
      <c r="H2102" t="s">
        <v>588</v>
      </c>
      <c r="I2102">
        <v>1.3191924751020101E-4</v>
      </c>
      <c r="J2102">
        <v>1.0247973619913604</v>
      </c>
      <c r="N2102" t="s">
        <v>3624</v>
      </c>
      <c r="O2102" t="s">
        <v>641</v>
      </c>
      <c r="Q2102" t="s">
        <v>1643</v>
      </c>
    </row>
    <row r="2103" spans="2:17">
      <c r="B2103" t="s">
        <v>3623</v>
      </c>
      <c r="C2103" t="s">
        <v>650</v>
      </c>
      <c r="D2103">
        <v>2.8123893147620699E-4</v>
      </c>
      <c r="E2103" t="s">
        <v>94</v>
      </c>
      <c r="H2103" t="s">
        <v>588</v>
      </c>
      <c r="I2103">
        <v>2.8123893147620699E-4</v>
      </c>
      <c r="J2103">
        <v>1.0247973619913604</v>
      </c>
      <c r="N2103" t="s">
        <v>3624</v>
      </c>
      <c r="O2103" t="s">
        <v>641</v>
      </c>
      <c r="Q2103" t="s">
        <v>1643</v>
      </c>
    </row>
    <row r="2104" spans="2:17">
      <c r="B2104" t="s">
        <v>860</v>
      </c>
      <c r="C2104" t="s">
        <v>650</v>
      </c>
      <c r="D2104">
        <v>7.1937467100881505E-5</v>
      </c>
      <c r="E2104" t="s">
        <v>94</v>
      </c>
      <c r="H2104" t="s">
        <v>588</v>
      </c>
      <c r="I2104">
        <v>7.1937467100881505E-5</v>
      </c>
      <c r="J2104">
        <v>1.0247973619913604</v>
      </c>
      <c r="N2104" t="s">
        <v>861</v>
      </c>
      <c r="O2104" t="s">
        <v>641</v>
      </c>
      <c r="Q2104" t="s">
        <v>1643</v>
      </c>
    </row>
    <row r="2105" spans="2:17">
      <c r="B2105" t="s">
        <v>860</v>
      </c>
      <c r="C2105" t="s">
        <v>650</v>
      </c>
      <c r="D2105">
        <v>1.85491471109687E-3</v>
      </c>
      <c r="E2105" t="s">
        <v>94</v>
      </c>
      <c r="H2105" t="s">
        <v>588</v>
      </c>
      <c r="I2105">
        <v>1.85491471109687E-3</v>
      </c>
      <c r="J2105">
        <v>1.0247973619913604</v>
      </c>
      <c r="N2105" t="s">
        <v>861</v>
      </c>
      <c r="O2105" t="s">
        <v>641</v>
      </c>
      <c r="Q2105" t="s">
        <v>1643</v>
      </c>
    </row>
    <row r="2106" spans="2:17">
      <c r="B2106" t="s">
        <v>698</v>
      </c>
      <c r="C2106" t="s">
        <v>650</v>
      </c>
      <c r="D2106">
        <v>2.0271259819289698E-3</v>
      </c>
      <c r="E2106" t="s">
        <v>94</v>
      </c>
      <c r="H2106" t="s">
        <v>588</v>
      </c>
      <c r="I2106">
        <v>2.0271259819289698E-3</v>
      </c>
      <c r="J2106">
        <v>1.8799195061459204</v>
      </c>
      <c r="N2106" t="s">
        <v>699</v>
      </c>
      <c r="O2106" t="s">
        <v>1157</v>
      </c>
      <c r="Q2106" t="s">
        <v>3625</v>
      </c>
    </row>
    <row r="2107" spans="2:17">
      <c r="B2107" t="s">
        <v>698</v>
      </c>
      <c r="C2107" t="s">
        <v>650</v>
      </c>
      <c r="D2107">
        <v>1.8906234451323499E-3</v>
      </c>
      <c r="E2107" t="s">
        <v>94</v>
      </c>
      <c r="H2107" t="s">
        <v>588</v>
      </c>
      <c r="I2107">
        <v>1.8906234451323499E-3</v>
      </c>
      <c r="J2107">
        <v>2.0089603985886924</v>
      </c>
      <c r="N2107" t="s">
        <v>699</v>
      </c>
      <c r="O2107" t="s">
        <v>1157</v>
      </c>
      <c r="Q2107" t="s">
        <v>3625</v>
      </c>
    </row>
    <row r="2108" spans="2:17">
      <c r="B2108" t="s">
        <v>3626</v>
      </c>
      <c r="C2108" t="s">
        <v>1830</v>
      </c>
      <c r="D2108">
        <v>2.67227936240786E-4</v>
      </c>
      <c r="E2108" t="s">
        <v>94</v>
      </c>
      <c r="H2108" t="s">
        <v>588</v>
      </c>
      <c r="I2108">
        <v>2.67227936240786E-4</v>
      </c>
      <c r="J2108">
        <v>1.0247973619913604</v>
      </c>
      <c r="N2108" t="s">
        <v>3627</v>
      </c>
      <c r="O2108" t="s">
        <v>1806</v>
      </c>
      <c r="Q2108" t="s">
        <v>1728</v>
      </c>
    </row>
    <row r="2109" spans="2:17">
      <c r="B2109" t="s">
        <v>3626</v>
      </c>
      <c r="C2109" t="s">
        <v>1830</v>
      </c>
      <c r="D2109">
        <v>2.2268994686732201E-3</v>
      </c>
      <c r="E2109" t="s">
        <v>94</v>
      </c>
      <c r="N2109" t="s">
        <v>3628</v>
      </c>
    </row>
    <row r="2110" spans="2:17">
      <c r="B2110" t="s">
        <v>3629</v>
      </c>
      <c r="C2110" t="s">
        <v>2163</v>
      </c>
      <c r="D2110">
        <v>1.5604722318982E-6</v>
      </c>
      <c r="E2110" t="s">
        <v>94</v>
      </c>
      <c r="H2110" t="s">
        <v>588</v>
      </c>
      <c r="I2110">
        <v>1.5604722318982E-6</v>
      </c>
      <c r="J2110">
        <v>1.074399999999982</v>
      </c>
      <c r="N2110" t="s">
        <v>3630</v>
      </c>
      <c r="O2110" t="s">
        <v>2069</v>
      </c>
      <c r="Q2110" t="s">
        <v>3631</v>
      </c>
    </row>
    <row r="2111" spans="2:17">
      <c r="B2111" t="s">
        <v>3629</v>
      </c>
      <c r="C2111" t="s">
        <v>2163</v>
      </c>
      <c r="D2111">
        <v>2.5028557201784598E-3</v>
      </c>
      <c r="E2111" t="s">
        <v>94</v>
      </c>
      <c r="N2111" t="s">
        <v>3632</v>
      </c>
    </row>
    <row r="2112" spans="2:17">
      <c r="B2112" t="s">
        <v>3629</v>
      </c>
      <c r="C2112" t="s">
        <v>2163</v>
      </c>
      <c r="D2112">
        <v>4.1724562645705199E-6</v>
      </c>
      <c r="E2112" t="s">
        <v>94</v>
      </c>
      <c r="H2112" t="s">
        <v>588</v>
      </c>
      <c r="I2112">
        <v>4.1724562645705199E-6</v>
      </c>
      <c r="J2112">
        <v>1.074399999999982</v>
      </c>
      <c r="N2112" t="s">
        <v>3630</v>
      </c>
      <c r="O2112" t="s">
        <v>1758</v>
      </c>
      <c r="Q2112" t="s">
        <v>3631</v>
      </c>
    </row>
    <row r="2113" spans="2:17">
      <c r="B2113" t="s">
        <v>3633</v>
      </c>
      <c r="C2113" t="s">
        <v>569</v>
      </c>
      <c r="D2113">
        <v>3.1685752173360102E-4</v>
      </c>
      <c r="E2113" t="s">
        <v>94</v>
      </c>
      <c r="H2113" t="s">
        <v>588</v>
      </c>
      <c r="I2113">
        <v>3.1685752173360102E-4</v>
      </c>
      <c r="J2113">
        <v>1.0247973619913604</v>
      </c>
      <c r="N2113" t="s">
        <v>3634</v>
      </c>
      <c r="O2113" t="s">
        <v>1752</v>
      </c>
      <c r="Q2113" t="s">
        <v>3635</v>
      </c>
    </row>
    <row r="2114" spans="2:17">
      <c r="B2114" t="s">
        <v>3636</v>
      </c>
      <c r="C2114" t="s">
        <v>667</v>
      </c>
      <c r="D2114">
        <v>5.1443960675814405E-4</v>
      </c>
      <c r="E2114" t="s">
        <v>94</v>
      </c>
      <c r="H2114" t="s">
        <v>588</v>
      </c>
      <c r="I2114">
        <v>5.1443960675814405E-4</v>
      </c>
      <c r="J2114">
        <v>1.0247973619913604</v>
      </c>
      <c r="N2114" t="s">
        <v>3637</v>
      </c>
      <c r="O2114" t="s">
        <v>1752</v>
      </c>
      <c r="Q2114" t="s">
        <v>3003</v>
      </c>
    </row>
    <row r="2115" spans="2:17">
      <c r="B2115" t="s">
        <v>3638</v>
      </c>
      <c r="C2115" t="s">
        <v>625</v>
      </c>
      <c r="D2115">
        <v>2.17410830215692E-7</v>
      </c>
      <c r="E2115" t="s">
        <v>626</v>
      </c>
      <c r="H2115" t="s">
        <v>588</v>
      </c>
      <c r="I2115">
        <v>2.17410830215692E-7</v>
      </c>
      <c r="J2115">
        <v>1.4139824580805163</v>
      </c>
      <c r="N2115" t="s">
        <v>3639</v>
      </c>
      <c r="O2115" t="s">
        <v>921</v>
      </c>
      <c r="Q2115" t="s">
        <v>3640</v>
      </c>
    </row>
    <row r="2116" spans="2:17">
      <c r="B2116" t="s">
        <v>3638</v>
      </c>
      <c r="C2116" t="s">
        <v>625</v>
      </c>
      <c r="D2116">
        <v>2.17354081567956E-7</v>
      </c>
      <c r="E2116" t="s">
        <v>626</v>
      </c>
      <c r="H2116" t="s">
        <v>588</v>
      </c>
      <c r="I2116">
        <v>2.17354081567956E-7</v>
      </c>
      <c r="J2116">
        <v>1.4139824580805163</v>
      </c>
      <c r="N2116" t="s">
        <v>3641</v>
      </c>
      <c r="O2116" t="s">
        <v>1002</v>
      </c>
      <c r="Q2116" t="s">
        <v>3640</v>
      </c>
    </row>
    <row r="2117" spans="2:17">
      <c r="B2117" t="s">
        <v>3642</v>
      </c>
      <c r="C2117" t="s">
        <v>625</v>
      </c>
      <c r="D2117">
        <v>3.2378177161249302E-6</v>
      </c>
      <c r="E2117" t="s">
        <v>626</v>
      </c>
      <c r="H2117" t="s">
        <v>588</v>
      </c>
      <c r="I2117">
        <v>3.2378177161249302E-6</v>
      </c>
      <c r="J2117">
        <v>1.4341253160944203</v>
      </c>
      <c r="N2117" t="s">
        <v>3643</v>
      </c>
      <c r="O2117" t="s">
        <v>3644</v>
      </c>
      <c r="Q2117" t="s">
        <v>3645</v>
      </c>
    </row>
    <row r="2118" spans="2:17">
      <c r="B2118" t="s">
        <v>3642</v>
      </c>
      <c r="C2118" t="s">
        <v>625</v>
      </c>
      <c r="D2118">
        <v>3.2378484861023699E-6</v>
      </c>
      <c r="E2118" t="s">
        <v>626</v>
      </c>
      <c r="H2118" t="s">
        <v>588</v>
      </c>
      <c r="I2118">
        <v>3.2378484861023699E-6</v>
      </c>
      <c r="J2118">
        <v>1.4341253160944203</v>
      </c>
      <c r="N2118" t="s">
        <v>3646</v>
      </c>
      <c r="O2118" t="s">
        <v>880</v>
      </c>
      <c r="Q2118" t="s">
        <v>979</v>
      </c>
    </row>
    <row r="2119" spans="2:17">
      <c r="B2119" t="s">
        <v>3647</v>
      </c>
      <c r="C2119" t="s">
        <v>964</v>
      </c>
      <c r="D2119">
        <v>3.2257748052199502E-5</v>
      </c>
      <c r="E2119" t="s">
        <v>94</v>
      </c>
      <c r="H2119" t="s">
        <v>588</v>
      </c>
      <c r="I2119">
        <v>3.2257748052199502E-5</v>
      </c>
      <c r="J2119">
        <v>1.0247973619913604</v>
      </c>
      <c r="N2119" t="s">
        <v>3648</v>
      </c>
      <c r="O2119" t="s">
        <v>1002</v>
      </c>
      <c r="Q2119" t="s">
        <v>3649</v>
      </c>
    </row>
    <row r="2120" spans="2:17">
      <c r="B2120" t="s">
        <v>963</v>
      </c>
      <c r="C2120" t="s">
        <v>964</v>
      </c>
      <c r="D2120">
        <v>1.1887438689118001E-6</v>
      </c>
      <c r="E2120" t="s">
        <v>94</v>
      </c>
      <c r="H2120" t="s">
        <v>588</v>
      </c>
      <c r="I2120">
        <v>1.1887438689118001E-6</v>
      </c>
      <c r="J2120">
        <v>1.0247973619913604</v>
      </c>
      <c r="N2120" t="s">
        <v>3650</v>
      </c>
      <c r="O2120" t="s">
        <v>1765</v>
      </c>
      <c r="Q2120" t="s">
        <v>3651</v>
      </c>
    </row>
    <row r="2121" spans="2:17">
      <c r="B2121" t="s">
        <v>963</v>
      </c>
      <c r="C2121" t="s">
        <v>964</v>
      </c>
      <c r="D2121">
        <v>1.7713319496231901E-3</v>
      </c>
      <c r="E2121" t="s">
        <v>94</v>
      </c>
      <c r="H2121" t="s">
        <v>588</v>
      </c>
      <c r="I2121">
        <v>1.7713319496231901E-3</v>
      </c>
      <c r="J2121">
        <v>1.1051709180756477</v>
      </c>
      <c r="N2121" t="s">
        <v>965</v>
      </c>
      <c r="O2121" t="s">
        <v>2069</v>
      </c>
      <c r="Q2121" t="s">
        <v>3652</v>
      </c>
    </row>
    <row r="2122" spans="2:17">
      <c r="B2122" t="s">
        <v>3653</v>
      </c>
      <c r="C2122" t="s">
        <v>964</v>
      </c>
      <c r="D2122">
        <v>1.1983840227498801E-5</v>
      </c>
      <c r="E2122" t="s">
        <v>94</v>
      </c>
      <c r="H2122" t="s">
        <v>588</v>
      </c>
      <c r="I2122">
        <v>1.1983840227498801E-5</v>
      </c>
      <c r="J2122">
        <v>1.1051709180756477</v>
      </c>
      <c r="N2122" t="s">
        <v>3654</v>
      </c>
      <c r="O2122" t="s">
        <v>2069</v>
      </c>
      <c r="Q2122" t="s">
        <v>3652</v>
      </c>
    </row>
    <row r="2123" spans="2:17">
      <c r="B2123" t="s">
        <v>3655</v>
      </c>
      <c r="C2123" t="s">
        <v>673</v>
      </c>
      <c r="D2123">
        <v>3.97606397929907E-7</v>
      </c>
      <c r="E2123" t="s">
        <v>94</v>
      </c>
      <c r="H2123" t="s">
        <v>588</v>
      </c>
      <c r="I2123">
        <v>3.97606397929907E-7</v>
      </c>
      <c r="J2123">
        <v>1.0247973619913604</v>
      </c>
      <c r="N2123" t="s">
        <v>3656</v>
      </c>
      <c r="O2123" t="s">
        <v>2536</v>
      </c>
      <c r="Q2123" t="s">
        <v>3657</v>
      </c>
    </row>
    <row r="2124" spans="2:17">
      <c r="B2124" t="s">
        <v>3658</v>
      </c>
      <c r="C2124" t="s">
        <v>3659</v>
      </c>
      <c r="D2124">
        <v>1.2635558809174101E-7</v>
      </c>
      <c r="E2124" t="s">
        <v>616</v>
      </c>
      <c r="H2124" t="s">
        <v>588</v>
      </c>
      <c r="I2124">
        <v>1.2635558809174101E-7</v>
      </c>
      <c r="J2124">
        <v>1.0247973619913604</v>
      </c>
      <c r="N2124" t="s">
        <v>3660</v>
      </c>
      <c r="O2124" t="s">
        <v>798</v>
      </c>
      <c r="Q2124" t="s">
        <v>3661</v>
      </c>
    </row>
    <row r="2125" spans="2:17">
      <c r="B2125" t="s">
        <v>3662</v>
      </c>
      <c r="C2125" t="s">
        <v>3659</v>
      </c>
      <c r="D2125">
        <v>1.2635558809174101E-7</v>
      </c>
      <c r="E2125" t="s">
        <v>616</v>
      </c>
      <c r="H2125" t="s">
        <v>588</v>
      </c>
      <c r="I2125">
        <v>1.2635558809174101E-7</v>
      </c>
      <c r="J2125">
        <v>1.0247973619913604</v>
      </c>
      <c r="N2125" t="s">
        <v>3663</v>
      </c>
      <c r="O2125" t="s">
        <v>798</v>
      </c>
      <c r="Q2125" t="s">
        <v>3661</v>
      </c>
    </row>
    <row r="2126" spans="2:17">
      <c r="B2126" t="s">
        <v>3664</v>
      </c>
      <c r="C2126" t="s">
        <v>2173</v>
      </c>
      <c r="D2126">
        <v>2.8122736007709799E-7</v>
      </c>
      <c r="E2126" t="s">
        <v>616</v>
      </c>
      <c r="H2126" t="s">
        <v>588</v>
      </c>
      <c r="I2126">
        <v>2.8122736007709799E-7</v>
      </c>
      <c r="J2126">
        <v>1.7293101253499219</v>
      </c>
      <c r="N2126" t="s">
        <v>3665</v>
      </c>
      <c r="O2126" t="s">
        <v>1927</v>
      </c>
      <c r="Q2126" t="s">
        <v>3666</v>
      </c>
    </row>
    <row r="2127" spans="2:17">
      <c r="B2127" t="s">
        <v>1078</v>
      </c>
      <c r="C2127" t="s">
        <v>821</v>
      </c>
      <c r="D2127">
        <v>1.7633263617422401E-2</v>
      </c>
      <c r="E2127" t="s">
        <v>94</v>
      </c>
      <c r="H2127" t="s">
        <v>588</v>
      </c>
      <c r="I2127">
        <v>1.7633263617422401E-2</v>
      </c>
      <c r="J2127">
        <v>1.7450381821146503</v>
      </c>
      <c r="N2127" t="s">
        <v>1079</v>
      </c>
      <c r="O2127" t="s">
        <v>1054</v>
      </c>
      <c r="Q2127" t="s">
        <v>2143</v>
      </c>
    </row>
    <row r="2128" spans="2:17">
      <c r="B2128" t="s">
        <v>3667</v>
      </c>
      <c r="C2128" t="s">
        <v>1408</v>
      </c>
      <c r="D2128">
        <v>2.6361388137153101E-5</v>
      </c>
      <c r="E2128" t="s">
        <v>640</v>
      </c>
      <c r="H2128" t="s">
        <v>588</v>
      </c>
      <c r="I2128">
        <v>2.6361388137153101E-5</v>
      </c>
      <c r="J2128">
        <v>1.0247973619913604</v>
      </c>
      <c r="N2128" t="s">
        <v>3668</v>
      </c>
      <c r="O2128" t="s">
        <v>2006</v>
      </c>
      <c r="Q2128" t="s">
        <v>1679</v>
      </c>
    </row>
    <row r="2129" spans="2:17">
      <c r="B2129" t="s">
        <v>3667</v>
      </c>
      <c r="C2129" t="s">
        <v>1408</v>
      </c>
      <c r="D2129">
        <v>1.8812066331621999E-7</v>
      </c>
      <c r="E2129" t="s">
        <v>640</v>
      </c>
      <c r="H2129" t="s">
        <v>588</v>
      </c>
      <c r="I2129">
        <v>1.8812066331621999E-7</v>
      </c>
      <c r="J2129">
        <v>1.0247973619913604</v>
      </c>
      <c r="N2129" t="s">
        <v>3668</v>
      </c>
      <c r="O2129" t="s">
        <v>2004</v>
      </c>
      <c r="Q2129" t="s">
        <v>3669</v>
      </c>
    </row>
    <row r="2130" spans="2:17">
      <c r="B2130" t="s">
        <v>1392</v>
      </c>
      <c r="C2130" t="s">
        <v>1170</v>
      </c>
      <c r="D2130">
        <v>2.2533199963047801E-7</v>
      </c>
      <c r="E2130" t="s">
        <v>94</v>
      </c>
      <c r="H2130" t="s">
        <v>588</v>
      </c>
      <c r="I2130">
        <v>2.2533199963047801E-7</v>
      </c>
      <c r="J2130">
        <v>1.0247973619913604</v>
      </c>
      <c r="N2130" t="s">
        <v>1393</v>
      </c>
      <c r="O2130" t="s">
        <v>2017</v>
      </c>
      <c r="Q2130" t="s">
        <v>2018</v>
      </c>
    </row>
    <row r="2131" spans="2:17">
      <c r="B2131" t="s">
        <v>1394</v>
      </c>
      <c r="C2131" t="s">
        <v>1170</v>
      </c>
      <c r="D2131">
        <v>2.2533199963047801E-7</v>
      </c>
      <c r="E2131" t="s">
        <v>94</v>
      </c>
      <c r="H2131" t="s">
        <v>588</v>
      </c>
      <c r="I2131">
        <v>2.2533199963047801E-7</v>
      </c>
      <c r="J2131">
        <v>1.0247973619913604</v>
      </c>
      <c r="N2131" t="s">
        <v>1395</v>
      </c>
      <c r="O2131" t="s">
        <v>2017</v>
      </c>
      <c r="Q2131" t="s">
        <v>2018</v>
      </c>
    </row>
    <row r="2132" spans="2:17">
      <c r="B2132" t="s">
        <v>1398</v>
      </c>
      <c r="C2132" t="s">
        <v>673</v>
      </c>
      <c r="D2132">
        <v>6.6241297954309996E-6</v>
      </c>
      <c r="E2132" t="s">
        <v>94</v>
      </c>
      <c r="H2132" t="s">
        <v>588</v>
      </c>
      <c r="I2132">
        <v>6.6241297954309996E-6</v>
      </c>
      <c r="J2132">
        <v>1.0247973619913604</v>
      </c>
      <c r="N2132" t="s">
        <v>1399</v>
      </c>
      <c r="O2132" t="s">
        <v>1157</v>
      </c>
      <c r="Q2132" t="s">
        <v>1400</v>
      </c>
    </row>
    <row r="2133" spans="2:17">
      <c r="B2133" t="s">
        <v>3670</v>
      </c>
      <c r="C2133" t="s">
        <v>3671</v>
      </c>
      <c r="D2133">
        <v>1.7182205428104499E-4</v>
      </c>
      <c r="E2133" t="s">
        <v>3672</v>
      </c>
      <c r="H2133" t="s">
        <v>588</v>
      </c>
      <c r="I2133">
        <v>1.7182205428104499E-4</v>
      </c>
      <c r="J2133">
        <v>1.7915751222543432</v>
      </c>
      <c r="N2133" t="s">
        <v>3673</v>
      </c>
      <c r="O2133" t="s">
        <v>3674</v>
      </c>
      <c r="Q2133" t="s">
        <v>3675</v>
      </c>
    </row>
    <row r="2134" spans="2:17">
      <c r="B2134" t="s">
        <v>3670</v>
      </c>
      <c r="C2134" t="s">
        <v>3671</v>
      </c>
      <c r="D2134">
        <v>8.6374053190903803E-7</v>
      </c>
      <c r="E2134" t="s">
        <v>3672</v>
      </c>
      <c r="H2134" t="s">
        <v>588</v>
      </c>
      <c r="I2134">
        <v>8.6374053190903803E-7</v>
      </c>
      <c r="J2134">
        <v>1.7915751222543432</v>
      </c>
      <c r="N2134" t="s">
        <v>3676</v>
      </c>
      <c r="O2134" t="s">
        <v>3677</v>
      </c>
      <c r="Q2134" t="s">
        <v>3675</v>
      </c>
    </row>
    <row r="2135" spans="2:17">
      <c r="B2135" t="s">
        <v>1401</v>
      </c>
      <c r="C2135" t="s">
        <v>857</v>
      </c>
      <c r="D2135">
        <v>2.59505173203843E-13</v>
      </c>
      <c r="E2135" t="s">
        <v>616</v>
      </c>
      <c r="H2135" t="s">
        <v>588</v>
      </c>
      <c r="I2135">
        <v>2.59505173203843E-13</v>
      </c>
      <c r="J2135">
        <v>1.7915751222543432</v>
      </c>
      <c r="N2135" t="s">
        <v>1402</v>
      </c>
      <c r="O2135" t="s">
        <v>1145</v>
      </c>
      <c r="Q2135" t="s">
        <v>595</v>
      </c>
    </row>
    <row r="2136" spans="2:17">
      <c r="B2136" t="s">
        <v>1401</v>
      </c>
      <c r="C2136" t="s">
        <v>857</v>
      </c>
      <c r="D2136">
        <v>5.2774563549259202E-14</v>
      </c>
      <c r="E2136" t="s">
        <v>616</v>
      </c>
      <c r="H2136" t="s">
        <v>588</v>
      </c>
      <c r="I2136">
        <v>5.2774563549259202E-14</v>
      </c>
      <c r="J2136">
        <v>1.7915751222543432</v>
      </c>
      <c r="N2136" t="s">
        <v>3678</v>
      </c>
      <c r="O2136" t="s">
        <v>1708</v>
      </c>
      <c r="Q2136" t="s">
        <v>595</v>
      </c>
    </row>
    <row r="2137" spans="2:17">
      <c r="B2137" t="s">
        <v>3679</v>
      </c>
      <c r="C2137" t="s">
        <v>3671</v>
      </c>
      <c r="D2137">
        <v>2.5000331210668702E-5</v>
      </c>
      <c r="E2137" t="s">
        <v>622</v>
      </c>
      <c r="H2137" t="s">
        <v>588</v>
      </c>
      <c r="I2137">
        <v>2.5000331210668702E-5</v>
      </c>
      <c r="J2137">
        <v>1.760654165524179</v>
      </c>
      <c r="N2137" t="s">
        <v>3680</v>
      </c>
      <c r="O2137" t="s">
        <v>1770</v>
      </c>
      <c r="Q2137" t="s">
        <v>979</v>
      </c>
    </row>
    <row r="2138" spans="2:17">
      <c r="B2138" t="s">
        <v>1403</v>
      </c>
      <c r="C2138" t="s">
        <v>1404</v>
      </c>
      <c r="D2138">
        <v>2.45940482886345E-10</v>
      </c>
      <c r="E2138" t="s">
        <v>616</v>
      </c>
      <c r="H2138" t="s">
        <v>588</v>
      </c>
      <c r="I2138">
        <v>2.45940482886345E-10</v>
      </c>
      <c r="J2138">
        <v>1.7293101253499219</v>
      </c>
      <c r="N2138" t="s">
        <v>1405</v>
      </c>
      <c r="O2138" t="s">
        <v>882</v>
      </c>
      <c r="Q2138" t="s">
        <v>595</v>
      </c>
    </row>
    <row r="2139" spans="2:17">
      <c r="B2139" t="s">
        <v>1403</v>
      </c>
      <c r="C2139" t="s">
        <v>1404</v>
      </c>
      <c r="D2139">
        <v>1.44609529711283E-10</v>
      </c>
      <c r="E2139" t="s">
        <v>616</v>
      </c>
      <c r="H2139" t="s">
        <v>588</v>
      </c>
      <c r="I2139">
        <v>1.44609529711283E-10</v>
      </c>
      <c r="J2139">
        <v>1.7293101253499219</v>
      </c>
      <c r="N2139" t="s">
        <v>3681</v>
      </c>
      <c r="O2139" t="s">
        <v>2780</v>
      </c>
      <c r="Q2139" t="s">
        <v>695</v>
      </c>
    </row>
    <row r="2140" spans="2:17">
      <c r="B2140" t="s">
        <v>3682</v>
      </c>
      <c r="C2140" t="s">
        <v>1698</v>
      </c>
      <c r="D2140">
        <v>8.5129078784790206E-5</v>
      </c>
      <c r="E2140" t="s">
        <v>616</v>
      </c>
      <c r="H2140" t="s">
        <v>588</v>
      </c>
      <c r="I2140">
        <v>8.5129078784790206E-5</v>
      </c>
      <c r="J2140">
        <v>1</v>
      </c>
      <c r="N2140" t="s">
        <v>3683</v>
      </c>
      <c r="O2140" t="s">
        <v>1700</v>
      </c>
      <c r="Q2140" t="s">
        <v>1701</v>
      </c>
    </row>
    <row r="2141" spans="2:17">
      <c r="B2141" t="s">
        <v>3684</v>
      </c>
      <c r="C2141" t="s">
        <v>1138</v>
      </c>
      <c r="D2141">
        <v>4.27407766166415E-5</v>
      </c>
      <c r="E2141" t="s">
        <v>94</v>
      </c>
      <c r="H2141" t="s">
        <v>588</v>
      </c>
      <c r="I2141">
        <v>4.27407766166415E-5</v>
      </c>
      <c r="J2141">
        <v>1.1051709180756477</v>
      </c>
      <c r="N2141" t="s">
        <v>3685</v>
      </c>
      <c r="O2141" t="s">
        <v>1700</v>
      </c>
      <c r="Q2141" t="s">
        <v>595</v>
      </c>
    </row>
    <row r="2142" spans="2:17">
      <c r="B2142" t="s">
        <v>3684</v>
      </c>
      <c r="C2142" t="s">
        <v>1138</v>
      </c>
      <c r="D2142">
        <v>2.4867432056790601E-5</v>
      </c>
      <c r="E2142" t="s">
        <v>94</v>
      </c>
      <c r="H2142" t="s">
        <v>588</v>
      </c>
      <c r="I2142">
        <v>2.4867432056790601E-5</v>
      </c>
      <c r="J2142">
        <v>1.1051709180756477</v>
      </c>
      <c r="N2142" t="s">
        <v>3685</v>
      </c>
      <c r="O2142" t="s">
        <v>1700</v>
      </c>
      <c r="Q2142" t="s">
        <v>595</v>
      </c>
    </row>
    <row r="2143" spans="2:17">
      <c r="B2143" t="s">
        <v>3686</v>
      </c>
      <c r="C2143" t="s">
        <v>676</v>
      </c>
      <c r="D2143">
        <v>5.7153538661091399E-6</v>
      </c>
      <c r="E2143" t="s">
        <v>94</v>
      </c>
      <c r="H2143" t="s">
        <v>588</v>
      </c>
      <c r="I2143">
        <v>5.7153538661091399E-6</v>
      </c>
      <c r="J2143">
        <v>1.0247973619913604</v>
      </c>
      <c r="N2143" t="s">
        <v>3687</v>
      </c>
      <c r="O2143" t="s">
        <v>2006</v>
      </c>
      <c r="Q2143" t="s">
        <v>1679</v>
      </c>
    </row>
    <row r="2144" spans="2:17">
      <c r="B2144" t="s">
        <v>3686</v>
      </c>
      <c r="C2144" t="s">
        <v>676</v>
      </c>
      <c r="D2144">
        <v>7.0022510064392599E-2</v>
      </c>
      <c r="E2144" t="s">
        <v>94</v>
      </c>
      <c r="H2144" t="s">
        <v>588</v>
      </c>
      <c r="I2144">
        <v>7.0022510064392599E-2</v>
      </c>
      <c r="J2144">
        <v>1.0247973619913604</v>
      </c>
      <c r="N2144" t="s">
        <v>3687</v>
      </c>
      <c r="O2144" t="s">
        <v>2004</v>
      </c>
      <c r="Q2144" t="s">
        <v>2005</v>
      </c>
    </row>
    <row r="2145" spans="2:17">
      <c r="B2145" t="s">
        <v>3686</v>
      </c>
      <c r="C2145" t="s">
        <v>676</v>
      </c>
      <c r="D2145">
        <v>3.2406393328750199E-2</v>
      </c>
      <c r="E2145" t="s">
        <v>94</v>
      </c>
      <c r="H2145" t="s">
        <v>588</v>
      </c>
      <c r="I2145">
        <v>3.2406393328750199E-2</v>
      </c>
      <c r="J2145">
        <v>1.0247973619913604</v>
      </c>
      <c r="N2145" t="s">
        <v>3687</v>
      </c>
      <c r="O2145" t="s">
        <v>2006</v>
      </c>
      <c r="Q2145" t="s">
        <v>1679</v>
      </c>
    </row>
    <row r="2146" spans="2:17">
      <c r="B2146" t="s">
        <v>3686</v>
      </c>
      <c r="C2146" t="s">
        <v>676</v>
      </c>
      <c r="D2146">
        <v>1.2342897472718199E-3</v>
      </c>
      <c r="E2146" t="s">
        <v>94</v>
      </c>
      <c r="H2146" t="s">
        <v>588</v>
      </c>
      <c r="I2146">
        <v>1.2342897472718199E-3</v>
      </c>
      <c r="J2146">
        <v>1.0247973619913604</v>
      </c>
      <c r="N2146" t="s">
        <v>3687</v>
      </c>
      <c r="O2146" t="s">
        <v>2006</v>
      </c>
      <c r="Q2146" t="s">
        <v>1679</v>
      </c>
    </row>
    <row r="2147" spans="2:17">
      <c r="B2147" t="s">
        <v>3688</v>
      </c>
      <c r="C2147" t="s">
        <v>587</v>
      </c>
      <c r="D2147">
        <v>8.1220749851343399E-4</v>
      </c>
      <c r="E2147" t="s">
        <v>94</v>
      </c>
      <c r="H2147" t="s">
        <v>588</v>
      </c>
      <c r="I2147">
        <v>8.1220749851343399E-4</v>
      </c>
      <c r="J2147">
        <v>1.0247973619913604</v>
      </c>
      <c r="O2147" t="s">
        <v>641</v>
      </c>
      <c r="Q2147" t="s">
        <v>1643</v>
      </c>
    </row>
    <row r="2148" spans="2:17">
      <c r="B2148" t="s">
        <v>3689</v>
      </c>
      <c r="C2148" t="s">
        <v>2088</v>
      </c>
      <c r="D2148">
        <v>1.31254331646059E-4</v>
      </c>
      <c r="E2148" t="s">
        <v>94</v>
      </c>
      <c r="H2148" t="s">
        <v>588</v>
      </c>
      <c r="I2148">
        <v>1.31254331646059E-4</v>
      </c>
      <c r="J2148">
        <v>1.7293101253499219</v>
      </c>
      <c r="N2148" t="s">
        <v>3690</v>
      </c>
      <c r="O2148" t="s">
        <v>1713</v>
      </c>
      <c r="Q2148" t="s">
        <v>3691</v>
      </c>
    </row>
    <row r="2149" spans="2:17">
      <c r="B2149" t="s">
        <v>3692</v>
      </c>
      <c r="C2149" t="s">
        <v>1408</v>
      </c>
      <c r="D2149">
        <v>3.6551668453280498E-4</v>
      </c>
      <c r="E2149" t="s">
        <v>94</v>
      </c>
      <c r="H2149" t="s">
        <v>588</v>
      </c>
      <c r="I2149">
        <v>3.6551668453280498E-4</v>
      </c>
      <c r="J2149">
        <v>1.1712995782321958</v>
      </c>
      <c r="N2149" t="s">
        <v>3693</v>
      </c>
      <c r="O2149" t="s">
        <v>2387</v>
      </c>
      <c r="Q2149" t="s">
        <v>3694</v>
      </c>
    </row>
    <row r="2150" spans="2:17">
      <c r="B2150" t="s">
        <v>3692</v>
      </c>
      <c r="C2150" t="s">
        <v>1408</v>
      </c>
      <c r="D2150">
        <v>3.6899082962306299E-4</v>
      </c>
      <c r="E2150" t="s">
        <v>94</v>
      </c>
      <c r="H2150" t="s">
        <v>588</v>
      </c>
      <c r="I2150">
        <v>3.6899082962306299E-4</v>
      </c>
      <c r="J2150">
        <v>1.1712995782321958</v>
      </c>
      <c r="N2150" t="s">
        <v>3693</v>
      </c>
      <c r="O2150" t="s">
        <v>2711</v>
      </c>
      <c r="Q2150" t="s">
        <v>3694</v>
      </c>
    </row>
    <row r="2151" spans="2:17">
      <c r="B2151" t="s">
        <v>3692</v>
      </c>
      <c r="C2151" t="s">
        <v>1408</v>
      </c>
      <c r="D2151">
        <v>4.2455088872811099E-6</v>
      </c>
      <c r="E2151" t="s">
        <v>94</v>
      </c>
      <c r="H2151" t="s">
        <v>588</v>
      </c>
      <c r="I2151">
        <v>4.2455088872811099E-6</v>
      </c>
      <c r="J2151">
        <v>1.1712995782321958</v>
      </c>
      <c r="N2151" t="s">
        <v>3693</v>
      </c>
      <c r="O2151" t="s">
        <v>2711</v>
      </c>
      <c r="Q2151" t="s">
        <v>3694</v>
      </c>
    </row>
    <row r="2152" spans="2:17">
      <c r="B2152" t="s">
        <v>3692</v>
      </c>
      <c r="C2152" t="s">
        <v>1408</v>
      </c>
      <c r="D2152">
        <v>7.4480658658439498E-6</v>
      </c>
      <c r="E2152" t="s">
        <v>94</v>
      </c>
      <c r="H2152" t="s">
        <v>588</v>
      </c>
      <c r="I2152">
        <v>7.4480658658439498E-6</v>
      </c>
      <c r="J2152">
        <v>1.1712995782321958</v>
      </c>
      <c r="N2152" t="s">
        <v>3693</v>
      </c>
      <c r="O2152" t="s">
        <v>2387</v>
      </c>
      <c r="Q2152" t="s">
        <v>3694</v>
      </c>
    </row>
    <row r="2153" spans="2:17">
      <c r="B2153" t="s">
        <v>3695</v>
      </c>
      <c r="C2153" t="s">
        <v>2092</v>
      </c>
      <c r="D2153">
        <v>6.4104799141016902E-6</v>
      </c>
      <c r="E2153" t="s">
        <v>640</v>
      </c>
      <c r="H2153" t="s">
        <v>588</v>
      </c>
      <c r="I2153">
        <v>6.4104799141016902E-6</v>
      </c>
      <c r="J2153">
        <v>1.1051709180756477</v>
      </c>
      <c r="N2153" t="s">
        <v>3696</v>
      </c>
      <c r="O2153" t="s">
        <v>882</v>
      </c>
      <c r="Q2153" t="s">
        <v>595</v>
      </c>
    </row>
    <row r="2154" spans="2:17">
      <c r="B2154" t="s">
        <v>3697</v>
      </c>
      <c r="C2154" t="s">
        <v>2092</v>
      </c>
      <c r="D2154">
        <v>1.1737493540827499E-5</v>
      </c>
      <c r="E2154" t="s">
        <v>640</v>
      </c>
      <c r="H2154" t="s">
        <v>588</v>
      </c>
      <c r="I2154">
        <v>1.1737493540827499E-5</v>
      </c>
      <c r="J2154">
        <v>1.0247973619913604</v>
      </c>
      <c r="N2154" t="s">
        <v>3698</v>
      </c>
      <c r="O2154" t="s">
        <v>2004</v>
      </c>
      <c r="Q2154" t="s">
        <v>3699</v>
      </c>
    </row>
    <row r="2155" spans="2:17">
      <c r="B2155" t="s">
        <v>3700</v>
      </c>
      <c r="C2155" t="s">
        <v>2092</v>
      </c>
      <c r="D2155">
        <v>9.9661501558460607E-6</v>
      </c>
      <c r="E2155" t="s">
        <v>640</v>
      </c>
      <c r="H2155" t="s">
        <v>588</v>
      </c>
      <c r="I2155">
        <v>9.9661501558460607E-6</v>
      </c>
      <c r="J2155">
        <v>1.0247973619913604</v>
      </c>
      <c r="N2155" t="s">
        <v>3701</v>
      </c>
      <c r="O2155" t="s">
        <v>1632</v>
      </c>
      <c r="Q2155" t="s">
        <v>3068</v>
      </c>
    </row>
    <row r="2156" spans="2:17">
      <c r="B2156" t="s">
        <v>3702</v>
      </c>
      <c r="C2156" t="s">
        <v>2092</v>
      </c>
      <c r="D2156">
        <v>2.6195260460190099E-8</v>
      </c>
      <c r="E2156" t="s">
        <v>640</v>
      </c>
      <c r="H2156" t="s">
        <v>588</v>
      </c>
      <c r="I2156">
        <v>2.6195260460190099E-8</v>
      </c>
      <c r="J2156">
        <v>1.1051709180756477</v>
      </c>
      <c r="N2156" t="s">
        <v>3703</v>
      </c>
      <c r="O2156" t="s">
        <v>847</v>
      </c>
      <c r="Q2156" t="s">
        <v>595</v>
      </c>
    </row>
    <row r="2157" spans="2:17">
      <c r="B2157" t="s">
        <v>3704</v>
      </c>
      <c r="C2157" t="s">
        <v>2092</v>
      </c>
      <c r="D2157">
        <v>6.3786216049380303E-8</v>
      </c>
      <c r="E2157" t="s">
        <v>640</v>
      </c>
      <c r="H2157" t="s">
        <v>588</v>
      </c>
      <c r="I2157">
        <v>6.3786216049380303E-8</v>
      </c>
      <c r="J2157">
        <v>1.3243999999999883</v>
      </c>
      <c r="N2157" t="s">
        <v>3705</v>
      </c>
      <c r="O2157" t="s">
        <v>3706</v>
      </c>
    </row>
    <row r="2158" spans="2:17">
      <c r="B2158" t="s">
        <v>3704</v>
      </c>
      <c r="C2158" t="s">
        <v>2092</v>
      </c>
      <c r="D2158">
        <v>8.1758604885998004E-10</v>
      </c>
      <c r="E2158" t="s">
        <v>640</v>
      </c>
      <c r="H2158" t="s">
        <v>588</v>
      </c>
      <c r="I2158">
        <v>8.1758604885998004E-10</v>
      </c>
      <c r="J2158">
        <v>1.3243999999999883</v>
      </c>
      <c r="N2158" t="s">
        <v>3705</v>
      </c>
      <c r="O2158" t="s">
        <v>3706</v>
      </c>
    </row>
    <row r="2159" spans="2:17">
      <c r="B2159" t="s">
        <v>3704</v>
      </c>
      <c r="C2159" t="s">
        <v>2092</v>
      </c>
      <c r="D2159">
        <v>1.33359211951444E-5</v>
      </c>
      <c r="E2159" t="s">
        <v>640</v>
      </c>
      <c r="H2159" t="s">
        <v>588</v>
      </c>
      <c r="I2159">
        <v>1.33359211951444E-5</v>
      </c>
      <c r="J2159">
        <v>1.0247973619913604</v>
      </c>
      <c r="N2159" t="s">
        <v>3705</v>
      </c>
      <c r="O2159" t="s">
        <v>3595</v>
      </c>
      <c r="Q2159" t="s">
        <v>1679</v>
      </c>
    </row>
    <row r="2160" spans="2:17">
      <c r="B2160" t="s">
        <v>3707</v>
      </c>
      <c r="C2160" t="s">
        <v>615</v>
      </c>
      <c r="D2160">
        <v>1.97245535818514E-12</v>
      </c>
      <c r="E2160" t="s">
        <v>616</v>
      </c>
      <c r="H2160" t="s">
        <v>588</v>
      </c>
      <c r="I2160">
        <v>1.97245535818514E-12</v>
      </c>
      <c r="J2160">
        <v>1.7450381821146503</v>
      </c>
      <c r="N2160" t="s">
        <v>3708</v>
      </c>
      <c r="O2160" t="s">
        <v>882</v>
      </c>
      <c r="Q2160" t="s">
        <v>595</v>
      </c>
    </row>
    <row r="2161" spans="2:17">
      <c r="B2161" t="s">
        <v>3709</v>
      </c>
      <c r="C2161" t="s">
        <v>1408</v>
      </c>
      <c r="D2161">
        <v>6.0608692314362598E-8</v>
      </c>
      <c r="E2161" t="s">
        <v>640</v>
      </c>
      <c r="H2161" t="s">
        <v>588</v>
      </c>
      <c r="I2161">
        <v>6.0608692314362598E-8</v>
      </c>
      <c r="J2161">
        <v>1.0247973619913604</v>
      </c>
      <c r="N2161" t="s">
        <v>3710</v>
      </c>
      <c r="O2161" t="s">
        <v>2220</v>
      </c>
      <c r="Q2161" t="s">
        <v>3711</v>
      </c>
    </row>
    <row r="2162" spans="2:17">
      <c r="B2162" t="s">
        <v>3712</v>
      </c>
      <c r="C2162" t="s">
        <v>1408</v>
      </c>
      <c r="D2162">
        <v>1.5971107481416399E-7</v>
      </c>
      <c r="E2162" t="s">
        <v>640</v>
      </c>
      <c r="H2162" t="s">
        <v>588</v>
      </c>
      <c r="I2162">
        <v>1.5971107481416399E-7</v>
      </c>
      <c r="J2162">
        <v>1.0247973619913604</v>
      </c>
      <c r="N2162" t="s">
        <v>3713</v>
      </c>
      <c r="O2162" t="s">
        <v>1713</v>
      </c>
      <c r="Q2162" t="s">
        <v>3714</v>
      </c>
    </row>
    <row r="2163" spans="2:17">
      <c r="B2163" t="s">
        <v>3715</v>
      </c>
      <c r="C2163" t="s">
        <v>1408</v>
      </c>
      <c r="D2163">
        <v>4.0594349446527998E-8</v>
      </c>
      <c r="E2163" t="s">
        <v>640</v>
      </c>
      <c r="H2163" t="s">
        <v>1733</v>
      </c>
      <c r="I2163">
        <v>4.0594349446527998E-8</v>
      </c>
      <c r="K2163">
        <v>4.0594349446527998E-8</v>
      </c>
      <c r="L2163">
        <v>4.0594349446527998E-8</v>
      </c>
      <c r="N2163" t="s">
        <v>3716</v>
      </c>
      <c r="O2163" t="s">
        <v>3046</v>
      </c>
      <c r="Q2163" t="s">
        <v>3717</v>
      </c>
    </row>
    <row r="2164" spans="2:17">
      <c r="B2164" t="s">
        <v>3718</v>
      </c>
      <c r="C2164" t="s">
        <v>1408</v>
      </c>
      <c r="D2164">
        <v>3.9746348885326503E-6</v>
      </c>
      <c r="E2164" t="s">
        <v>640</v>
      </c>
      <c r="H2164" t="s">
        <v>588</v>
      </c>
      <c r="I2164">
        <v>3.9746348885326503E-6</v>
      </c>
      <c r="J2164">
        <v>1.0247973619913604</v>
      </c>
      <c r="N2164" t="s">
        <v>3719</v>
      </c>
      <c r="O2164" t="s">
        <v>2407</v>
      </c>
      <c r="Q2164" t="s">
        <v>3068</v>
      </c>
    </row>
    <row r="2165" spans="2:17">
      <c r="B2165" t="s">
        <v>3720</v>
      </c>
      <c r="C2165" t="s">
        <v>1408</v>
      </c>
      <c r="D2165">
        <v>1.5162172540666199E-10</v>
      </c>
      <c r="E2165" t="s">
        <v>640</v>
      </c>
      <c r="H2165" t="s">
        <v>588</v>
      </c>
      <c r="I2165">
        <v>1.5162172540666199E-10</v>
      </c>
      <c r="J2165">
        <v>1.0805386501323246</v>
      </c>
      <c r="N2165" t="s">
        <v>3721</v>
      </c>
      <c r="O2165" t="s">
        <v>2314</v>
      </c>
      <c r="Q2165" t="s">
        <v>3722</v>
      </c>
    </row>
    <row r="2166" spans="2:17">
      <c r="B2166" t="s">
        <v>3720</v>
      </c>
      <c r="C2166" t="s">
        <v>1408</v>
      </c>
      <c r="D2166">
        <v>6.4844334675853097E-10</v>
      </c>
      <c r="E2166" t="s">
        <v>640</v>
      </c>
      <c r="H2166" t="s">
        <v>588</v>
      </c>
      <c r="I2166">
        <v>6.4844334675853097E-10</v>
      </c>
      <c r="J2166">
        <v>1.0805386501323246</v>
      </c>
      <c r="N2166" t="s">
        <v>3721</v>
      </c>
      <c r="O2166" t="s">
        <v>2314</v>
      </c>
      <c r="Q2166" t="s">
        <v>3722</v>
      </c>
    </row>
    <row r="2167" spans="2:17">
      <c r="B2167" t="s">
        <v>3723</v>
      </c>
      <c r="C2167" t="s">
        <v>1408</v>
      </c>
      <c r="D2167">
        <v>1.4617666011524301E-9</v>
      </c>
      <c r="E2167" t="s">
        <v>640</v>
      </c>
      <c r="H2167" t="s">
        <v>588</v>
      </c>
      <c r="I2167">
        <v>1.4617666011524301E-9</v>
      </c>
      <c r="J2167">
        <v>1.1051709180756477</v>
      </c>
      <c r="N2167" t="s">
        <v>3724</v>
      </c>
      <c r="O2167" t="s">
        <v>1632</v>
      </c>
      <c r="Q2167" t="s">
        <v>595</v>
      </c>
    </row>
    <row r="2168" spans="2:17">
      <c r="B2168" t="s">
        <v>3723</v>
      </c>
      <c r="C2168" t="s">
        <v>1408</v>
      </c>
      <c r="D2168">
        <v>1.4617711504143899E-9</v>
      </c>
      <c r="E2168" t="s">
        <v>640</v>
      </c>
      <c r="H2168" t="s">
        <v>588</v>
      </c>
      <c r="I2168">
        <v>1.4617711504143899E-9</v>
      </c>
      <c r="J2168">
        <v>1.1051709180756477</v>
      </c>
      <c r="N2168" t="s">
        <v>3724</v>
      </c>
      <c r="O2168" t="s">
        <v>1675</v>
      </c>
      <c r="Q2168" t="s">
        <v>595</v>
      </c>
    </row>
    <row r="2169" spans="2:17">
      <c r="B2169" t="s">
        <v>3725</v>
      </c>
      <c r="C2169" t="s">
        <v>1408</v>
      </c>
      <c r="D2169">
        <v>3.1799769890687298E-6</v>
      </c>
      <c r="E2169" t="s">
        <v>640</v>
      </c>
      <c r="H2169" t="s">
        <v>588</v>
      </c>
      <c r="I2169">
        <v>3.1799769890687298E-6</v>
      </c>
      <c r="J2169">
        <v>1</v>
      </c>
      <c r="N2169" t="s">
        <v>3726</v>
      </c>
      <c r="O2169" t="s">
        <v>1082</v>
      </c>
      <c r="Q2169" t="s">
        <v>3546</v>
      </c>
    </row>
    <row r="2170" spans="2:17">
      <c r="B2170" t="s">
        <v>1407</v>
      </c>
      <c r="C2170" t="s">
        <v>1408</v>
      </c>
      <c r="D2170">
        <v>6.4552920674779104E-7</v>
      </c>
      <c r="E2170" t="s">
        <v>640</v>
      </c>
      <c r="H2170" t="s">
        <v>588</v>
      </c>
      <c r="I2170">
        <v>6.4552920674779104E-7</v>
      </c>
      <c r="J2170">
        <v>1.151909910168909</v>
      </c>
      <c r="N2170" t="s">
        <v>1409</v>
      </c>
      <c r="O2170" t="s">
        <v>3727</v>
      </c>
      <c r="Q2170" t="s">
        <v>595</v>
      </c>
    </row>
    <row r="2171" spans="2:17">
      <c r="B2171" t="s">
        <v>1407</v>
      </c>
      <c r="C2171" t="s">
        <v>1408</v>
      </c>
      <c r="D2171">
        <v>7.0206423396898301E-7</v>
      </c>
      <c r="E2171" t="s">
        <v>640</v>
      </c>
      <c r="H2171" t="s">
        <v>588</v>
      </c>
      <c r="I2171">
        <v>7.0206423396898301E-7</v>
      </c>
      <c r="J2171">
        <v>1.151909910168909</v>
      </c>
      <c r="N2171" t="s">
        <v>1409</v>
      </c>
      <c r="O2171" t="s">
        <v>2420</v>
      </c>
      <c r="Q2171" t="s">
        <v>595</v>
      </c>
    </row>
    <row r="2172" spans="2:17">
      <c r="B2172" t="s">
        <v>3728</v>
      </c>
      <c r="C2172" t="s">
        <v>1138</v>
      </c>
      <c r="D2172">
        <v>2.7116049684630901E-6</v>
      </c>
      <c r="E2172" t="s">
        <v>94</v>
      </c>
      <c r="H2172" t="s">
        <v>588</v>
      </c>
      <c r="I2172">
        <v>2.7116049684630901E-6</v>
      </c>
      <c r="J2172">
        <v>1.0247973619913604</v>
      </c>
      <c r="N2172" t="s">
        <v>3729</v>
      </c>
      <c r="O2172" t="s">
        <v>3730</v>
      </c>
      <c r="Q2172" t="s">
        <v>3731</v>
      </c>
    </row>
    <row r="2173" spans="2:17">
      <c r="B2173" t="s">
        <v>3732</v>
      </c>
      <c r="C2173" t="s">
        <v>1249</v>
      </c>
      <c r="D2173">
        <v>1.91287803003565E-3</v>
      </c>
      <c r="E2173" t="s">
        <v>1171</v>
      </c>
      <c r="H2173" t="s">
        <v>588</v>
      </c>
      <c r="I2173">
        <v>1.91287803003565E-3</v>
      </c>
      <c r="J2173">
        <v>1</v>
      </c>
      <c r="N2173" t="s">
        <v>3733</v>
      </c>
      <c r="O2173" t="s">
        <v>1700</v>
      </c>
      <c r="Q2173" t="s">
        <v>1701</v>
      </c>
    </row>
    <row r="2174" spans="2:17">
      <c r="B2174" t="s">
        <v>3734</v>
      </c>
      <c r="C2174" t="s">
        <v>813</v>
      </c>
      <c r="D2174">
        <v>4.6927296621431403E-6</v>
      </c>
      <c r="E2174" t="s">
        <v>626</v>
      </c>
      <c r="H2174" t="s">
        <v>588</v>
      </c>
      <c r="I2174">
        <v>4.6927296621431403E-6</v>
      </c>
      <c r="J2174">
        <v>1</v>
      </c>
      <c r="N2174" t="s">
        <v>3735</v>
      </c>
      <c r="O2174" t="s">
        <v>1157</v>
      </c>
      <c r="Q2174" t="s">
        <v>3736</v>
      </c>
    </row>
    <row r="2175" spans="2:17">
      <c r="B2175" t="s">
        <v>3734</v>
      </c>
      <c r="C2175" t="s">
        <v>813</v>
      </c>
      <c r="D2175">
        <v>9.3854593447170694E-6</v>
      </c>
      <c r="E2175" t="s">
        <v>626</v>
      </c>
      <c r="H2175" t="s">
        <v>588</v>
      </c>
      <c r="I2175">
        <v>9.3854593447170694E-6</v>
      </c>
      <c r="J2175">
        <v>1</v>
      </c>
      <c r="N2175" t="s">
        <v>3737</v>
      </c>
      <c r="O2175" t="s">
        <v>1157</v>
      </c>
      <c r="Q2175" t="s">
        <v>3736</v>
      </c>
    </row>
    <row r="2176" spans="2:17">
      <c r="B2176" t="s">
        <v>1411</v>
      </c>
      <c r="C2176" t="s">
        <v>667</v>
      </c>
      <c r="D2176">
        <v>3.63308460325199E-3</v>
      </c>
      <c r="E2176" t="s">
        <v>94</v>
      </c>
      <c r="H2176" t="s">
        <v>588</v>
      </c>
      <c r="I2176">
        <v>3.63308460325199E-3</v>
      </c>
      <c r="J2176">
        <v>1.0805386501323246</v>
      </c>
      <c r="N2176" t="s">
        <v>1412</v>
      </c>
      <c r="O2176" t="s">
        <v>1665</v>
      </c>
      <c r="Q2176" t="s">
        <v>3738</v>
      </c>
    </row>
    <row r="2177" spans="2:17">
      <c r="B2177" t="s">
        <v>1411</v>
      </c>
      <c r="C2177" t="s">
        <v>667</v>
      </c>
      <c r="D2177">
        <v>2.6451037116781098E-4</v>
      </c>
      <c r="E2177" t="s">
        <v>94</v>
      </c>
      <c r="H2177" t="s">
        <v>588</v>
      </c>
      <c r="I2177">
        <v>2.6451037116781098E-4</v>
      </c>
      <c r="J2177">
        <v>1.2214027581601699</v>
      </c>
      <c r="N2177" t="s">
        <v>3739</v>
      </c>
      <c r="O2177" t="s">
        <v>2132</v>
      </c>
      <c r="Q2177" t="s">
        <v>595</v>
      </c>
    </row>
    <row r="2178" spans="2:17">
      <c r="B2178" t="s">
        <v>1414</v>
      </c>
      <c r="C2178" t="s">
        <v>821</v>
      </c>
      <c r="D2178">
        <v>9.1584899098366603E-4</v>
      </c>
      <c r="E2178" t="s">
        <v>94</v>
      </c>
      <c r="H2178" t="s">
        <v>588</v>
      </c>
      <c r="I2178">
        <v>9.1584899098366603E-4</v>
      </c>
      <c r="J2178">
        <v>1.2214027581601699</v>
      </c>
      <c r="N2178" t="s">
        <v>3740</v>
      </c>
      <c r="O2178" t="s">
        <v>1708</v>
      </c>
      <c r="Q2178" t="s">
        <v>595</v>
      </c>
    </row>
    <row r="2179" spans="2:17">
      <c r="B2179" t="s">
        <v>1414</v>
      </c>
      <c r="C2179" t="s">
        <v>821</v>
      </c>
      <c r="D2179">
        <v>2.24996652677084E-3</v>
      </c>
      <c r="E2179" t="s">
        <v>94</v>
      </c>
      <c r="H2179" t="s">
        <v>588</v>
      </c>
      <c r="I2179">
        <v>2.24996652677084E-3</v>
      </c>
      <c r="J2179">
        <v>1.2214027581601699</v>
      </c>
      <c r="N2179" t="s">
        <v>1415</v>
      </c>
      <c r="O2179" t="s">
        <v>1145</v>
      </c>
      <c r="Q2179" t="s">
        <v>595</v>
      </c>
    </row>
    <row r="2180" spans="2:17">
      <c r="B2180" t="s">
        <v>3741</v>
      </c>
      <c r="C2180" t="s">
        <v>1417</v>
      </c>
      <c r="D2180">
        <v>1.58214178975358E-5</v>
      </c>
      <c r="E2180" t="s">
        <v>626</v>
      </c>
      <c r="H2180" t="s">
        <v>588</v>
      </c>
      <c r="I2180">
        <v>1.58214178975358E-5</v>
      </c>
      <c r="J2180">
        <v>1.1051709180756477</v>
      </c>
      <c r="N2180" t="s">
        <v>3742</v>
      </c>
      <c r="O2180" t="s">
        <v>1798</v>
      </c>
      <c r="Q2180" t="s">
        <v>2671</v>
      </c>
    </row>
    <row r="2181" spans="2:17">
      <c r="B2181" t="s">
        <v>3743</v>
      </c>
      <c r="C2181" t="s">
        <v>673</v>
      </c>
      <c r="D2181">
        <v>1.03959936697142E-7</v>
      </c>
      <c r="E2181" t="s">
        <v>94</v>
      </c>
      <c r="H2181" t="s">
        <v>588</v>
      </c>
      <c r="I2181">
        <v>1.03959936697142E-7</v>
      </c>
      <c r="J2181">
        <v>1.1051709180756477</v>
      </c>
      <c r="N2181" t="s">
        <v>3744</v>
      </c>
      <c r="O2181" t="s">
        <v>3745</v>
      </c>
      <c r="Q2181" t="s">
        <v>595</v>
      </c>
    </row>
    <row r="2182" spans="2:17">
      <c r="B2182" t="s">
        <v>3746</v>
      </c>
      <c r="C2182" t="s">
        <v>587</v>
      </c>
      <c r="D2182">
        <v>1.18912747812115E-6</v>
      </c>
      <c r="E2182" t="s">
        <v>94</v>
      </c>
      <c r="Q2182" t="s">
        <v>1776</v>
      </c>
    </row>
    <row r="2183" spans="2:17">
      <c r="B2183" t="s">
        <v>3747</v>
      </c>
      <c r="C2183" t="s">
        <v>857</v>
      </c>
      <c r="D2183">
        <v>1.17936877442518E-9</v>
      </c>
      <c r="E2183" t="s">
        <v>626</v>
      </c>
      <c r="H2183" t="s">
        <v>588</v>
      </c>
      <c r="I2183">
        <v>1.17936877442518E-9</v>
      </c>
      <c r="J2183">
        <v>1.3229999999999869</v>
      </c>
      <c r="N2183" t="s">
        <v>3748</v>
      </c>
      <c r="O2183" t="s">
        <v>1686</v>
      </c>
      <c r="Q2183" t="s">
        <v>3749</v>
      </c>
    </row>
    <row r="2184" spans="2:17">
      <c r="B2184" t="s">
        <v>1419</v>
      </c>
      <c r="C2184" t="s">
        <v>667</v>
      </c>
      <c r="D2184">
        <v>1.04682063373669E-3</v>
      </c>
      <c r="E2184" t="s">
        <v>94</v>
      </c>
      <c r="H2184" t="s">
        <v>588</v>
      </c>
      <c r="I2184">
        <v>1.04682063373669E-3</v>
      </c>
      <c r="J2184">
        <v>1.0805386501323246</v>
      </c>
      <c r="N2184" t="s">
        <v>1420</v>
      </c>
      <c r="O2184" t="s">
        <v>1665</v>
      </c>
      <c r="Q2184" t="s">
        <v>3750</v>
      </c>
    </row>
    <row r="2185" spans="2:17">
      <c r="B2185" t="s">
        <v>1419</v>
      </c>
      <c r="C2185" t="s">
        <v>667</v>
      </c>
      <c r="D2185">
        <v>4.0828160121228197E-4</v>
      </c>
      <c r="E2185" t="s">
        <v>94</v>
      </c>
      <c r="H2185" t="s">
        <v>588</v>
      </c>
      <c r="I2185">
        <v>4.0828160121228197E-4</v>
      </c>
      <c r="J2185">
        <v>1.0247973619913604</v>
      </c>
      <c r="N2185" t="s">
        <v>3751</v>
      </c>
      <c r="O2185" t="s">
        <v>3752</v>
      </c>
      <c r="Q2185" t="s">
        <v>3753</v>
      </c>
    </row>
    <row r="2186" spans="2:17">
      <c r="B2186" t="s">
        <v>1421</v>
      </c>
      <c r="C2186" t="s">
        <v>821</v>
      </c>
      <c r="D2186">
        <v>9.6796731270286597E-6</v>
      </c>
      <c r="E2186" t="s">
        <v>94</v>
      </c>
      <c r="N2186" t="s">
        <v>3754</v>
      </c>
      <c r="Q2186" t="s">
        <v>695</v>
      </c>
    </row>
    <row r="2187" spans="2:17">
      <c r="B2187" t="s">
        <v>1421</v>
      </c>
      <c r="C2187" t="s">
        <v>821</v>
      </c>
      <c r="D2187">
        <v>5.6386658847515402E-4</v>
      </c>
      <c r="E2187" t="s">
        <v>94</v>
      </c>
      <c r="H2187" t="s">
        <v>588</v>
      </c>
      <c r="I2187">
        <v>5.6386658847515402E-4</v>
      </c>
      <c r="J2187">
        <v>1.0247973619913604</v>
      </c>
      <c r="N2187" t="s">
        <v>1422</v>
      </c>
      <c r="O2187" t="s">
        <v>1914</v>
      </c>
      <c r="Q2187" t="s">
        <v>3755</v>
      </c>
    </row>
    <row r="2188" spans="2:17">
      <c r="B2188" t="s">
        <v>3756</v>
      </c>
      <c r="C2188" t="s">
        <v>667</v>
      </c>
      <c r="D2188">
        <v>5.3048526583334403E-5</v>
      </c>
      <c r="E2188" t="s">
        <v>94</v>
      </c>
      <c r="H2188" t="s">
        <v>588</v>
      </c>
      <c r="I2188">
        <v>5.3048526583334403E-5</v>
      </c>
      <c r="J2188">
        <v>1.0247973619913604</v>
      </c>
      <c r="N2188" t="s">
        <v>3757</v>
      </c>
      <c r="O2188" t="s">
        <v>3752</v>
      </c>
      <c r="Q2188" t="s">
        <v>3758</v>
      </c>
    </row>
    <row r="2189" spans="2:17">
      <c r="B2189" t="s">
        <v>3756</v>
      </c>
      <c r="C2189" t="s">
        <v>667</v>
      </c>
      <c r="D2189">
        <v>2.2590704970986E-4</v>
      </c>
      <c r="E2189" t="s">
        <v>94</v>
      </c>
      <c r="H2189" t="s">
        <v>588</v>
      </c>
      <c r="I2189">
        <v>2.2590704970986E-4</v>
      </c>
      <c r="J2189">
        <v>1.0805386501323246</v>
      </c>
      <c r="N2189" t="s">
        <v>3759</v>
      </c>
      <c r="O2189" t="s">
        <v>1665</v>
      </c>
      <c r="Q2189" t="s">
        <v>3760</v>
      </c>
    </row>
    <row r="2190" spans="2:17">
      <c r="B2190" t="s">
        <v>1423</v>
      </c>
      <c r="C2190" t="s">
        <v>821</v>
      </c>
      <c r="D2190">
        <v>2.2303804382830502E-3</v>
      </c>
      <c r="E2190" t="s">
        <v>94</v>
      </c>
      <c r="H2190" t="s">
        <v>588</v>
      </c>
      <c r="I2190">
        <v>2.2303804382830502E-3</v>
      </c>
      <c r="J2190">
        <v>1.151909910168909</v>
      </c>
      <c r="N2190" t="s">
        <v>3761</v>
      </c>
      <c r="O2190" t="s">
        <v>2794</v>
      </c>
      <c r="Q2190" t="s">
        <v>695</v>
      </c>
    </row>
    <row r="2191" spans="2:17">
      <c r="B2191" t="s">
        <v>1423</v>
      </c>
      <c r="C2191" t="s">
        <v>821</v>
      </c>
      <c r="D2191">
        <v>5.8406652911699103E-3</v>
      </c>
      <c r="E2191" t="s">
        <v>94</v>
      </c>
      <c r="H2191" t="s">
        <v>588</v>
      </c>
      <c r="I2191">
        <v>5.8406652911699103E-3</v>
      </c>
      <c r="J2191">
        <v>1.0805386501323246</v>
      </c>
      <c r="N2191" t="s">
        <v>1424</v>
      </c>
      <c r="O2191" t="s">
        <v>1665</v>
      </c>
      <c r="Q2191" t="s">
        <v>3762</v>
      </c>
    </row>
    <row r="2192" spans="2:17">
      <c r="B2192" t="s">
        <v>3763</v>
      </c>
      <c r="C2192" t="s">
        <v>1698</v>
      </c>
      <c r="D2192">
        <v>1.2522753621073399E-4</v>
      </c>
      <c r="E2192" t="s">
        <v>616</v>
      </c>
      <c r="H2192" t="s">
        <v>588</v>
      </c>
      <c r="I2192">
        <v>1.2522753621073399E-4</v>
      </c>
      <c r="J2192">
        <v>1</v>
      </c>
      <c r="N2192" t="s">
        <v>3764</v>
      </c>
      <c r="O2192" t="s">
        <v>882</v>
      </c>
      <c r="Q2192" t="s">
        <v>1701</v>
      </c>
    </row>
    <row r="2193" spans="2:17">
      <c r="B2193" t="s">
        <v>3765</v>
      </c>
      <c r="C2193" t="s">
        <v>1698</v>
      </c>
      <c r="D2193">
        <v>3.5174692322365301E-6</v>
      </c>
      <c r="E2193" t="s">
        <v>616</v>
      </c>
      <c r="H2193" t="s">
        <v>588</v>
      </c>
      <c r="I2193">
        <v>3.5174692322365301E-6</v>
      </c>
      <c r="J2193">
        <v>1</v>
      </c>
      <c r="N2193" t="s">
        <v>3766</v>
      </c>
      <c r="O2193" t="s">
        <v>882</v>
      </c>
      <c r="Q2193" t="s">
        <v>979</v>
      </c>
    </row>
    <row r="2194" spans="2:17">
      <c r="B2194" t="s">
        <v>1425</v>
      </c>
      <c r="C2194" t="s">
        <v>676</v>
      </c>
      <c r="D2194">
        <v>2.12832491768069E-2</v>
      </c>
      <c r="E2194" t="s">
        <v>94</v>
      </c>
      <c r="H2194" t="s">
        <v>588</v>
      </c>
      <c r="I2194">
        <v>2.12832491768069E-2</v>
      </c>
      <c r="J2194">
        <v>1</v>
      </c>
      <c r="N2194" t="s">
        <v>1426</v>
      </c>
      <c r="O2194" t="s">
        <v>1157</v>
      </c>
      <c r="Q2194" t="s">
        <v>1924</v>
      </c>
    </row>
    <row r="2195" spans="2:17">
      <c r="B2195" t="s">
        <v>1428</v>
      </c>
      <c r="C2195" t="s">
        <v>670</v>
      </c>
      <c r="D2195">
        <v>8.45901359033786E-5</v>
      </c>
      <c r="E2195" t="s">
        <v>94</v>
      </c>
      <c r="H2195" t="s">
        <v>588</v>
      </c>
      <c r="I2195">
        <v>8.45901359033786E-5</v>
      </c>
      <c r="J2195">
        <v>1.0247973619913604</v>
      </c>
      <c r="N2195" t="s">
        <v>1429</v>
      </c>
      <c r="O2195" t="s">
        <v>3767</v>
      </c>
      <c r="Q2195" t="s">
        <v>3768</v>
      </c>
    </row>
    <row r="2196" spans="2:17">
      <c r="B2196" t="s">
        <v>3769</v>
      </c>
      <c r="C2196" t="s">
        <v>673</v>
      </c>
      <c r="D2196">
        <v>3.30278912875942E-6</v>
      </c>
      <c r="E2196" t="s">
        <v>94</v>
      </c>
      <c r="H2196" t="s">
        <v>588</v>
      </c>
      <c r="I2196">
        <v>3.30278912875942E-6</v>
      </c>
      <c r="J2196">
        <v>1</v>
      </c>
      <c r="N2196" t="s">
        <v>3770</v>
      </c>
      <c r="O2196" t="s">
        <v>1654</v>
      </c>
      <c r="Q2196" t="s">
        <v>3771</v>
      </c>
    </row>
    <row r="2197" spans="2:17">
      <c r="B2197" t="s">
        <v>3772</v>
      </c>
      <c r="C2197" t="s">
        <v>673</v>
      </c>
      <c r="D2197">
        <v>1.72652341059808E-8</v>
      </c>
      <c r="E2197" t="s">
        <v>94</v>
      </c>
      <c r="H2197" t="s">
        <v>588</v>
      </c>
      <c r="I2197">
        <v>1.72652341059808E-8</v>
      </c>
      <c r="J2197">
        <v>1</v>
      </c>
      <c r="N2197" t="s">
        <v>3773</v>
      </c>
      <c r="O2197" t="s">
        <v>1918</v>
      </c>
      <c r="Q2197" t="s">
        <v>3509</v>
      </c>
    </row>
    <row r="2198" spans="2:17">
      <c r="B2198" t="s">
        <v>3774</v>
      </c>
      <c r="C2198" t="s">
        <v>667</v>
      </c>
      <c r="D2198">
        <v>3.2354984620048502E-4</v>
      </c>
      <c r="E2198" t="s">
        <v>94</v>
      </c>
      <c r="H2198" t="s">
        <v>588</v>
      </c>
      <c r="I2198">
        <v>3.2354984620048502E-4</v>
      </c>
      <c r="J2198">
        <v>1.0247973619913604</v>
      </c>
      <c r="N2198" t="s">
        <v>3775</v>
      </c>
      <c r="O2198" t="s">
        <v>2255</v>
      </c>
      <c r="Q2198" t="s">
        <v>3776</v>
      </c>
    </row>
    <row r="2199" spans="2:17">
      <c r="B2199" t="s">
        <v>3777</v>
      </c>
      <c r="C2199" t="s">
        <v>673</v>
      </c>
      <c r="D2199">
        <v>1.0189585135163801E-5</v>
      </c>
      <c r="E2199" t="s">
        <v>94</v>
      </c>
      <c r="H2199" t="s">
        <v>588</v>
      </c>
      <c r="I2199">
        <v>1.0189585135163801E-5</v>
      </c>
      <c r="J2199">
        <v>1</v>
      </c>
      <c r="N2199" t="s">
        <v>3778</v>
      </c>
      <c r="O2199" t="s">
        <v>1654</v>
      </c>
      <c r="Q2199" t="s">
        <v>3779</v>
      </c>
    </row>
    <row r="2200" spans="2:17">
      <c r="B2200" t="s">
        <v>3780</v>
      </c>
      <c r="C2200" t="s">
        <v>615</v>
      </c>
      <c r="D2200">
        <v>2.8342822695953101E-14</v>
      </c>
      <c r="E2200" t="s">
        <v>616</v>
      </c>
      <c r="H2200" t="s">
        <v>588</v>
      </c>
      <c r="I2200">
        <v>2.8342822695953101E-14</v>
      </c>
      <c r="J2200">
        <v>1.7293101253499219</v>
      </c>
      <c r="N2200" t="s">
        <v>3781</v>
      </c>
      <c r="O2200" t="s">
        <v>1654</v>
      </c>
      <c r="Q2200" t="s">
        <v>595</v>
      </c>
    </row>
    <row r="2201" spans="2:17">
      <c r="B2201" t="s">
        <v>700</v>
      </c>
      <c r="C2201" t="s">
        <v>701</v>
      </c>
      <c r="D2201">
        <v>3.1735910373425103E-5</v>
      </c>
      <c r="E2201" t="s">
        <v>94</v>
      </c>
      <c r="H2201" t="s">
        <v>588</v>
      </c>
      <c r="I2201">
        <v>3.1735910373425103E-5</v>
      </c>
      <c r="J2201">
        <v>1.499999999999694</v>
      </c>
      <c r="N2201" t="s">
        <v>702</v>
      </c>
      <c r="O2201" t="s">
        <v>952</v>
      </c>
      <c r="Q2201" t="s">
        <v>3782</v>
      </c>
    </row>
    <row r="2202" spans="2:17">
      <c r="B2202" t="s">
        <v>700</v>
      </c>
      <c r="C2202" t="s">
        <v>701</v>
      </c>
      <c r="D2202">
        <v>9.2981374676607404E-6</v>
      </c>
      <c r="E2202" t="s">
        <v>94</v>
      </c>
      <c r="H2202" t="s">
        <v>588</v>
      </c>
      <c r="I2202">
        <v>9.2981374676607404E-6</v>
      </c>
      <c r="J2202">
        <v>1.0247973619913604</v>
      </c>
      <c r="N2202" t="s">
        <v>3783</v>
      </c>
      <c r="O2202" t="s">
        <v>1765</v>
      </c>
      <c r="Q2202" t="s">
        <v>1766</v>
      </c>
    </row>
    <row r="2203" spans="2:17">
      <c r="B2203" t="s">
        <v>700</v>
      </c>
      <c r="C2203" t="s">
        <v>701</v>
      </c>
      <c r="D2203">
        <v>4.3427447389082998E-5</v>
      </c>
      <c r="E2203" t="s">
        <v>94</v>
      </c>
      <c r="H2203" t="s">
        <v>588</v>
      </c>
      <c r="I2203">
        <v>4.3427447389082998E-5</v>
      </c>
      <c r="J2203">
        <v>1.499999999999694</v>
      </c>
      <c r="N2203" t="s">
        <v>702</v>
      </c>
      <c r="O2203" t="s">
        <v>952</v>
      </c>
      <c r="Q2203" t="s">
        <v>3782</v>
      </c>
    </row>
    <row r="2204" spans="2:17">
      <c r="B2204" t="s">
        <v>1433</v>
      </c>
      <c r="C2204" t="s">
        <v>667</v>
      </c>
      <c r="D2204">
        <v>4.0078756576203598E-8</v>
      </c>
      <c r="E2204" t="s">
        <v>94</v>
      </c>
      <c r="H2204" t="s">
        <v>588</v>
      </c>
      <c r="I2204">
        <v>4.0078756576203598E-8</v>
      </c>
      <c r="J2204">
        <v>1.0247973619913604</v>
      </c>
      <c r="N2204" t="s">
        <v>1434</v>
      </c>
      <c r="O2204" t="s">
        <v>641</v>
      </c>
      <c r="Q2204" t="s">
        <v>1672</v>
      </c>
    </row>
    <row r="2205" spans="2:17">
      <c r="B2205" t="s">
        <v>3784</v>
      </c>
      <c r="C2205" t="s">
        <v>587</v>
      </c>
      <c r="D2205">
        <v>2.7542525712159998E-6</v>
      </c>
      <c r="E2205" t="s">
        <v>94</v>
      </c>
      <c r="H2205" t="s">
        <v>588</v>
      </c>
      <c r="I2205">
        <v>2.7542525712159998E-6</v>
      </c>
      <c r="J2205">
        <v>1.0247973619913604</v>
      </c>
      <c r="O2205" t="s">
        <v>641</v>
      </c>
      <c r="Q2205" t="s">
        <v>1643</v>
      </c>
    </row>
    <row r="2206" spans="2:17">
      <c r="B2206" t="s">
        <v>3785</v>
      </c>
      <c r="C2206" t="s">
        <v>2275</v>
      </c>
      <c r="D2206">
        <v>6.6821575256280507E-5</v>
      </c>
      <c r="E2206" t="s">
        <v>94</v>
      </c>
      <c r="H2206" t="s">
        <v>588</v>
      </c>
      <c r="I2206">
        <v>6.6821575256280507E-5</v>
      </c>
      <c r="J2206">
        <v>1.0247973619913604</v>
      </c>
      <c r="N2206" t="s">
        <v>3786</v>
      </c>
      <c r="O2206" t="s">
        <v>2272</v>
      </c>
      <c r="Q2206" t="s">
        <v>2277</v>
      </c>
    </row>
    <row r="2207" spans="2:17">
      <c r="B2207" t="s">
        <v>3787</v>
      </c>
      <c r="C2207" t="s">
        <v>1408</v>
      </c>
      <c r="D2207">
        <v>5.48121035837433E-4</v>
      </c>
      <c r="E2207" t="s">
        <v>94</v>
      </c>
      <c r="H2207" t="s">
        <v>588</v>
      </c>
      <c r="I2207">
        <v>5.48121035837433E-4</v>
      </c>
      <c r="J2207">
        <v>1.1712995782321958</v>
      </c>
      <c r="N2207" t="s">
        <v>3788</v>
      </c>
      <c r="O2207" t="s">
        <v>2711</v>
      </c>
      <c r="Q2207" t="s">
        <v>3789</v>
      </c>
    </row>
    <row r="2208" spans="2:17">
      <c r="B2208" t="s">
        <v>3787</v>
      </c>
      <c r="C2208" t="s">
        <v>1408</v>
      </c>
      <c r="D2208">
        <v>1.68718043433131E-4</v>
      </c>
      <c r="E2208" t="s">
        <v>94</v>
      </c>
      <c r="H2208" t="s">
        <v>588</v>
      </c>
      <c r="I2208">
        <v>1.68718043433131E-4</v>
      </c>
      <c r="J2208">
        <v>1.0652883920946086</v>
      </c>
      <c r="N2208" t="s">
        <v>3788</v>
      </c>
      <c r="O2208" t="s">
        <v>1951</v>
      </c>
      <c r="Q2208" t="s">
        <v>3789</v>
      </c>
    </row>
    <row r="2209" spans="2:17">
      <c r="B2209" t="s">
        <v>3787</v>
      </c>
      <c r="C2209" t="s">
        <v>1408</v>
      </c>
      <c r="D2209">
        <v>8.1423716845261198E-4</v>
      </c>
      <c r="E2209" t="s">
        <v>94</v>
      </c>
      <c r="H2209" t="s">
        <v>588</v>
      </c>
      <c r="I2209">
        <v>8.1423716845261198E-4</v>
      </c>
      <c r="J2209">
        <v>1.1712995782321958</v>
      </c>
      <c r="N2209" t="s">
        <v>3788</v>
      </c>
      <c r="O2209" t="s">
        <v>2711</v>
      </c>
      <c r="Q2209" t="s">
        <v>3789</v>
      </c>
    </row>
    <row r="2210" spans="2:17">
      <c r="B2210" t="s">
        <v>3787</v>
      </c>
      <c r="C2210" t="s">
        <v>1408</v>
      </c>
      <c r="D2210">
        <v>6.5422030837810198E-4</v>
      </c>
      <c r="E2210" t="s">
        <v>94</v>
      </c>
      <c r="H2210" t="s">
        <v>588</v>
      </c>
      <c r="I2210">
        <v>6.5422030837810198E-4</v>
      </c>
      <c r="J2210">
        <v>1.0652883920946086</v>
      </c>
      <c r="N2210" t="s">
        <v>3788</v>
      </c>
      <c r="O2210" t="s">
        <v>1951</v>
      </c>
      <c r="Q2210" t="s">
        <v>3789</v>
      </c>
    </row>
    <row r="2211" spans="2:17">
      <c r="B2211" t="s">
        <v>1437</v>
      </c>
      <c r="C2211" t="s">
        <v>708</v>
      </c>
      <c r="D2211">
        <v>1.33966766092652E-4</v>
      </c>
      <c r="E2211" t="s">
        <v>94</v>
      </c>
      <c r="H2211" t="s">
        <v>588</v>
      </c>
      <c r="I2211">
        <v>1.33966766092652E-4</v>
      </c>
      <c r="J2211">
        <v>1.7293101253499219</v>
      </c>
      <c r="N2211" t="s">
        <v>1438</v>
      </c>
      <c r="O2211" t="s">
        <v>1927</v>
      </c>
      <c r="Q2211" t="s">
        <v>3790</v>
      </c>
    </row>
    <row r="2212" spans="2:17">
      <c r="B2212" t="s">
        <v>1439</v>
      </c>
      <c r="C2212" t="s">
        <v>673</v>
      </c>
      <c r="D2212">
        <v>1.99031282524524E-4</v>
      </c>
      <c r="E2212" t="s">
        <v>94</v>
      </c>
      <c r="H2212" t="s">
        <v>588</v>
      </c>
      <c r="I2212">
        <v>1.99031282524524E-4</v>
      </c>
      <c r="J2212">
        <v>1.0247973619913604</v>
      </c>
      <c r="N2212" t="s">
        <v>1440</v>
      </c>
      <c r="O2212" t="s">
        <v>641</v>
      </c>
      <c r="Q2212" t="s">
        <v>1643</v>
      </c>
    </row>
    <row r="2213" spans="2:17">
      <c r="B2213" t="s">
        <v>928</v>
      </c>
      <c r="C2213" t="s">
        <v>673</v>
      </c>
      <c r="D2213">
        <v>2.3815987759139101E-5</v>
      </c>
      <c r="E2213" t="s">
        <v>94</v>
      </c>
      <c r="H2213" t="s">
        <v>588</v>
      </c>
      <c r="I2213">
        <v>2.3815987759139101E-5</v>
      </c>
      <c r="J2213">
        <v>1.0247973619913604</v>
      </c>
      <c r="N2213" t="s">
        <v>3791</v>
      </c>
      <c r="O2213" t="s">
        <v>1765</v>
      </c>
      <c r="Q2213" t="s">
        <v>1766</v>
      </c>
    </row>
    <row r="2214" spans="2:17">
      <c r="B2214" t="s">
        <v>928</v>
      </c>
      <c r="C2214" t="s">
        <v>673</v>
      </c>
      <c r="D2214">
        <v>7.6931791426372098E-3</v>
      </c>
      <c r="E2214" t="s">
        <v>94</v>
      </c>
      <c r="H2214" t="s">
        <v>588</v>
      </c>
      <c r="I2214">
        <v>7.6931791426372098E-3</v>
      </c>
      <c r="J2214">
        <v>1</v>
      </c>
      <c r="N2214" t="s">
        <v>929</v>
      </c>
      <c r="O2214" t="s">
        <v>1157</v>
      </c>
      <c r="Q2214" t="s">
        <v>3792</v>
      </c>
    </row>
    <row r="2215" spans="2:17">
      <c r="B2215" t="s">
        <v>3793</v>
      </c>
      <c r="C2215" t="s">
        <v>853</v>
      </c>
      <c r="D2215">
        <v>1.3141012699486701E-4</v>
      </c>
      <c r="E2215" t="s">
        <v>94</v>
      </c>
      <c r="H2215" t="s">
        <v>588</v>
      </c>
      <c r="I2215">
        <v>1.3141012699486701E-4</v>
      </c>
      <c r="J2215">
        <v>1.1051709180756477</v>
      </c>
      <c r="N2215" t="s">
        <v>3794</v>
      </c>
      <c r="O2215" t="s">
        <v>1700</v>
      </c>
      <c r="Q2215" t="s">
        <v>1990</v>
      </c>
    </row>
    <row r="2216" spans="2:17">
      <c r="B2216" t="s">
        <v>3793</v>
      </c>
      <c r="C2216" t="s">
        <v>853</v>
      </c>
      <c r="D2216">
        <v>9.1131879570653107E-5</v>
      </c>
      <c r="E2216" t="s">
        <v>94</v>
      </c>
      <c r="H2216" t="s">
        <v>588</v>
      </c>
      <c r="I2216">
        <v>9.1131879570653107E-5</v>
      </c>
      <c r="J2216">
        <v>1.0247973619913604</v>
      </c>
      <c r="N2216" t="s">
        <v>3795</v>
      </c>
      <c r="O2216" t="s">
        <v>1765</v>
      </c>
      <c r="Q2216" t="s">
        <v>1766</v>
      </c>
    </row>
    <row r="2217" spans="2:17">
      <c r="B2217" t="s">
        <v>3796</v>
      </c>
      <c r="C2217" t="s">
        <v>673</v>
      </c>
      <c r="D2217">
        <v>1.3523759174462299E-4</v>
      </c>
      <c r="E2217" t="s">
        <v>94</v>
      </c>
      <c r="H2217" t="s">
        <v>588</v>
      </c>
      <c r="I2217">
        <v>1.3523759174462299E-4</v>
      </c>
      <c r="J2217">
        <v>1.0247973619913604</v>
      </c>
      <c r="N2217" t="s">
        <v>3797</v>
      </c>
      <c r="O2217" t="s">
        <v>2004</v>
      </c>
      <c r="Q2217" t="s">
        <v>2005</v>
      </c>
    </row>
    <row r="2218" spans="2:17">
      <c r="B2218" t="s">
        <v>3796</v>
      </c>
      <c r="C2218" t="s">
        <v>673</v>
      </c>
      <c r="D2218">
        <v>5.3062976118997901E-4</v>
      </c>
      <c r="E2218" t="s">
        <v>94</v>
      </c>
      <c r="H2218" t="s">
        <v>588</v>
      </c>
      <c r="I2218">
        <v>5.3062976118997901E-4</v>
      </c>
      <c r="J2218">
        <v>1.0247973619913604</v>
      </c>
      <c r="N2218" t="s">
        <v>3797</v>
      </c>
      <c r="O2218" t="s">
        <v>2006</v>
      </c>
      <c r="Q2218" t="s">
        <v>1679</v>
      </c>
    </row>
    <row r="2219" spans="2:17">
      <c r="B2219" t="s">
        <v>3798</v>
      </c>
      <c r="C2219" t="s">
        <v>587</v>
      </c>
      <c r="D2219">
        <v>1.9493090758558301E-2</v>
      </c>
      <c r="E2219" t="s">
        <v>94</v>
      </c>
      <c r="Q2219" t="s">
        <v>1776</v>
      </c>
    </row>
    <row r="2220" spans="2:17">
      <c r="B2220" t="s">
        <v>930</v>
      </c>
      <c r="C2220" t="s">
        <v>569</v>
      </c>
      <c r="D2220">
        <v>7.9571808986172998E-3</v>
      </c>
      <c r="E2220" t="s">
        <v>94</v>
      </c>
      <c r="H2220" t="s">
        <v>588</v>
      </c>
      <c r="I2220">
        <v>7.9571808986172998E-3</v>
      </c>
      <c r="J2220">
        <v>1.0247973619913604</v>
      </c>
      <c r="N2220" t="s">
        <v>931</v>
      </c>
      <c r="O2220" t="s">
        <v>1002</v>
      </c>
    </row>
    <row r="2221" spans="2:17">
      <c r="B2221" t="s">
        <v>3799</v>
      </c>
      <c r="C2221" t="s">
        <v>673</v>
      </c>
      <c r="D2221">
        <v>4.3899890189280098E-7</v>
      </c>
      <c r="E2221" t="s">
        <v>94</v>
      </c>
      <c r="H2221" t="s">
        <v>588</v>
      </c>
      <c r="I2221">
        <v>4.3899890189280098E-7</v>
      </c>
      <c r="J2221">
        <v>1.0247973619913604</v>
      </c>
      <c r="N2221" t="s">
        <v>3800</v>
      </c>
      <c r="O2221" t="s">
        <v>641</v>
      </c>
      <c r="Q2221" t="s">
        <v>1643</v>
      </c>
    </row>
    <row r="2222" spans="2:17">
      <c r="B2222" t="s">
        <v>3799</v>
      </c>
      <c r="C2222" t="s">
        <v>673</v>
      </c>
      <c r="D2222">
        <v>1.36565792802973E-5</v>
      </c>
      <c r="E2222" t="s">
        <v>94</v>
      </c>
      <c r="H2222" t="s">
        <v>588</v>
      </c>
      <c r="I2222">
        <v>1.36565792802973E-5</v>
      </c>
      <c r="J2222">
        <v>1.0247973619913604</v>
      </c>
      <c r="N2222" t="s">
        <v>3800</v>
      </c>
      <c r="O2222" t="s">
        <v>641</v>
      </c>
      <c r="Q2222" t="s">
        <v>1643</v>
      </c>
    </row>
    <row r="2223" spans="2:17">
      <c r="B2223" t="s">
        <v>3801</v>
      </c>
      <c r="C2223" t="s">
        <v>673</v>
      </c>
      <c r="D2223">
        <v>8.6665398810841995E-4</v>
      </c>
      <c r="E2223" t="s">
        <v>94</v>
      </c>
      <c r="H2223" t="s">
        <v>588</v>
      </c>
      <c r="I2223">
        <v>8.6665398810841995E-4</v>
      </c>
      <c r="J2223">
        <v>1.0247973619913604</v>
      </c>
      <c r="N2223" t="s">
        <v>3802</v>
      </c>
      <c r="O2223" t="s">
        <v>641</v>
      </c>
      <c r="Q2223" t="s">
        <v>1643</v>
      </c>
    </row>
    <row r="2224" spans="2:17">
      <c r="B2224" t="s">
        <v>1442</v>
      </c>
      <c r="C2224" t="s">
        <v>673</v>
      </c>
      <c r="D2224">
        <v>1.8723197954948698E-8</v>
      </c>
      <c r="E2224" t="s">
        <v>94</v>
      </c>
      <c r="H2224" t="s">
        <v>588</v>
      </c>
      <c r="I2224">
        <v>1.8723197954948698E-8</v>
      </c>
      <c r="J2224">
        <v>1.0247973619913604</v>
      </c>
      <c r="N2224" t="s">
        <v>1443</v>
      </c>
      <c r="O2224" t="s">
        <v>2422</v>
      </c>
    </row>
    <row r="2225" spans="2:17">
      <c r="B2225" t="s">
        <v>1442</v>
      </c>
      <c r="C2225" t="s">
        <v>673</v>
      </c>
      <c r="D2225">
        <v>1.82900738492541E-5</v>
      </c>
      <c r="E2225" t="s">
        <v>94</v>
      </c>
      <c r="H2225" t="s">
        <v>588</v>
      </c>
      <c r="I2225">
        <v>1.82900738492541E-5</v>
      </c>
      <c r="J2225">
        <v>1.0247973619913604</v>
      </c>
      <c r="N2225" t="s">
        <v>1443</v>
      </c>
      <c r="O2225" t="s">
        <v>1157</v>
      </c>
      <c r="Q2225" t="s">
        <v>1166</v>
      </c>
    </row>
    <row r="2226" spans="2:17">
      <c r="B2226" t="s">
        <v>3803</v>
      </c>
      <c r="C2226" t="s">
        <v>673</v>
      </c>
      <c r="D2226">
        <v>3.3944183915689702E-6</v>
      </c>
      <c r="E2226" t="s">
        <v>94</v>
      </c>
      <c r="H2226" t="s">
        <v>588</v>
      </c>
      <c r="I2226">
        <v>3.3944183915689702E-6</v>
      </c>
      <c r="J2226">
        <v>1.0247973619913604</v>
      </c>
      <c r="N2226" t="s">
        <v>3804</v>
      </c>
      <c r="O2226" t="s">
        <v>2006</v>
      </c>
      <c r="Q2226" t="s">
        <v>1679</v>
      </c>
    </row>
    <row r="2227" spans="2:17">
      <c r="B2227" t="s">
        <v>3803</v>
      </c>
      <c r="C2227" t="s">
        <v>673</v>
      </c>
      <c r="D2227">
        <v>3.5265048324168598E-6</v>
      </c>
      <c r="E2227" t="s">
        <v>94</v>
      </c>
      <c r="H2227" t="s">
        <v>588</v>
      </c>
      <c r="I2227">
        <v>3.5265048324168598E-6</v>
      </c>
      <c r="J2227">
        <v>1.0247973619913604</v>
      </c>
      <c r="N2227" t="s">
        <v>3804</v>
      </c>
      <c r="O2227" t="s">
        <v>2004</v>
      </c>
      <c r="Q2227" t="s">
        <v>2005</v>
      </c>
    </row>
    <row r="2228" spans="2:17">
      <c r="B2228" t="s">
        <v>3805</v>
      </c>
      <c r="C2228" t="s">
        <v>673</v>
      </c>
      <c r="D2228">
        <v>8.4416754170478498E-7</v>
      </c>
      <c r="E2228" t="s">
        <v>94</v>
      </c>
      <c r="H2228" t="s">
        <v>588</v>
      </c>
      <c r="I2228">
        <v>8.4416754170478498E-7</v>
      </c>
      <c r="J2228">
        <v>1.0247973619913604</v>
      </c>
      <c r="N2228" t="s">
        <v>3806</v>
      </c>
      <c r="O2228" t="s">
        <v>641</v>
      </c>
      <c r="Q2228" t="s">
        <v>1643</v>
      </c>
    </row>
    <row r="2229" spans="2:17">
      <c r="B2229" t="s">
        <v>3807</v>
      </c>
      <c r="C2229" t="s">
        <v>673</v>
      </c>
      <c r="D2229">
        <v>1.6671761604261699E-5</v>
      </c>
      <c r="E2229" t="s">
        <v>94</v>
      </c>
      <c r="H2229" t="s">
        <v>588</v>
      </c>
      <c r="I2229">
        <v>1.6671761604261699E-5</v>
      </c>
      <c r="J2229">
        <v>1.0247973619913604</v>
      </c>
      <c r="N2229" t="s">
        <v>3808</v>
      </c>
      <c r="O2229" t="s">
        <v>641</v>
      </c>
      <c r="Q2229" t="s">
        <v>1672</v>
      </c>
    </row>
    <row r="2230" spans="2:17">
      <c r="B2230" t="s">
        <v>703</v>
      </c>
      <c r="C2230" t="s">
        <v>673</v>
      </c>
      <c r="D2230">
        <v>9.8769558308197195E-9</v>
      </c>
      <c r="E2230" t="s">
        <v>94</v>
      </c>
      <c r="H2230" t="s">
        <v>588</v>
      </c>
      <c r="I2230">
        <v>9.8769558308197195E-9</v>
      </c>
      <c r="J2230">
        <v>1.0247973619913604</v>
      </c>
      <c r="N2230" t="s">
        <v>917</v>
      </c>
      <c r="O2230" t="s">
        <v>1765</v>
      </c>
      <c r="Q2230" t="s">
        <v>1766</v>
      </c>
    </row>
    <row r="2231" spans="2:17">
      <c r="B2231" t="s">
        <v>703</v>
      </c>
      <c r="C2231" t="s">
        <v>673</v>
      </c>
      <c r="D2231">
        <v>3.6746037956511997E-11</v>
      </c>
      <c r="E2231" t="s">
        <v>94</v>
      </c>
      <c r="H2231" t="s">
        <v>588</v>
      </c>
      <c r="I2231">
        <v>3.6746037956511997E-11</v>
      </c>
      <c r="J2231">
        <v>1</v>
      </c>
      <c r="N2231" t="s">
        <v>917</v>
      </c>
      <c r="O2231" t="s">
        <v>1157</v>
      </c>
      <c r="Q2231" t="s">
        <v>1445</v>
      </c>
    </row>
    <row r="2232" spans="2:17">
      <c r="B2232" t="s">
        <v>703</v>
      </c>
      <c r="C2232" t="s">
        <v>673</v>
      </c>
      <c r="D2232">
        <v>7.0088701941661002E-3</v>
      </c>
      <c r="E2232" t="s">
        <v>94</v>
      </c>
      <c r="H2232" t="s">
        <v>588</v>
      </c>
      <c r="I2232">
        <v>7.0088701941661002E-3</v>
      </c>
      <c r="J2232">
        <v>1.0247973619913604</v>
      </c>
      <c r="N2232" t="s">
        <v>704</v>
      </c>
      <c r="O2232" t="s">
        <v>1002</v>
      </c>
      <c r="Q2232" t="s">
        <v>1444</v>
      </c>
    </row>
    <row r="2233" spans="2:17">
      <c r="B2233" t="s">
        <v>3809</v>
      </c>
      <c r="C2233" t="s">
        <v>673</v>
      </c>
      <c r="D2233">
        <v>4.7754307533874499E-4</v>
      </c>
      <c r="E2233" t="s">
        <v>94</v>
      </c>
      <c r="H2233" t="s">
        <v>588</v>
      </c>
      <c r="I2233">
        <v>4.7754307533874499E-4</v>
      </c>
      <c r="J2233">
        <v>1.0247973619913604</v>
      </c>
      <c r="N2233" t="s">
        <v>3810</v>
      </c>
      <c r="O2233" t="s">
        <v>641</v>
      </c>
      <c r="Q2233" t="s">
        <v>1672</v>
      </c>
    </row>
    <row r="2234" spans="2:17">
      <c r="B2234" t="s">
        <v>3809</v>
      </c>
      <c r="C2234" t="s">
        <v>673</v>
      </c>
      <c r="D2234">
        <v>1.03556853045952E-4</v>
      </c>
      <c r="E2234" t="s">
        <v>94</v>
      </c>
      <c r="H2234" t="s">
        <v>588</v>
      </c>
      <c r="I2234">
        <v>1.03556853045952E-4</v>
      </c>
      <c r="J2234">
        <v>1.0247973619913604</v>
      </c>
      <c r="N2234" t="s">
        <v>3810</v>
      </c>
      <c r="O2234" t="s">
        <v>641</v>
      </c>
      <c r="Q2234" t="s">
        <v>1672</v>
      </c>
    </row>
    <row r="2235" spans="2:17">
      <c r="B2235" t="s">
        <v>3811</v>
      </c>
      <c r="C2235" t="s">
        <v>708</v>
      </c>
      <c r="D2235">
        <v>6.4815513488825596E-8</v>
      </c>
      <c r="E2235" t="s">
        <v>94</v>
      </c>
      <c r="H2235" t="s">
        <v>588</v>
      </c>
      <c r="I2235">
        <v>6.4815513488825596E-8</v>
      </c>
      <c r="J2235">
        <v>1.0247973619913604</v>
      </c>
      <c r="N2235" t="s">
        <v>3812</v>
      </c>
      <c r="O2235" t="s">
        <v>609</v>
      </c>
      <c r="Q2235" t="s">
        <v>3813</v>
      </c>
    </row>
    <row r="2236" spans="2:17">
      <c r="B2236" t="s">
        <v>3811</v>
      </c>
      <c r="C2236" t="s">
        <v>708</v>
      </c>
      <c r="D2236">
        <v>4.0266387985827798E-8</v>
      </c>
      <c r="E2236" t="s">
        <v>94</v>
      </c>
      <c r="H2236" t="s">
        <v>588</v>
      </c>
      <c r="I2236">
        <v>4.0266387985827798E-8</v>
      </c>
      <c r="J2236">
        <v>1.0247973619913604</v>
      </c>
      <c r="N2236" t="s">
        <v>3812</v>
      </c>
      <c r="O2236" t="s">
        <v>2114</v>
      </c>
      <c r="Q2236" t="s">
        <v>3813</v>
      </c>
    </row>
    <row r="2237" spans="2:17">
      <c r="B2237" t="s">
        <v>3814</v>
      </c>
      <c r="C2237" t="s">
        <v>673</v>
      </c>
      <c r="D2237">
        <v>7.4156366922939997E-7</v>
      </c>
      <c r="E2237" t="s">
        <v>94</v>
      </c>
      <c r="H2237" t="s">
        <v>588</v>
      </c>
      <c r="I2237">
        <v>7.4156366922939997E-7</v>
      </c>
      <c r="J2237">
        <v>1.0247973619913604</v>
      </c>
      <c r="N2237" t="s">
        <v>3815</v>
      </c>
      <c r="O2237" t="s">
        <v>1435</v>
      </c>
      <c r="Q2237" t="s">
        <v>3816</v>
      </c>
    </row>
    <row r="2238" spans="2:17">
      <c r="B2238" t="s">
        <v>3817</v>
      </c>
      <c r="C2238" t="s">
        <v>587</v>
      </c>
      <c r="D2238">
        <v>6.5630181659790399E-12</v>
      </c>
      <c r="E2238" t="s">
        <v>94</v>
      </c>
      <c r="Q2238" t="s">
        <v>1776</v>
      </c>
    </row>
    <row r="2239" spans="2:17">
      <c r="B2239" t="s">
        <v>3818</v>
      </c>
      <c r="C2239" t="s">
        <v>708</v>
      </c>
      <c r="D2239">
        <v>7.1113262059443006E-8</v>
      </c>
      <c r="E2239" t="s">
        <v>94</v>
      </c>
      <c r="H2239" t="s">
        <v>588</v>
      </c>
      <c r="I2239">
        <v>7.1113262059443006E-8</v>
      </c>
      <c r="J2239">
        <v>1.0247973619913604</v>
      </c>
      <c r="N2239" t="s">
        <v>3819</v>
      </c>
      <c r="O2239" t="s">
        <v>1779</v>
      </c>
      <c r="Q2239" t="s">
        <v>1780</v>
      </c>
    </row>
    <row r="2240" spans="2:17">
      <c r="B2240" t="s">
        <v>3818</v>
      </c>
      <c r="C2240" t="s">
        <v>708</v>
      </c>
      <c r="D2240">
        <v>3.8447014886569997E-7</v>
      </c>
      <c r="E2240" t="s">
        <v>94</v>
      </c>
      <c r="H2240" t="s">
        <v>588</v>
      </c>
      <c r="I2240">
        <v>3.8447014886569997E-7</v>
      </c>
      <c r="J2240">
        <v>1.0247973619913604</v>
      </c>
      <c r="N2240" t="s">
        <v>3819</v>
      </c>
      <c r="O2240" t="s">
        <v>1779</v>
      </c>
      <c r="Q2240" t="s">
        <v>1780</v>
      </c>
    </row>
    <row r="2241" spans="2:17">
      <c r="B2241" t="s">
        <v>3820</v>
      </c>
      <c r="C2241" t="s">
        <v>673</v>
      </c>
      <c r="D2241">
        <v>6.0372459531922501E-5</v>
      </c>
      <c r="E2241" t="s">
        <v>94</v>
      </c>
      <c r="H2241" t="s">
        <v>588</v>
      </c>
      <c r="I2241">
        <v>6.0372459531922501E-5</v>
      </c>
      <c r="J2241">
        <v>1.1891099436471448</v>
      </c>
      <c r="N2241" t="s">
        <v>3821</v>
      </c>
      <c r="O2241" t="s">
        <v>798</v>
      </c>
      <c r="Q2241" t="s">
        <v>3822</v>
      </c>
    </row>
    <row r="2242" spans="2:17">
      <c r="B2242" t="s">
        <v>3823</v>
      </c>
      <c r="C2242" t="s">
        <v>673</v>
      </c>
      <c r="D2242">
        <v>2.52341964016998E-6</v>
      </c>
      <c r="E2242" t="s">
        <v>94</v>
      </c>
      <c r="H2242" t="s">
        <v>588</v>
      </c>
      <c r="I2242">
        <v>2.52341964016998E-6</v>
      </c>
      <c r="J2242">
        <v>1.0247973619913604</v>
      </c>
      <c r="N2242" t="s">
        <v>3824</v>
      </c>
      <c r="O2242" t="s">
        <v>1765</v>
      </c>
      <c r="Q2242" t="s">
        <v>1766</v>
      </c>
    </row>
    <row r="2243" spans="2:17">
      <c r="B2243" t="s">
        <v>3825</v>
      </c>
      <c r="C2243" t="s">
        <v>673</v>
      </c>
      <c r="D2243">
        <v>5.7046528866541702E-9</v>
      </c>
      <c r="E2243" t="s">
        <v>94</v>
      </c>
      <c r="H2243" t="s">
        <v>588</v>
      </c>
      <c r="I2243">
        <v>5.7046528866541702E-9</v>
      </c>
      <c r="J2243">
        <v>1.0247973619913604</v>
      </c>
      <c r="N2243" t="s">
        <v>3826</v>
      </c>
      <c r="O2243" t="s">
        <v>1624</v>
      </c>
      <c r="Q2243" t="s">
        <v>2337</v>
      </c>
    </row>
    <row r="2244" spans="2:17">
      <c r="B2244" t="s">
        <v>3825</v>
      </c>
      <c r="C2244" t="s">
        <v>673</v>
      </c>
      <c r="D2244">
        <v>2.8172887144378001E-9</v>
      </c>
      <c r="E2244" t="s">
        <v>94</v>
      </c>
      <c r="H2244" t="s">
        <v>588</v>
      </c>
      <c r="I2244">
        <v>2.8172887144378001E-9</v>
      </c>
      <c r="J2244">
        <v>1.0247973619913604</v>
      </c>
      <c r="N2244" t="s">
        <v>3826</v>
      </c>
      <c r="O2244" t="s">
        <v>1624</v>
      </c>
      <c r="Q2244" t="s">
        <v>2337</v>
      </c>
    </row>
    <row r="2245" spans="2:17">
      <c r="B2245" t="s">
        <v>3827</v>
      </c>
      <c r="C2245" t="s">
        <v>673</v>
      </c>
      <c r="D2245">
        <v>3.5034326437576702E-4</v>
      </c>
      <c r="E2245" t="s">
        <v>94</v>
      </c>
      <c r="H2245" t="s">
        <v>588</v>
      </c>
      <c r="I2245">
        <v>3.5034326437576702E-4</v>
      </c>
      <c r="J2245">
        <v>1</v>
      </c>
      <c r="N2245" t="s">
        <v>3828</v>
      </c>
      <c r="O2245" t="s">
        <v>1632</v>
      </c>
      <c r="Q2245" t="s">
        <v>595</v>
      </c>
    </row>
    <row r="2246" spans="2:17">
      <c r="B2246" t="s">
        <v>1449</v>
      </c>
      <c r="C2246" t="s">
        <v>673</v>
      </c>
      <c r="D2246">
        <v>1.63182193861645E-12</v>
      </c>
      <c r="E2246" t="s">
        <v>94</v>
      </c>
      <c r="H2246" t="s">
        <v>588</v>
      </c>
      <c r="I2246">
        <v>1.63182193861645E-12</v>
      </c>
      <c r="J2246">
        <v>1</v>
      </c>
      <c r="N2246" t="s">
        <v>1450</v>
      </c>
      <c r="O2246" t="s">
        <v>1157</v>
      </c>
      <c r="Q2246" t="s">
        <v>1451</v>
      </c>
    </row>
    <row r="2247" spans="2:17">
      <c r="B2247" t="s">
        <v>1449</v>
      </c>
      <c r="C2247" t="s">
        <v>673</v>
      </c>
      <c r="D2247">
        <v>1.49479770464202E-8</v>
      </c>
      <c r="E2247" t="s">
        <v>94</v>
      </c>
      <c r="H2247" t="s">
        <v>588</v>
      </c>
      <c r="I2247">
        <v>1.49479770464202E-8</v>
      </c>
      <c r="J2247">
        <v>1.0247973619913604</v>
      </c>
      <c r="N2247" t="s">
        <v>1450</v>
      </c>
      <c r="O2247" t="s">
        <v>641</v>
      </c>
      <c r="Q2247" t="s">
        <v>1672</v>
      </c>
    </row>
    <row r="2248" spans="2:17">
      <c r="B2248" t="s">
        <v>1452</v>
      </c>
      <c r="C2248" t="s">
        <v>673</v>
      </c>
      <c r="D2248">
        <v>3.8479124047274401E-5</v>
      </c>
      <c r="E2248" t="s">
        <v>94</v>
      </c>
      <c r="H2248" t="s">
        <v>588</v>
      </c>
      <c r="I2248">
        <v>3.8479124047274401E-5</v>
      </c>
      <c r="J2248">
        <v>1.0247973619913604</v>
      </c>
      <c r="N2248" t="s">
        <v>1453</v>
      </c>
      <c r="O2248" t="s">
        <v>2004</v>
      </c>
      <c r="Q2248" t="s">
        <v>2005</v>
      </c>
    </row>
    <row r="2249" spans="2:17">
      <c r="B2249" t="s">
        <v>1452</v>
      </c>
      <c r="C2249" t="s">
        <v>673</v>
      </c>
      <c r="D2249">
        <v>1.83192984541469E-5</v>
      </c>
      <c r="E2249" t="s">
        <v>94</v>
      </c>
      <c r="H2249" t="s">
        <v>588</v>
      </c>
      <c r="I2249">
        <v>1.83192984541469E-5</v>
      </c>
      <c r="J2249">
        <v>1.0247973619913604</v>
      </c>
      <c r="N2249" t="s">
        <v>1453</v>
      </c>
      <c r="O2249" t="s">
        <v>2006</v>
      </c>
      <c r="Q2249" t="s">
        <v>1679</v>
      </c>
    </row>
    <row r="2250" spans="2:17">
      <c r="B2250" t="s">
        <v>1455</v>
      </c>
      <c r="C2250" t="s">
        <v>673</v>
      </c>
      <c r="D2250">
        <v>2.6702888861771801E-7</v>
      </c>
      <c r="E2250" t="s">
        <v>94</v>
      </c>
      <c r="H2250" t="s">
        <v>588</v>
      </c>
      <c r="I2250">
        <v>2.6702888861771801E-7</v>
      </c>
      <c r="J2250">
        <v>1.0247973619913604</v>
      </c>
      <c r="N2250" t="s">
        <v>1456</v>
      </c>
      <c r="O2250" t="s">
        <v>641</v>
      </c>
      <c r="Q2250" t="s">
        <v>1643</v>
      </c>
    </row>
    <row r="2251" spans="2:17">
      <c r="B2251" t="s">
        <v>3829</v>
      </c>
      <c r="C2251" t="s">
        <v>673</v>
      </c>
      <c r="D2251">
        <v>1.2900201335791999E-7</v>
      </c>
      <c r="E2251" t="s">
        <v>94</v>
      </c>
      <c r="H2251" t="s">
        <v>588</v>
      </c>
      <c r="I2251">
        <v>1.2900201335791999E-7</v>
      </c>
      <c r="J2251">
        <v>1.0247973619913604</v>
      </c>
      <c r="N2251" t="s">
        <v>3830</v>
      </c>
      <c r="O2251" t="s">
        <v>2004</v>
      </c>
      <c r="Q2251" t="s">
        <v>2005</v>
      </c>
    </row>
    <row r="2252" spans="2:17">
      <c r="B2252" t="s">
        <v>3829</v>
      </c>
      <c r="C2252" t="s">
        <v>673</v>
      </c>
      <c r="D2252">
        <v>1.2896437795192901E-7</v>
      </c>
      <c r="E2252" t="s">
        <v>94</v>
      </c>
      <c r="H2252" t="s">
        <v>588</v>
      </c>
      <c r="I2252">
        <v>1.2896437795192901E-7</v>
      </c>
      <c r="J2252">
        <v>1.0247973619913604</v>
      </c>
      <c r="N2252" t="s">
        <v>3830</v>
      </c>
      <c r="O2252" t="s">
        <v>2414</v>
      </c>
      <c r="Q2252" t="s">
        <v>2005</v>
      </c>
    </row>
    <row r="2253" spans="2:17">
      <c r="B2253" t="s">
        <v>3831</v>
      </c>
      <c r="C2253" t="s">
        <v>587</v>
      </c>
      <c r="D2253">
        <v>1.9872189055135899E-7</v>
      </c>
      <c r="E2253" t="s">
        <v>94</v>
      </c>
      <c r="H2253" t="s">
        <v>588</v>
      </c>
      <c r="I2253">
        <v>1.9872189055135899E-7</v>
      </c>
      <c r="J2253">
        <v>1.0247973619913604</v>
      </c>
      <c r="O2253" t="s">
        <v>641</v>
      </c>
      <c r="Q2253" t="s">
        <v>1643</v>
      </c>
    </row>
    <row r="2254" spans="2:17">
      <c r="B2254" t="s">
        <v>3832</v>
      </c>
      <c r="C2254" t="s">
        <v>1138</v>
      </c>
      <c r="D2254">
        <v>4.6835271276340799E-8</v>
      </c>
      <c r="E2254" t="s">
        <v>94</v>
      </c>
      <c r="H2254" t="s">
        <v>588</v>
      </c>
      <c r="I2254">
        <v>4.6835271276340799E-8</v>
      </c>
      <c r="J2254">
        <v>1</v>
      </c>
      <c r="N2254" t="s">
        <v>3833</v>
      </c>
      <c r="O2254" t="s">
        <v>1918</v>
      </c>
      <c r="Q2254" t="s">
        <v>595</v>
      </c>
    </row>
    <row r="2255" spans="2:17">
      <c r="B2255" t="s">
        <v>3834</v>
      </c>
      <c r="C2255" t="s">
        <v>857</v>
      </c>
      <c r="D2255">
        <v>1.5818143824105001E-12</v>
      </c>
      <c r="E2255" t="s">
        <v>616</v>
      </c>
      <c r="H2255" t="s">
        <v>588</v>
      </c>
      <c r="I2255">
        <v>1.5818143824105001E-12</v>
      </c>
      <c r="J2255">
        <v>1.7450381821146503</v>
      </c>
      <c r="N2255" t="s">
        <v>3835</v>
      </c>
      <c r="O2255" t="s">
        <v>3836</v>
      </c>
      <c r="Q2255" t="s">
        <v>595</v>
      </c>
    </row>
    <row r="2256" spans="2:17">
      <c r="B2256" t="s">
        <v>3834</v>
      </c>
      <c r="C2256" t="s">
        <v>857</v>
      </c>
      <c r="D2256">
        <v>1.5824691970966499E-12</v>
      </c>
      <c r="E2256" t="s">
        <v>616</v>
      </c>
      <c r="H2256" t="s">
        <v>588</v>
      </c>
      <c r="I2256">
        <v>1.5824691970966499E-12</v>
      </c>
      <c r="J2256">
        <v>1.7450381821146503</v>
      </c>
      <c r="N2256" t="s">
        <v>3837</v>
      </c>
      <c r="O2256" t="s">
        <v>3838</v>
      </c>
      <c r="Q2256" t="s">
        <v>3839</v>
      </c>
    </row>
    <row r="2257" spans="2:17">
      <c r="B2257" t="s">
        <v>3840</v>
      </c>
      <c r="C2257" t="s">
        <v>1243</v>
      </c>
      <c r="D2257">
        <v>5.4160051583759296E-4</v>
      </c>
      <c r="E2257" t="s">
        <v>94</v>
      </c>
      <c r="H2257" t="s">
        <v>588</v>
      </c>
      <c r="I2257">
        <v>5.4160051583759296E-4</v>
      </c>
      <c r="J2257">
        <v>1</v>
      </c>
      <c r="N2257" t="s">
        <v>3841</v>
      </c>
      <c r="O2257" t="s">
        <v>594</v>
      </c>
      <c r="Q2257" t="s">
        <v>2529</v>
      </c>
    </row>
    <row r="2258" spans="2:17">
      <c r="B2258" t="s">
        <v>3842</v>
      </c>
      <c r="C2258" t="s">
        <v>857</v>
      </c>
      <c r="D2258">
        <v>2.9078030896326002E-14</v>
      </c>
      <c r="E2258" t="s">
        <v>616</v>
      </c>
      <c r="H2258" t="s">
        <v>588</v>
      </c>
      <c r="I2258">
        <v>2.9078030896326002E-14</v>
      </c>
      <c r="J2258">
        <v>1.7293101253499219</v>
      </c>
      <c r="N2258" t="s">
        <v>3843</v>
      </c>
      <c r="O2258" t="s">
        <v>855</v>
      </c>
      <c r="Q2258" t="s">
        <v>3844</v>
      </c>
    </row>
    <row r="2259" spans="2:17">
      <c r="B2259" t="s">
        <v>3845</v>
      </c>
      <c r="C2259" t="s">
        <v>1848</v>
      </c>
      <c r="D2259">
        <v>3.9981703404481098E-4</v>
      </c>
      <c r="E2259" t="s">
        <v>94</v>
      </c>
      <c r="H2259" t="s">
        <v>588</v>
      </c>
      <c r="I2259">
        <v>3.9981703404481098E-4</v>
      </c>
      <c r="J2259">
        <v>1.1051709180756477</v>
      </c>
      <c r="N2259" t="s">
        <v>3846</v>
      </c>
      <c r="O2259" t="s">
        <v>1632</v>
      </c>
      <c r="Q2259" t="s">
        <v>3847</v>
      </c>
    </row>
    <row r="2260" spans="2:17">
      <c r="B2260" t="s">
        <v>3845</v>
      </c>
      <c r="C2260" t="s">
        <v>1848</v>
      </c>
      <c r="D2260">
        <v>4.5810036925337898E-4</v>
      </c>
      <c r="E2260" t="s">
        <v>94</v>
      </c>
      <c r="H2260" t="s">
        <v>588</v>
      </c>
      <c r="I2260">
        <v>4.5810036925337898E-4</v>
      </c>
      <c r="J2260">
        <v>1.1051709180756477</v>
      </c>
      <c r="N2260" t="s">
        <v>3846</v>
      </c>
      <c r="O2260" t="s">
        <v>1632</v>
      </c>
      <c r="Q2260" t="s">
        <v>3847</v>
      </c>
    </row>
    <row r="2261" spans="2:17">
      <c r="B2261" t="s">
        <v>3848</v>
      </c>
      <c r="C2261" t="s">
        <v>1810</v>
      </c>
      <c r="D2261">
        <v>3.5068465774734702E-3</v>
      </c>
      <c r="E2261" t="s">
        <v>94</v>
      </c>
      <c r="H2261" t="s">
        <v>588</v>
      </c>
      <c r="I2261">
        <v>3.5068465774734702E-3</v>
      </c>
      <c r="J2261">
        <v>1</v>
      </c>
      <c r="N2261" t="s">
        <v>3849</v>
      </c>
      <c r="O2261" t="s">
        <v>1756</v>
      </c>
      <c r="Q2261" t="s">
        <v>1816</v>
      </c>
    </row>
    <row r="2262" spans="2:17">
      <c r="B2262" t="s">
        <v>3848</v>
      </c>
      <c r="C2262" t="s">
        <v>1810</v>
      </c>
      <c r="D2262">
        <v>4.8495756805846503E-3</v>
      </c>
      <c r="E2262" t="s">
        <v>94</v>
      </c>
      <c r="H2262" t="s">
        <v>588</v>
      </c>
      <c r="I2262">
        <v>4.8495756805846503E-3</v>
      </c>
      <c r="J2262">
        <v>1.4049000000004648</v>
      </c>
      <c r="N2262" t="s">
        <v>3850</v>
      </c>
      <c r="O2262" t="s">
        <v>1758</v>
      </c>
      <c r="Q2262" t="s">
        <v>3851</v>
      </c>
    </row>
    <row r="2263" spans="2:17">
      <c r="B2263" t="s">
        <v>3852</v>
      </c>
      <c r="C2263" t="s">
        <v>3853</v>
      </c>
      <c r="D2263">
        <v>2.2388431813020199E-4</v>
      </c>
      <c r="E2263" t="s">
        <v>94</v>
      </c>
      <c r="H2263" t="s">
        <v>588</v>
      </c>
      <c r="I2263">
        <v>2.2388431813020199E-4</v>
      </c>
      <c r="J2263">
        <v>1.0247973619913604</v>
      </c>
      <c r="N2263" t="s">
        <v>3854</v>
      </c>
      <c r="O2263" t="s">
        <v>1678</v>
      </c>
      <c r="Q2263" t="s">
        <v>1679</v>
      </c>
    </row>
    <row r="2264" spans="2:17">
      <c r="B2264" t="s">
        <v>3855</v>
      </c>
      <c r="C2264" t="s">
        <v>597</v>
      </c>
      <c r="D2264">
        <v>1.33682656735043E-3</v>
      </c>
      <c r="E2264" t="s">
        <v>607</v>
      </c>
      <c r="N2264" t="s">
        <v>3856</v>
      </c>
      <c r="Q2264" t="s">
        <v>3857</v>
      </c>
    </row>
    <row r="2265" spans="2:17">
      <c r="B2265" t="s">
        <v>3858</v>
      </c>
      <c r="C2265" t="s">
        <v>1810</v>
      </c>
      <c r="D2265">
        <v>3.90219228442685E-7</v>
      </c>
      <c r="E2265" t="s">
        <v>1811</v>
      </c>
      <c r="H2265" t="s">
        <v>588</v>
      </c>
      <c r="I2265">
        <v>3.90219228442685E-7</v>
      </c>
      <c r="J2265">
        <v>1</v>
      </c>
      <c r="N2265" t="s">
        <v>3859</v>
      </c>
      <c r="O2265" t="s">
        <v>1756</v>
      </c>
      <c r="Q2265" t="s">
        <v>2620</v>
      </c>
    </row>
    <row r="2266" spans="2:17">
      <c r="B2266" t="s">
        <v>3858</v>
      </c>
      <c r="C2266" t="s">
        <v>1810</v>
      </c>
      <c r="D2266">
        <v>3.9008429517210097E-7</v>
      </c>
      <c r="E2266" t="s">
        <v>1811</v>
      </c>
      <c r="H2266" t="s">
        <v>588</v>
      </c>
      <c r="I2266">
        <v>3.9008429517210097E-7</v>
      </c>
      <c r="J2266">
        <v>1</v>
      </c>
      <c r="N2266" t="s">
        <v>3860</v>
      </c>
      <c r="O2266" t="s">
        <v>1756</v>
      </c>
      <c r="Q2266" t="s">
        <v>1816</v>
      </c>
    </row>
    <row r="2267" spans="2:17">
      <c r="B2267" t="s">
        <v>3861</v>
      </c>
      <c r="C2267" t="s">
        <v>3862</v>
      </c>
      <c r="D2267">
        <v>1.60871056520369E-3</v>
      </c>
      <c r="E2267" t="s">
        <v>94</v>
      </c>
      <c r="H2267" t="s">
        <v>588</v>
      </c>
      <c r="I2267">
        <v>1.60871056520369E-3</v>
      </c>
      <c r="J2267">
        <v>1</v>
      </c>
      <c r="N2267" t="s">
        <v>3863</v>
      </c>
      <c r="O2267" t="s">
        <v>1157</v>
      </c>
      <c r="Q2267" t="s">
        <v>2424</v>
      </c>
    </row>
    <row r="2268" spans="2:17">
      <c r="B2268" t="s">
        <v>3861</v>
      </c>
      <c r="C2268" t="s">
        <v>3862</v>
      </c>
      <c r="D2268">
        <v>2.2223963936584099E-3</v>
      </c>
      <c r="E2268" t="s">
        <v>94</v>
      </c>
      <c r="H2268" t="s">
        <v>588</v>
      </c>
      <c r="I2268">
        <v>2.2223963936584099E-3</v>
      </c>
      <c r="J2268">
        <v>1</v>
      </c>
      <c r="N2268" t="s">
        <v>3864</v>
      </c>
      <c r="O2268" t="s">
        <v>1157</v>
      </c>
      <c r="Q2268" t="s">
        <v>3865</v>
      </c>
    </row>
    <row r="2269" spans="2:17">
      <c r="B2269" t="s">
        <v>3861</v>
      </c>
      <c r="C2269" t="s">
        <v>3862</v>
      </c>
      <c r="D2269">
        <v>6.1334753315674703E-4</v>
      </c>
      <c r="E2269" t="s">
        <v>94</v>
      </c>
      <c r="H2269" t="s">
        <v>588</v>
      </c>
      <c r="I2269">
        <v>6.1334753315674703E-4</v>
      </c>
      <c r="J2269">
        <v>1</v>
      </c>
      <c r="N2269" t="s">
        <v>3863</v>
      </c>
      <c r="O2269" t="s">
        <v>1157</v>
      </c>
      <c r="Q2269" t="s">
        <v>2424</v>
      </c>
    </row>
    <row r="2270" spans="2:17">
      <c r="B2270" t="s">
        <v>3866</v>
      </c>
      <c r="C2270" t="s">
        <v>3862</v>
      </c>
      <c r="D2270">
        <v>1.0175276924770899E-2</v>
      </c>
      <c r="E2270" t="s">
        <v>94</v>
      </c>
      <c r="H2270" t="s">
        <v>588</v>
      </c>
      <c r="I2270">
        <v>1.0175276924770899E-2</v>
      </c>
      <c r="J2270">
        <v>1</v>
      </c>
      <c r="N2270" t="s">
        <v>3867</v>
      </c>
      <c r="O2270" t="s">
        <v>1157</v>
      </c>
      <c r="Q2270" t="s">
        <v>2424</v>
      </c>
    </row>
    <row r="2271" spans="2:17">
      <c r="B2271" t="s">
        <v>3868</v>
      </c>
      <c r="C2271" t="s">
        <v>1830</v>
      </c>
      <c r="D2271">
        <v>1.08447667963833E-3</v>
      </c>
      <c r="E2271" t="s">
        <v>94</v>
      </c>
      <c r="N2271" t="s">
        <v>3869</v>
      </c>
    </row>
    <row r="2272" spans="2:17">
      <c r="B2272" t="s">
        <v>3868</v>
      </c>
      <c r="C2272" t="s">
        <v>1830</v>
      </c>
      <c r="D2272">
        <v>1.30137201556599E-4</v>
      </c>
      <c r="E2272" t="s">
        <v>94</v>
      </c>
      <c r="H2272" t="s">
        <v>588</v>
      </c>
      <c r="I2272">
        <v>1.30137201556599E-4</v>
      </c>
      <c r="J2272">
        <v>1.0247973619913604</v>
      </c>
      <c r="N2272" t="s">
        <v>3870</v>
      </c>
      <c r="O2272" t="s">
        <v>1806</v>
      </c>
      <c r="Q2272" t="s">
        <v>1728</v>
      </c>
    </row>
    <row r="2273" spans="2:17">
      <c r="B2273" t="s">
        <v>3871</v>
      </c>
      <c r="C2273" t="s">
        <v>1698</v>
      </c>
      <c r="D2273">
        <v>5.6752719189860201E-5</v>
      </c>
      <c r="E2273" t="s">
        <v>1171</v>
      </c>
      <c r="H2273" t="s">
        <v>588</v>
      </c>
      <c r="I2273">
        <v>5.6752719189860201E-5</v>
      </c>
      <c r="J2273">
        <v>1</v>
      </c>
      <c r="N2273" t="s">
        <v>3872</v>
      </c>
      <c r="O2273" t="s">
        <v>1700</v>
      </c>
      <c r="Q2273" t="s">
        <v>1701</v>
      </c>
    </row>
    <row r="2274" spans="2:17">
      <c r="B2274" t="s">
        <v>3873</v>
      </c>
      <c r="C2274" t="s">
        <v>1698</v>
      </c>
      <c r="D2274">
        <v>9.8792508137885405E-5</v>
      </c>
      <c r="E2274" t="s">
        <v>1171</v>
      </c>
      <c r="H2274" t="s">
        <v>588</v>
      </c>
      <c r="I2274">
        <v>9.8792508137885405E-5</v>
      </c>
      <c r="J2274">
        <v>1</v>
      </c>
      <c r="N2274" t="s">
        <v>3874</v>
      </c>
      <c r="O2274" t="s">
        <v>1700</v>
      </c>
      <c r="Q2274" t="s">
        <v>1701</v>
      </c>
    </row>
    <row r="2275" spans="2:17">
      <c r="B2275" t="s">
        <v>3875</v>
      </c>
      <c r="C2275" t="s">
        <v>2275</v>
      </c>
      <c r="D2275">
        <v>6.9312750636200704E-6</v>
      </c>
      <c r="E2275" t="s">
        <v>94</v>
      </c>
      <c r="H2275" t="s">
        <v>588</v>
      </c>
      <c r="I2275">
        <v>6.9312750636200704E-6</v>
      </c>
      <c r="J2275">
        <v>1.0247973619913604</v>
      </c>
      <c r="N2275" t="s">
        <v>3876</v>
      </c>
      <c r="O2275" t="s">
        <v>2536</v>
      </c>
      <c r="Q2275" t="s">
        <v>3877</v>
      </c>
    </row>
    <row r="2276" spans="2:17">
      <c r="B2276" t="s">
        <v>863</v>
      </c>
      <c r="C2276" t="s">
        <v>673</v>
      </c>
      <c r="D2276">
        <v>4.72951914071542E-2</v>
      </c>
      <c r="E2276" t="s">
        <v>94</v>
      </c>
      <c r="H2276" t="s">
        <v>588</v>
      </c>
      <c r="I2276">
        <v>4.72951914071542E-2</v>
      </c>
      <c r="J2276">
        <v>1.0247973619913604</v>
      </c>
      <c r="N2276" t="s">
        <v>864</v>
      </c>
      <c r="O2276" t="s">
        <v>641</v>
      </c>
      <c r="Q2276" t="s">
        <v>1672</v>
      </c>
    </row>
    <row r="2277" spans="2:17">
      <c r="B2277" t="s">
        <v>863</v>
      </c>
      <c r="C2277" t="s">
        <v>673</v>
      </c>
      <c r="D2277">
        <v>1.3025138746719201E-2</v>
      </c>
      <c r="E2277" t="s">
        <v>94</v>
      </c>
      <c r="H2277" t="s">
        <v>588</v>
      </c>
      <c r="I2277">
        <v>1.3025138746719201E-2</v>
      </c>
      <c r="J2277">
        <v>1.0247973619913604</v>
      </c>
      <c r="N2277" t="s">
        <v>864</v>
      </c>
      <c r="O2277" t="s">
        <v>641</v>
      </c>
      <c r="Q2277" t="s">
        <v>1672</v>
      </c>
    </row>
    <row r="2278" spans="2:17">
      <c r="B2278" t="s">
        <v>3878</v>
      </c>
      <c r="C2278" t="s">
        <v>1417</v>
      </c>
      <c r="D2278">
        <v>4.40218179457559E-6</v>
      </c>
      <c r="E2278" t="s">
        <v>94</v>
      </c>
      <c r="H2278" t="s">
        <v>588</v>
      </c>
      <c r="I2278">
        <v>4.40218179457559E-6</v>
      </c>
      <c r="J2278">
        <v>1.0321280889960358</v>
      </c>
      <c r="N2278" t="s">
        <v>3879</v>
      </c>
      <c r="O2278" t="s">
        <v>2050</v>
      </c>
      <c r="Q2278" t="s">
        <v>3880</v>
      </c>
    </row>
    <row r="2279" spans="2:17">
      <c r="B2279" t="s">
        <v>3881</v>
      </c>
      <c r="C2279" t="s">
        <v>821</v>
      </c>
      <c r="D2279">
        <v>2.2276029151433699E-3</v>
      </c>
      <c r="E2279" t="s">
        <v>94</v>
      </c>
      <c r="H2279" t="s">
        <v>588</v>
      </c>
      <c r="I2279">
        <v>2.2276029151433699E-3</v>
      </c>
      <c r="J2279">
        <v>1.0247973619913604</v>
      </c>
      <c r="N2279" t="s">
        <v>3882</v>
      </c>
      <c r="O2279" t="s">
        <v>1914</v>
      </c>
      <c r="Q2279" t="s">
        <v>3883</v>
      </c>
    </row>
    <row r="2280" spans="2:17">
      <c r="B2280" t="s">
        <v>1457</v>
      </c>
      <c r="C2280" t="s">
        <v>821</v>
      </c>
      <c r="D2280">
        <v>3.51433304798697E-3</v>
      </c>
      <c r="E2280" t="s">
        <v>94</v>
      </c>
      <c r="H2280" t="s">
        <v>588</v>
      </c>
      <c r="I2280">
        <v>3.51433304798697E-3</v>
      </c>
      <c r="J2280">
        <v>1.7450381821146503</v>
      </c>
      <c r="N2280" t="s">
        <v>1458</v>
      </c>
      <c r="O2280" t="s">
        <v>1054</v>
      </c>
      <c r="Q2280" t="s">
        <v>3884</v>
      </c>
    </row>
    <row r="2281" spans="2:17">
      <c r="B2281" t="s">
        <v>1459</v>
      </c>
      <c r="C2281" t="s">
        <v>821</v>
      </c>
      <c r="D2281">
        <v>8.2568718923114494E-3</v>
      </c>
      <c r="E2281" t="s">
        <v>94</v>
      </c>
      <c r="H2281" t="s">
        <v>588</v>
      </c>
      <c r="I2281">
        <v>8.2568718923114494E-3</v>
      </c>
      <c r="J2281">
        <v>1.0247973619913604</v>
      </c>
      <c r="N2281" t="s">
        <v>1460</v>
      </c>
      <c r="O2281" t="s">
        <v>641</v>
      </c>
      <c r="Q2281" t="s">
        <v>1643</v>
      </c>
    </row>
    <row r="2282" spans="2:17">
      <c r="B2282" t="s">
        <v>1462</v>
      </c>
      <c r="C2282" t="s">
        <v>821</v>
      </c>
      <c r="D2282">
        <v>1.2971430388165299E-2</v>
      </c>
      <c r="E2282" t="s">
        <v>94</v>
      </c>
      <c r="H2282" t="s">
        <v>588</v>
      </c>
      <c r="I2282">
        <v>1.2971430388165299E-2</v>
      </c>
      <c r="J2282">
        <v>1.7450381821146503</v>
      </c>
      <c r="N2282" t="s">
        <v>1463</v>
      </c>
      <c r="O2282" t="s">
        <v>1054</v>
      </c>
      <c r="Q2282" t="s">
        <v>3884</v>
      </c>
    </row>
    <row r="2283" spans="2:17">
      <c r="B2283" t="s">
        <v>1465</v>
      </c>
      <c r="C2283" t="s">
        <v>821</v>
      </c>
      <c r="D2283">
        <v>5.3034247360807798E-3</v>
      </c>
      <c r="E2283" t="s">
        <v>94</v>
      </c>
      <c r="H2283" t="s">
        <v>588</v>
      </c>
      <c r="I2283">
        <v>5.3034247360807798E-3</v>
      </c>
      <c r="J2283">
        <v>1.0247973619913604</v>
      </c>
      <c r="N2283" t="s">
        <v>1466</v>
      </c>
      <c r="O2283" t="s">
        <v>2217</v>
      </c>
      <c r="Q2283" t="s">
        <v>3885</v>
      </c>
    </row>
    <row r="2284" spans="2:17">
      <c r="B2284" t="s">
        <v>3886</v>
      </c>
      <c r="C2284" t="s">
        <v>1892</v>
      </c>
      <c r="D2284">
        <v>1.4764459406631499E-4</v>
      </c>
      <c r="E2284" t="s">
        <v>94</v>
      </c>
      <c r="H2284" t="s">
        <v>588</v>
      </c>
      <c r="I2284">
        <v>1.4764459406631499E-4</v>
      </c>
      <c r="J2284">
        <v>1.1401373874887699</v>
      </c>
      <c r="N2284" t="s">
        <v>3887</v>
      </c>
      <c r="O2284" t="s">
        <v>2465</v>
      </c>
      <c r="Q2284" t="s">
        <v>979</v>
      </c>
    </row>
    <row r="2285" spans="2:17">
      <c r="B2285" t="s">
        <v>3888</v>
      </c>
      <c r="C2285" t="s">
        <v>615</v>
      </c>
      <c r="D2285">
        <v>3.1370032787066399E-12</v>
      </c>
      <c r="E2285" t="s">
        <v>616</v>
      </c>
      <c r="H2285" t="s">
        <v>588</v>
      </c>
      <c r="I2285">
        <v>3.1370032787066399E-12</v>
      </c>
      <c r="J2285">
        <v>1</v>
      </c>
      <c r="N2285" t="s">
        <v>3889</v>
      </c>
      <c r="O2285" t="s">
        <v>798</v>
      </c>
      <c r="Q2285" t="s">
        <v>3890</v>
      </c>
    </row>
    <row r="2286" spans="2:17">
      <c r="B2286" t="s">
        <v>3888</v>
      </c>
      <c r="C2286" t="s">
        <v>615</v>
      </c>
      <c r="D2286">
        <v>2.8648091869506298E-12</v>
      </c>
      <c r="E2286" t="s">
        <v>616</v>
      </c>
      <c r="H2286" t="s">
        <v>588</v>
      </c>
      <c r="I2286">
        <v>2.8648091869506298E-12</v>
      </c>
      <c r="J2286">
        <v>1.7450381821146503</v>
      </c>
      <c r="N2286" t="s">
        <v>3891</v>
      </c>
      <c r="O2286" t="s">
        <v>1700</v>
      </c>
      <c r="Q2286" t="s">
        <v>979</v>
      </c>
    </row>
    <row r="2287" spans="2:17">
      <c r="B2287" t="s">
        <v>3892</v>
      </c>
      <c r="C2287" t="s">
        <v>1892</v>
      </c>
      <c r="D2287">
        <v>6.9925381680317606E-5</v>
      </c>
      <c r="E2287" t="s">
        <v>94</v>
      </c>
      <c r="H2287" t="s">
        <v>588</v>
      </c>
      <c r="I2287">
        <v>6.9925381680317606E-5</v>
      </c>
      <c r="J2287">
        <v>1.0247973619913604</v>
      </c>
      <c r="N2287" t="s">
        <v>3893</v>
      </c>
      <c r="O2287" t="s">
        <v>2217</v>
      </c>
      <c r="Q2287" t="s">
        <v>3885</v>
      </c>
    </row>
    <row r="2288" spans="2:17">
      <c r="B2288" t="s">
        <v>3894</v>
      </c>
      <c r="C2288" t="s">
        <v>3862</v>
      </c>
      <c r="D2288">
        <v>1.8525971157365501E-6</v>
      </c>
      <c r="E2288" t="s">
        <v>94</v>
      </c>
      <c r="H2288" t="s">
        <v>588</v>
      </c>
      <c r="I2288">
        <v>1.8525971157365501E-6</v>
      </c>
      <c r="J2288">
        <v>1.1051709180756477</v>
      </c>
      <c r="N2288" t="s">
        <v>3895</v>
      </c>
      <c r="O2288" t="s">
        <v>921</v>
      </c>
    </row>
    <row r="2289" spans="2:17">
      <c r="B2289" t="s">
        <v>3896</v>
      </c>
      <c r="C2289" t="s">
        <v>1725</v>
      </c>
      <c r="D2289">
        <v>1.5569104966190799E-6</v>
      </c>
      <c r="E2289" t="s">
        <v>94</v>
      </c>
      <c r="N2289" t="s">
        <v>3897</v>
      </c>
    </row>
    <row r="2290" spans="2:17">
      <c r="B2290" t="s">
        <v>3896</v>
      </c>
      <c r="C2290" t="s">
        <v>1725</v>
      </c>
      <c r="D2290">
        <v>6.5193808850033204E-8</v>
      </c>
      <c r="E2290" t="s">
        <v>94</v>
      </c>
      <c r="N2290" t="s">
        <v>3897</v>
      </c>
    </row>
    <row r="2291" spans="2:17">
      <c r="B2291" t="s">
        <v>3896</v>
      </c>
      <c r="C2291" t="s">
        <v>1725</v>
      </c>
      <c r="D2291">
        <v>4.6182228630762799E-5</v>
      </c>
      <c r="E2291" t="s">
        <v>94</v>
      </c>
      <c r="N2291" t="s">
        <v>3898</v>
      </c>
    </row>
    <row r="2292" spans="2:17">
      <c r="B2292" t="s">
        <v>3896</v>
      </c>
      <c r="C2292" t="s">
        <v>1725</v>
      </c>
      <c r="D2292">
        <v>1.9558142655010001E-7</v>
      </c>
      <c r="E2292" t="s">
        <v>94</v>
      </c>
      <c r="N2292" t="s">
        <v>3899</v>
      </c>
    </row>
    <row r="2293" spans="2:17">
      <c r="B2293" t="s">
        <v>3896</v>
      </c>
      <c r="C2293" t="s">
        <v>1725</v>
      </c>
      <c r="D2293">
        <v>2.20867368186574E-4</v>
      </c>
      <c r="E2293" t="s">
        <v>94</v>
      </c>
      <c r="N2293" t="s">
        <v>3898</v>
      </c>
    </row>
    <row r="2294" spans="2:17">
      <c r="B2294" t="s">
        <v>3896</v>
      </c>
      <c r="C2294" t="s">
        <v>1725</v>
      </c>
      <c r="D2294">
        <v>1.3332430218617201E-4</v>
      </c>
      <c r="E2294" t="s">
        <v>94</v>
      </c>
      <c r="H2294" t="s">
        <v>588</v>
      </c>
      <c r="I2294">
        <v>1.3332430218617201E-4</v>
      </c>
      <c r="J2294">
        <v>1.0247973619913604</v>
      </c>
      <c r="N2294" t="s">
        <v>3900</v>
      </c>
      <c r="O2294" t="s">
        <v>1806</v>
      </c>
      <c r="Q2294" t="s">
        <v>1728</v>
      </c>
    </row>
    <row r="2295" spans="2:17">
      <c r="B2295" t="s">
        <v>3896</v>
      </c>
      <c r="C2295" t="s">
        <v>1725</v>
      </c>
      <c r="D2295">
        <v>4.6707314898639798E-6</v>
      </c>
      <c r="E2295" t="s">
        <v>94</v>
      </c>
      <c r="N2295" t="s">
        <v>3899</v>
      </c>
    </row>
    <row r="2296" spans="2:17">
      <c r="B2296" t="s">
        <v>3896</v>
      </c>
      <c r="C2296" t="s">
        <v>1725</v>
      </c>
      <c r="D2296">
        <v>4.6973696728596698E-4</v>
      </c>
      <c r="E2296" t="s">
        <v>94</v>
      </c>
      <c r="N2296" t="s">
        <v>3898</v>
      </c>
    </row>
    <row r="2297" spans="2:17">
      <c r="B2297" t="s">
        <v>3901</v>
      </c>
      <c r="C2297" t="s">
        <v>1249</v>
      </c>
      <c r="D2297">
        <v>3.5764928239120401E-6</v>
      </c>
      <c r="E2297" t="s">
        <v>94</v>
      </c>
      <c r="H2297" t="s">
        <v>588</v>
      </c>
      <c r="I2297">
        <v>3.5764928239120401E-6</v>
      </c>
      <c r="J2297">
        <v>1.151909910168909</v>
      </c>
      <c r="N2297" t="s">
        <v>3902</v>
      </c>
      <c r="O2297" t="s">
        <v>1967</v>
      </c>
      <c r="Q2297" t="s">
        <v>595</v>
      </c>
    </row>
    <row r="2298" spans="2:17">
      <c r="B2298" t="s">
        <v>1468</v>
      </c>
      <c r="C2298" t="s">
        <v>673</v>
      </c>
      <c r="D2298">
        <v>3.2385264841618398E-7</v>
      </c>
      <c r="E2298" t="s">
        <v>94</v>
      </c>
      <c r="H2298" t="s">
        <v>588</v>
      </c>
      <c r="I2298">
        <v>3.2385264841618398E-7</v>
      </c>
      <c r="J2298">
        <v>1.0247973619913604</v>
      </c>
      <c r="N2298" t="s">
        <v>1469</v>
      </c>
      <c r="O2298" t="s">
        <v>641</v>
      </c>
      <c r="Q2298" t="s">
        <v>1672</v>
      </c>
    </row>
    <row r="2299" spans="2:17">
      <c r="B2299" t="s">
        <v>3903</v>
      </c>
      <c r="C2299" t="s">
        <v>587</v>
      </c>
      <c r="D2299">
        <v>7.0049553327039899E-8</v>
      </c>
      <c r="E2299" t="s">
        <v>94</v>
      </c>
      <c r="H2299" t="s">
        <v>588</v>
      </c>
      <c r="I2299">
        <v>7.0049553327039899E-8</v>
      </c>
      <c r="J2299">
        <v>1.0247973619913604</v>
      </c>
      <c r="O2299" t="s">
        <v>641</v>
      </c>
      <c r="Q2299" t="s">
        <v>1643</v>
      </c>
    </row>
    <row r="2300" spans="2:17">
      <c r="B2300" t="s">
        <v>3904</v>
      </c>
      <c r="C2300" t="s">
        <v>2202</v>
      </c>
      <c r="D2300">
        <v>1.01047765239263E-4</v>
      </c>
      <c r="E2300" t="s">
        <v>94</v>
      </c>
      <c r="H2300" t="s">
        <v>588</v>
      </c>
      <c r="I2300">
        <v>1.01047765239263E-4</v>
      </c>
      <c r="J2300">
        <v>1</v>
      </c>
      <c r="N2300" t="s">
        <v>3905</v>
      </c>
      <c r="O2300" t="s">
        <v>921</v>
      </c>
      <c r="Q2300" t="s">
        <v>979</v>
      </c>
    </row>
    <row r="2301" spans="2:17">
      <c r="B2301" t="s">
        <v>3906</v>
      </c>
      <c r="C2301" t="s">
        <v>673</v>
      </c>
      <c r="D2301">
        <v>1.80086482930755E-3</v>
      </c>
      <c r="E2301" t="s">
        <v>94</v>
      </c>
      <c r="H2301" t="s">
        <v>588</v>
      </c>
      <c r="I2301">
        <v>1.80086482930755E-3</v>
      </c>
      <c r="J2301">
        <v>1.0247973619913604</v>
      </c>
      <c r="N2301" t="s">
        <v>3907</v>
      </c>
      <c r="O2301" t="s">
        <v>1889</v>
      </c>
      <c r="Q2301" t="s">
        <v>1890</v>
      </c>
    </row>
    <row r="2302" spans="2:17">
      <c r="B2302" t="s">
        <v>3908</v>
      </c>
      <c r="C2302" t="s">
        <v>701</v>
      </c>
      <c r="D2302">
        <v>2.0383113854475799E-5</v>
      </c>
      <c r="E2302" t="s">
        <v>94</v>
      </c>
      <c r="H2302" t="s">
        <v>588</v>
      </c>
      <c r="I2302">
        <v>2.0383113854475799E-5</v>
      </c>
      <c r="J2302">
        <v>1.0247973619913604</v>
      </c>
      <c r="N2302" t="s">
        <v>3909</v>
      </c>
      <c r="O2302" t="s">
        <v>1883</v>
      </c>
    </row>
    <row r="2303" spans="2:17">
      <c r="B2303" t="s">
        <v>3910</v>
      </c>
      <c r="C2303" t="s">
        <v>3911</v>
      </c>
      <c r="D2303">
        <v>1.63863134133388E-6</v>
      </c>
      <c r="E2303" t="s">
        <v>94</v>
      </c>
      <c r="H2303" t="s">
        <v>588</v>
      </c>
      <c r="I2303">
        <v>1.63863134133388E-6</v>
      </c>
      <c r="J2303">
        <v>1</v>
      </c>
      <c r="N2303" t="s">
        <v>3912</v>
      </c>
      <c r="O2303" t="s">
        <v>1756</v>
      </c>
      <c r="Q2303" t="s">
        <v>2620</v>
      </c>
    </row>
    <row r="2304" spans="2:17">
      <c r="B2304" t="s">
        <v>3913</v>
      </c>
      <c r="C2304" t="s">
        <v>3129</v>
      </c>
      <c r="D2304">
        <v>4.7730608213831003E-5</v>
      </c>
      <c r="E2304" t="s">
        <v>94</v>
      </c>
      <c r="H2304" t="s">
        <v>588</v>
      </c>
      <c r="I2304">
        <v>4.7730608213831003E-5</v>
      </c>
      <c r="J2304">
        <v>1.0247973619913604</v>
      </c>
      <c r="N2304" t="s">
        <v>3914</v>
      </c>
      <c r="O2304" t="s">
        <v>3595</v>
      </c>
      <c r="Q2304" t="s">
        <v>1679</v>
      </c>
    </row>
    <row r="2305" spans="2:17">
      <c r="B2305" t="s">
        <v>3915</v>
      </c>
      <c r="C2305" t="s">
        <v>3129</v>
      </c>
      <c r="D2305">
        <v>2.6809190440605499E-5</v>
      </c>
      <c r="E2305" t="s">
        <v>94</v>
      </c>
      <c r="H2305" t="s">
        <v>588</v>
      </c>
      <c r="I2305">
        <v>2.6809190440605499E-5</v>
      </c>
      <c r="J2305">
        <v>1.0247973619913604</v>
      </c>
      <c r="N2305" t="s">
        <v>3916</v>
      </c>
      <c r="O2305" t="s">
        <v>2536</v>
      </c>
      <c r="Q2305" t="s">
        <v>3917</v>
      </c>
    </row>
    <row r="2306" spans="2:17">
      <c r="B2306" t="s">
        <v>3918</v>
      </c>
      <c r="C2306" t="s">
        <v>3919</v>
      </c>
      <c r="D2306">
        <v>2.1165842489906501E-2</v>
      </c>
      <c r="E2306" t="s">
        <v>94</v>
      </c>
      <c r="H2306" t="s">
        <v>588</v>
      </c>
      <c r="I2306">
        <v>2.1165842489906501E-2</v>
      </c>
      <c r="J2306">
        <v>1.0247973619913604</v>
      </c>
      <c r="N2306" t="s">
        <v>3920</v>
      </c>
      <c r="O2306" t="s">
        <v>589</v>
      </c>
      <c r="Q2306" t="s">
        <v>3921</v>
      </c>
    </row>
    <row r="2307" spans="2:17">
      <c r="B2307" t="s">
        <v>3918</v>
      </c>
      <c r="C2307" t="s">
        <v>3919</v>
      </c>
      <c r="D2307">
        <v>4.3747080682071803E-2</v>
      </c>
      <c r="E2307" t="s">
        <v>94</v>
      </c>
      <c r="H2307" t="s">
        <v>588</v>
      </c>
      <c r="I2307">
        <v>4.3747080682071803E-2</v>
      </c>
      <c r="J2307">
        <v>1.0247973619913604</v>
      </c>
      <c r="N2307" t="s">
        <v>3920</v>
      </c>
      <c r="O2307" t="s">
        <v>589</v>
      </c>
      <c r="Q2307" t="s">
        <v>3921</v>
      </c>
    </row>
    <row r="2308" spans="2:17">
      <c r="B2308" t="s">
        <v>3922</v>
      </c>
      <c r="C2308" t="s">
        <v>673</v>
      </c>
      <c r="D2308">
        <v>2.0396359851016701E-10</v>
      </c>
      <c r="E2308" t="s">
        <v>94</v>
      </c>
      <c r="H2308" t="s">
        <v>588</v>
      </c>
      <c r="I2308">
        <v>2.0396359851016701E-10</v>
      </c>
      <c r="J2308">
        <v>1.0247973619913604</v>
      </c>
      <c r="N2308" t="s">
        <v>3923</v>
      </c>
      <c r="O2308" t="s">
        <v>641</v>
      </c>
      <c r="Q2308" t="s">
        <v>1672</v>
      </c>
    </row>
    <row r="2309" spans="2:17">
      <c r="B2309" t="s">
        <v>3924</v>
      </c>
      <c r="C2309" t="s">
        <v>1848</v>
      </c>
      <c r="D2309">
        <v>6.66736147249237E-3</v>
      </c>
      <c r="E2309" t="s">
        <v>94</v>
      </c>
      <c r="H2309" t="s">
        <v>588</v>
      </c>
      <c r="I2309">
        <v>6.66736147249237E-3</v>
      </c>
      <c r="J2309">
        <v>1.1051709180756477</v>
      </c>
      <c r="N2309" t="s">
        <v>3925</v>
      </c>
      <c r="O2309" t="s">
        <v>2031</v>
      </c>
      <c r="Q2309" t="s">
        <v>3926</v>
      </c>
    </row>
    <row r="2310" spans="2:17">
      <c r="B2310" t="s">
        <v>3924</v>
      </c>
      <c r="C2310" t="s">
        <v>1848</v>
      </c>
      <c r="D2310">
        <v>5.80606927535984E-4</v>
      </c>
      <c r="E2310" t="s">
        <v>94</v>
      </c>
      <c r="H2310" t="s">
        <v>588</v>
      </c>
      <c r="I2310">
        <v>5.80606927535984E-4</v>
      </c>
      <c r="J2310">
        <v>1.1051709180756477</v>
      </c>
      <c r="N2310" t="s">
        <v>3925</v>
      </c>
      <c r="O2310" t="s">
        <v>2031</v>
      </c>
      <c r="Q2310" t="s">
        <v>3926</v>
      </c>
    </row>
    <row r="2311" spans="2:17">
      <c r="B2311" t="s">
        <v>3927</v>
      </c>
      <c r="C2311" t="s">
        <v>1848</v>
      </c>
      <c r="D2311">
        <v>3.8904939681862498E-4</v>
      </c>
      <c r="E2311" t="s">
        <v>94</v>
      </c>
      <c r="H2311" t="s">
        <v>588</v>
      </c>
      <c r="I2311">
        <v>3.8904939681862498E-4</v>
      </c>
      <c r="J2311">
        <v>1.0247973619913604</v>
      </c>
      <c r="N2311" t="s">
        <v>3928</v>
      </c>
      <c r="O2311" t="s">
        <v>641</v>
      </c>
      <c r="Q2311" t="s">
        <v>3929</v>
      </c>
    </row>
    <row r="2312" spans="2:17">
      <c r="B2312" t="s">
        <v>3927</v>
      </c>
      <c r="C2312" t="s">
        <v>1848</v>
      </c>
      <c r="D2312">
        <v>1.9173784580735499E-4</v>
      </c>
      <c r="E2312" t="s">
        <v>94</v>
      </c>
      <c r="H2312" t="s">
        <v>588</v>
      </c>
      <c r="I2312">
        <v>1.9173784580735499E-4</v>
      </c>
      <c r="J2312">
        <v>1</v>
      </c>
      <c r="N2312" t="s">
        <v>3928</v>
      </c>
      <c r="O2312" t="s">
        <v>798</v>
      </c>
      <c r="Q2312" t="s">
        <v>3930</v>
      </c>
    </row>
    <row r="2313" spans="2:17">
      <c r="B2313" t="s">
        <v>932</v>
      </c>
      <c r="C2313" t="s">
        <v>673</v>
      </c>
      <c r="D2313">
        <v>9.2869304896284999E-5</v>
      </c>
      <c r="E2313" t="s">
        <v>94</v>
      </c>
      <c r="H2313" t="s">
        <v>588</v>
      </c>
      <c r="I2313">
        <v>9.2869304896284999E-5</v>
      </c>
      <c r="J2313">
        <v>1.074399999999982</v>
      </c>
      <c r="N2313" t="s">
        <v>933</v>
      </c>
      <c r="O2313" t="s">
        <v>1435</v>
      </c>
      <c r="Q2313" t="s">
        <v>1886</v>
      </c>
    </row>
    <row r="2314" spans="2:17">
      <c r="B2314" t="s">
        <v>932</v>
      </c>
      <c r="C2314" t="s">
        <v>673</v>
      </c>
      <c r="D2314">
        <v>2.1462497221336801E-6</v>
      </c>
      <c r="E2314" t="s">
        <v>94</v>
      </c>
      <c r="H2314" t="s">
        <v>588</v>
      </c>
      <c r="I2314">
        <v>2.1462497221336801E-6</v>
      </c>
      <c r="J2314">
        <v>1.074399999999982</v>
      </c>
      <c r="N2314" t="s">
        <v>933</v>
      </c>
      <c r="O2314" t="s">
        <v>2069</v>
      </c>
      <c r="Q2314" t="s">
        <v>1886</v>
      </c>
    </row>
    <row r="2315" spans="2:17">
      <c r="B2315" t="s">
        <v>3931</v>
      </c>
      <c r="C2315" t="s">
        <v>1848</v>
      </c>
      <c r="D2315">
        <v>1.02028178061141E-3</v>
      </c>
      <c r="E2315" t="s">
        <v>94</v>
      </c>
      <c r="H2315" t="s">
        <v>588</v>
      </c>
      <c r="I2315">
        <v>1.02028178061141E-3</v>
      </c>
      <c r="J2315">
        <v>1.0247973619913604</v>
      </c>
      <c r="N2315" t="s">
        <v>3932</v>
      </c>
      <c r="O2315" t="s">
        <v>641</v>
      </c>
      <c r="Q2315" t="s">
        <v>1672</v>
      </c>
    </row>
    <row r="2316" spans="2:17">
      <c r="B2316" t="s">
        <v>3933</v>
      </c>
      <c r="C2316" t="s">
        <v>3159</v>
      </c>
      <c r="D2316">
        <v>5.5682798582300901E-3</v>
      </c>
      <c r="E2316" t="s">
        <v>94</v>
      </c>
      <c r="H2316" t="s">
        <v>588</v>
      </c>
      <c r="I2316">
        <v>5.5682798582300901E-3</v>
      </c>
      <c r="J2316">
        <v>1.0247973619913604</v>
      </c>
      <c r="N2316" t="s">
        <v>3934</v>
      </c>
      <c r="O2316" t="s">
        <v>2004</v>
      </c>
      <c r="Q2316" t="s">
        <v>2005</v>
      </c>
    </row>
    <row r="2317" spans="2:17">
      <c r="B2317" t="s">
        <v>3935</v>
      </c>
      <c r="C2317" t="s">
        <v>673</v>
      </c>
      <c r="D2317">
        <v>2.0188308746719099E-4</v>
      </c>
      <c r="E2317" t="s">
        <v>94</v>
      </c>
      <c r="H2317" t="s">
        <v>588</v>
      </c>
      <c r="I2317">
        <v>2.0188308746719099E-4</v>
      </c>
      <c r="J2317">
        <v>1.0247973619913604</v>
      </c>
      <c r="N2317" t="s">
        <v>3936</v>
      </c>
      <c r="O2317" t="s">
        <v>641</v>
      </c>
      <c r="Q2317" t="s">
        <v>1643</v>
      </c>
    </row>
    <row r="2318" spans="2:17">
      <c r="B2318" t="s">
        <v>3935</v>
      </c>
      <c r="C2318" t="s">
        <v>673</v>
      </c>
      <c r="D2318">
        <v>6.6787562860235795E-4</v>
      </c>
      <c r="E2318" t="s">
        <v>94</v>
      </c>
      <c r="H2318" t="s">
        <v>588</v>
      </c>
      <c r="I2318">
        <v>6.6787562860235795E-4</v>
      </c>
      <c r="J2318">
        <v>1.0247973619913604</v>
      </c>
      <c r="N2318" t="s">
        <v>3936</v>
      </c>
      <c r="O2318" t="s">
        <v>641</v>
      </c>
      <c r="Q2318" t="s">
        <v>1643</v>
      </c>
    </row>
    <row r="2319" spans="2:17">
      <c r="B2319" t="s">
        <v>3937</v>
      </c>
      <c r="C2319" t="s">
        <v>673</v>
      </c>
      <c r="D2319">
        <v>6.5618757500632698E-9</v>
      </c>
      <c r="E2319" t="s">
        <v>94</v>
      </c>
      <c r="H2319" t="s">
        <v>588</v>
      </c>
      <c r="I2319">
        <v>6.5618757500632698E-9</v>
      </c>
      <c r="J2319">
        <v>1.1051709180756477</v>
      </c>
      <c r="N2319" t="s">
        <v>3938</v>
      </c>
      <c r="O2319" t="s">
        <v>847</v>
      </c>
      <c r="Q2319" t="s">
        <v>595</v>
      </c>
    </row>
    <row r="2320" spans="2:17">
      <c r="B2320" t="s">
        <v>3939</v>
      </c>
      <c r="C2320" t="s">
        <v>587</v>
      </c>
      <c r="D2320">
        <v>9.4007307270904499E-4</v>
      </c>
      <c r="E2320" t="s">
        <v>94</v>
      </c>
      <c r="H2320" t="s">
        <v>588</v>
      </c>
      <c r="I2320">
        <v>9.4007307270904499E-4</v>
      </c>
      <c r="J2320">
        <v>1.0247973619913604</v>
      </c>
      <c r="O2320" t="s">
        <v>641</v>
      </c>
      <c r="Q2320" t="s">
        <v>1643</v>
      </c>
    </row>
    <row r="2321" spans="2:17">
      <c r="B2321" t="s">
        <v>865</v>
      </c>
      <c r="C2321" t="s">
        <v>809</v>
      </c>
      <c r="D2321">
        <v>1.19664609076477E-3</v>
      </c>
      <c r="E2321" t="s">
        <v>94</v>
      </c>
      <c r="H2321" t="s">
        <v>588</v>
      </c>
      <c r="I2321">
        <v>1.19664609076477E-3</v>
      </c>
      <c r="J2321">
        <v>1.0247973619913604</v>
      </c>
      <c r="N2321" t="s">
        <v>866</v>
      </c>
      <c r="O2321" t="s">
        <v>1002</v>
      </c>
      <c r="Q2321" t="s">
        <v>1444</v>
      </c>
    </row>
    <row r="2322" spans="2:17">
      <c r="B2322" t="s">
        <v>865</v>
      </c>
      <c r="C2322" t="s">
        <v>809</v>
      </c>
      <c r="D2322">
        <v>7.5794913455431599E-3</v>
      </c>
      <c r="E2322" t="s">
        <v>94</v>
      </c>
      <c r="H2322" t="s">
        <v>588</v>
      </c>
      <c r="I2322">
        <v>7.5794913455431599E-3</v>
      </c>
      <c r="J2322">
        <v>1.1051709180756477</v>
      </c>
      <c r="N2322" t="s">
        <v>866</v>
      </c>
      <c r="O2322" t="s">
        <v>1675</v>
      </c>
      <c r="Q2322" t="s">
        <v>595</v>
      </c>
    </row>
    <row r="2323" spans="2:17">
      <c r="B2323" t="s">
        <v>3940</v>
      </c>
      <c r="C2323" t="s">
        <v>1698</v>
      </c>
      <c r="D2323">
        <v>1.4188179797465001E-4</v>
      </c>
      <c r="E2323" t="s">
        <v>616</v>
      </c>
      <c r="H2323" t="s">
        <v>588</v>
      </c>
      <c r="I2323">
        <v>1.4188179797465001E-4</v>
      </c>
      <c r="J2323">
        <v>1</v>
      </c>
      <c r="N2323" t="s">
        <v>3941</v>
      </c>
      <c r="O2323" t="s">
        <v>1700</v>
      </c>
      <c r="Q2323" t="s">
        <v>595</v>
      </c>
    </row>
    <row r="2324" spans="2:17">
      <c r="B2324" t="s">
        <v>3942</v>
      </c>
      <c r="C2324" t="s">
        <v>597</v>
      </c>
      <c r="D2324">
        <v>3.8457228751069502E-3</v>
      </c>
      <c r="E2324" t="s">
        <v>607</v>
      </c>
      <c r="H2324" t="s">
        <v>588</v>
      </c>
      <c r="I2324">
        <v>3.8457228751069502E-3</v>
      </c>
      <c r="J2324">
        <v>1</v>
      </c>
      <c r="N2324" t="s">
        <v>3943</v>
      </c>
      <c r="O2324" t="s">
        <v>798</v>
      </c>
      <c r="Q2324" t="s">
        <v>3944</v>
      </c>
    </row>
    <row r="2325" spans="2:17">
      <c r="B2325" t="s">
        <v>3942</v>
      </c>
      <c r="C2325" t="s">
        <v>597</v>
      </c>
      <c r="D2325">
        <v>7.7786074092306104E-2</v>
      </c>
      <c r="E2325" t="s">
        <v>607</v>
      </c>
      <c r="H2325" t="s">
        <v>588</v>
      </c>
      <c r="I2325">
        <v>7.7786074092306104E-2</v>
      </c>
      <c r="J2325">
        <v>1.1051709180756477</v>
      </c>
      <c r="N2325" t="s">
        <v>3945</v>
      </c>
      <c r="O2325" t="s">
        <v>841</v>
      </c>
      <c r="Q2325" t="s">
        <v>3946</v>
      </c>
    </row>
    <row r="2326" spans="2:17">
      <c r="B2326" t="s">
        <v>3947</v>
      </c>
      <c r="C2326" t="s">
        <v>3862</v>
      </c>
      <c r="D2326">
        <v>3.2929176633802501E-2</v>
      </c>
      <c r="E2326" t="s">
        <v>94</v>
      </c>
      <c r="H2326" t="s">
        <v>588</v>
      </c>
      <c r="I2326">
        <v>3.2929176633802501E-2</v>
      </c>
      <c r="J2326">
        <v>1</v>
      </c>
      <c r="N2326" t="s">
        <v>3948</v>
      </c>
      <c r="O2326" t="s">
        <v>1756</v>
      </c>
      <c r="Q2326" t="s">
        <v>3949</v>
      </c>
    </row>
    <row r="2327" spans="2:17">
      <c r="B2327" t="s">
        <v>3950</v>
      </c>
      <c r="C2327" t="s">
        <v>3159</v>
      </c>
      <c r="D2327">
        <v>3.9360850030100702E-3</v>
      </c>
      <c r="E2327" t="s">
        <v>640</v>
      </c>
      <c r="H2327" t="s">
        <v>588</v>
      </c>
      <c r="I2327">
        <v>3.9360850030100702E-3</v>
      </c>
      <c r="J2327">
        <v>1</v>
      </c>
      <c r="N2327" t="s">
        <v>3951</v>
      </c>
      <c r="O2327" t="s">
        <v>594</v>
      </c>
      <c r="Q2327" t="s">
        <v>3952</v>
      </c>
    </row>
    <row r="2328" spans="2:17">
      <c r="B2328" t="s">
        <v>3950</v>
      </c>
      <c r="C2328" t="s">
        <v>3159</v>
      </c>
      <c r="D2328">
        <v>2.4187245639434602E-3</v>
      </c>
      <c r="E2328" t="s">
        <v>640</v>
      </c>
      <c r="N2328" t="s">
        <v>3953</v>
      </c>
      <c r="Q2328" t="s">
        <v>3954</v>
      </c>
    </row>
    <row r="2329" spans="2:17">
      <c r="B2329" t="s">
        <v>3955</v>
      </c>
      <c r="C2329" t="s">
        <v>587</v>
      </c>
      <c r="D2329">
        <v>1.7744661149886199E-2</v>
      </c>
      <c r="E2329" t="s">
        <v>94</v>
      </c>
      <c r="H2329" t="s">
        <v>588</v>
      </c>
      <c r="I2329">
        <v>1.7744661149886199E-2</v>
      </c>
      <c r="J2329">
        <v>1.0247973619913604</v>
      </c>
      <c r="O2329" t="s">
        <v>3956</v>
      </c>
      <c r="Q2329" t="s">
        <v>3957</v>
      </c>
    </row>
    <row r="2330" spans="2:17">
      <c r="B2330" t="s">
        <v>3958</v>
      </c>
      <c r="C2330" t="s">
        <v>615</v>
      </c>
      <c r="D2330">
        <v>4.3606807159851198E-13</v>
      </c>
      <c r="E2330" t="s">
        <v>616</v>
      </c>
      <c r="H2330" t="s">
        <v>588</v>
      </c>
      <c r="I2330">
        <v>4.3606807159851198E-13</v>
      </c>
      <c r="J2330">
        <v>1.0247973619913604</v>
      </c>
      <c r="N2330" t="s">
        <v>3959</v>
      </c>
      <c r="O2330" t="s">
        <v>952</v>
      </c>
      <c r="Q2330" t="s">
        <v>3960</v>
      </c>
    </row>
    <row r="2331" spans="2:17">
      <c r="B2331" t="s">
        <v>1472</v>
      </c>
      <c r="C2331" t="s">
        <v>701</v>
      </c>
      <c r="D2331">
        <v>4.7260948140641201E-3</v>
      </c>
      <c r="E2331" t="s">
        <v>94</v>
      </c>
      <c r="H2331" t="s">
        <v>588</v>
      </c>
      <c r="I2331">
        <v>4.7260948140641201E-3</v>
      </c>
      <c r="J2331">
        <v>1.1051709180756477</v>
      </c>
      <c r="N2331" t="s">
        <v>1473</v>
      </c>
      <c r="O2331" t="s">
        <v>1731</v>
      </c>
      <c r="Q2331" t="s">
        <v>3961</v>
      </c>
    </row>
    <row r="2332" spans="2:17">
      <c r="B2332" t="s">
        <v>3962</v>
      </c>
      <c r="C2332" t="s">
        <v>587</v>
      </c>
      <c r="D2332">
        <v>2.1459520239263401E-5</v>
      </c>
      <c r="E2332" t="s">
        <v>94</v>
      </c>
      <c r="Q2332" t="s">
        <v>1776</v>
      </c>
    </row>
    <row r="2333" spans="2:17">
      <c r="B2333" t="s">
        <v>868</v>
      </c>
      <c r="C2333" t="s">
        <v>813</v>
      </c>
      <c r="D2333">
        <v>1.96475729765727E-2</v>
      </c>
      <c r="E2333" t="s">
        <v>94</v>
      </c>
      <c r="H2333" t="s">
        <v>588</v>
      </c>
      <c r="I2333">
        <v>1.96475729765727E-2</v>
      </c>
      <c r="J2333">
        <v>1.2214027581601699</v>
      </c>
      <c r="N2333" t="s">
        <v>869</v>
      </c>
      <c r="O2333" t="s">
        <v>1145</v>
      </c>
      <c r="Q2333" t="s">
        <v>595</v>
      </c>
    </row>
    <row r="2334" spans="2:17">
      <c r="B2334" t="s">
        <v>868</v>
      </c>
      <c r="C2334" t="s">
        <v>813</v>
      </c>
      <c r="D2334">
        <v>0.17360522026549899</v>
      </c>
      <c r="E2334" t="s">
        <v>94</v>
      </c>
      <c r="H2334" t="s">
        <v>588</v>
      </c>
      <c r="I2334">
        <v>0.17360522026549899</v>
      </c>
      <c r="J2334">
        <v>1.2214027581601699</v>
      </c>
      <c r="N2334" t="s">
        <v>869</v>
      </c>
      <c r="O2334" t="s">
        <v>1145</v>
      </c>
      <c r="Q2334" t="s">
        <v>595</v>
      </c>
    </row>
    <row r="2335" spans="2:17">
      <c r="B2335" t="s">
        <v>868</v>
      </c>
      <c r="C2335" t="s">
        <v>813</v>
      </c>
      <c r="D2335">
        <v>9.8592878945342702E-2</v>
      </c>
      <c r="E2335" t="s">
        <v>94</v>
      </c>
      <c r="H2335" t="s">
        <v>588</v>
      </c>
      <c r="I2335">
        <v>9.8592878945342702E-2</v>
      </c>
      <c r="J2335">
        <v>1</v>
      </c>
      <c r="N2335" t="s">
        <v>869</v>
      </c>
      <c r="O2335" t="s">
        <v>2045</v>
      </c>
      <c r="Q2335" t="s">
        <v>3963</v>
      </c>
    </row>
    <row r="2336" spans="2:17">
      <c r="B2336" t="s">
        <v>868</v>
      </c>
      <c r="C2336" t="s">
        <v>813</v>
      </c>
      <c r="D2336">
        <v>5.2011861157283797E-2</v>
      </c>
      <c r="E2336" t="s">
        <v>94</v>
      </c>
      <c r="H2336" t="s">
        <v>588</v>
      </c>
      <c r="I2336">
        <v>5.2011861157283797E-2</v>
      </c>
      <c r="J2336">
        <v>1.2214027581601699</v>
      </c>
      <c r="N2336" t="s">
        <v>869</v>
      </c>
      <c r="O2336" t="s">
        <v>1145</v>
      </c>
      <c r="Q2336" t="s">
        <v>595</v>
      </c>
    </row>
    <row r="2337" spans="2:17">
      <c r="B2337" t="s">
        <v>868</v>
      </c>
      <c r="C2337" t="s">
        <v>813</v>
      </c>
      <c r="D2337">
        <v>0.19287970204820901</v>
      </c>
      <c r="E2337" t="s">
        <v>94</v>
      </c>
      <c r="H2337" t="s">
        <v>588</v>
      </c>
      <c r="I2337">
        <v>0.19287970204820901</v>
      </c>
      <c r="J2337">
        <v>1.2214027581601699</v>
      </c>
      <c r="N2337" t="s">
        <v>1474</v>
      </c>
      <c r="O2337" t="s">
        <v>1708</v>
      </c>
      <c r="Q2337" t="s">
        <v>595</v>
      </c>
    </row>
    <row r="2338" spans="2:17">
      <c r="B2338" t="s">
        <v>868</v>
      </c>
      <c r="C2338" t="s">
        <v>813</v>
      </c>
      <c r="D2338">
        <v>0.13273420280494899</v>
      </c>
      <c r="E2338" t="s">
        <v>94</v>
      </c>
      <c r="H2338" t="s">
        <v>588</v>
      </c>
      <c r="I2338">
        <v>0.13273420280494899</v>
      </c>
      <c r="J2338">
        <v>1</v>
      </c>
      <c r="N2338" t="s">
        <v>869</v>
      </c>
      <c r="O2338" t="s">
        <v>1657</v>
      </c>
      <c r="Q2338" t="s">
        <v>595</v>
      </c>
    </row>
    <row r="2339" spans="2:17">
      <c r="B2339" t="s">
        <v>868</v>
      </c>
      <c r="C2339" t="s">
        <v>813</v>
      </c>
      <c r="D2339">
        <v>0.21451261367236199</v>
      </c>
      <c r="E2339" t="s">
        <v>94</v>
      </c>
      <c r="H2339" t="s">
        <v>588</v>
      </c>
      <c r="I2339">
        <v>0.21451261367236199</v>
      </c>
      <c r="J2339">
        <v>1.2214027581601699</v>
      </c>
      <c r="N2339" t="s">
        <v>869</v>
      </c>
      <c r="O2339" t="s">
        <v>1145</v>
      </c>
      <c r="Q2339" t="s">
        <v>595</v>
      </c>
    </row>
    <row r="2340" spans="2:17">
      <c r="B2340" t="s">
        <v>868</v>
      </c>
      <c r="C2340" t="s">
        <v>813</v>
      </c>
      <c r="D2340">
        <v>9.4101926633276805E-3</v>
      </c>
      <c r="E2340" t="s">
        <v>94</v>
      </c>
      <c r="H2340" t="s">
        <v>588</v>
      </c>
      <c r="I2340">
        <v>9.4101926633276805E-3</v>
      </c>
      <c r="J2340">
        <v>1.2214027581601699</v>
      </c>
      <c r="N2340" t="s">
        <v>869</v>
      </c>
      <c r="O2340" t="s">
        <v>1145</v>
      </c>
      <c r="Q2340" t="s">
        <v>595</v>
      </c>
    </row>
    <row r="2341" spans="2:17">
      <c r="B2341" t="s">
        <v>868</v>
      </c>
      <c r="C2341" t="s">
        <v>813</v>
      </c>
      <c r="D2341">
        <v>0.31267504555838599</v>
      </c>
      <c r="E2341" t="s">
        <v>94</v>
      </c>
      <c r="H2341" t="s">
        <v>588</v>
      </c>
      <c r="I2341">
        <v>0.31267504555838599</v>
      </c>
      <c r="J2341">
        <v>1.2214027581601699</v>
      </c>
      <c r="N2341" t="s">
        <v>869</v>
      </c>
      <c r="O2341" t="s">
        <v>1145</v>
      </c>
      <c r="Q2341" t="s">
        <v>595</v>
      </c>
    </row>
    <row r="2342" spans="2:17">
      <c r="B2342" t="s">
        <v>868</v>
      </c>
      <c r="C2342" t="s">
        <v>813</v>
      </c>
      <c r="D2342">
        <v>0.735441849513221</v>
      </c>
      <c r="E2342" t="s">
        <v>94</v>
      </c>
      <c r="H2342" t="s">
        <v>588</v>
      </c>
      <c r="I2342">
        <v>0.735441849513221</v>
      </c>
      <c r="J2342">
        <v>1.0247973619913604</v>
      </c>
      <c r="N2342" t="s">
        <v>1474</v>
      </c>
      <c r="O2342" t="s">
        <v>641</v>
      </c>
      <c r="Q2342" t="s">
        <v>1643</v>
      </c>
    </row>
    <row r="2343" spans="2:17">
      <c r="B2343" t="s">
        <v>868</v>
      </c>
      <c r="C2343" t="s">
        <v>813</v>
      </c>
      <c r="D2343">
        <v>2.6495691540575899</v>
      </c>
      <c r="E2343" t="s">
        <v>94</v>
      </c>
      <c r="H2343" t="s">
        <v>588</v>
      </c>
      <c r="I2343">
        <v>2.6495691540575899</v>
      </c>
      <c r="J2343">
        <v>1.2214027581601699</v>
      </c>
      <c r="N2343" t="s">
        <v>869</v>
      </c>
      <c r="O2343" t="s">
        <v>1145</v>
      </c>
      <c r="Q2343" t="s">
        <v>595</v>
      </c>
    </row>
    <row r="2344" spans="2:17">
      <c r="B2344" t="s">
        <v>3964</v>
      </c>
      <c r="C2344" t="s">
        <v>3965</v>
      </c>
      <c r="D2344">
        <v>2.8274044217718602E-7</v>
      </c>
      <c r="E2344" t="s">
        <v>616</v>
      </c>
      <c r="H2344" t="s">
        <v>588</v>
      </c>
      <c r="I2344">
        <v>2.8274044217718602E-7</v>
      </c>
      <c r="J2344">
        <v>1.7293101253499219</v>
      </c>
      <c r="N2344" t="s">
        <v>3966</v>
      </c>
      <c r="O2344" t="s">
        <v>1927</v>
      </c>
      <c r="Q2344" t="s">
        <v>3967</v>
      </c>
    </row>
    <row r="2345" spans="2:17">
      <c r="B2345" t="s">
        <v>1476</v>
      </c>
      <c r="C2345" t="s">
        <v>1243</v>
      </c>
      <c r="D2345">
        <v>5.0885577289860898E-5</v>
      </c>
      <c r="E2345" t="s">
        <v>94</v>
      </c>
      <c r="H2345" t="s">
        <v>588</v>
      </c>
      <c r="I2345">
        <v>5.0885577289860898E-5</v>
      </c>
      <c r="J2345">
        <v>1</v>
      </c>
      <c r="N2345" t="s">
        <v>3968</v>
      </c>
      <c r="O2345" t="s">
        <v>594</v>
      </c>
      <c r="Q2345" t="s">
        <v>595</v>
      </c>
    </row>
    <row r="2346" spans="2:17">
      <c r="B2346" t="s">
        <v>1476</v>
      </c>
      <c r="C2346" t="s">
        <v>1243</v>
      </c>
      <c r="D2346">
        <v>3.8320060251355E-4</v>
      </c>
      <c r="E2346" t="s">
        <v>94</v>
      </c>
      <c r="H2346" t="s">
        <v>588</v>
      </c>
      <c r="I2346">
        <v>3.8320060251355E-4</v>
      </c>
      <c r="J2346">
        <v>1.0247973619913604</v>
      </c>
      <c r="N2346" t="s">
        <v>1477</v>
      </c>
      <c r="O2346" t="s">
        <v>1135</v>
      </c>
      <c r="Q2346" t="s">
        <v>1136</v>
      </c>
    </row>
    <row r="2347" spans="2:17">
      <c r="B2347" t="s">
        <v>3969</v>
      </c>
      <c r="C2347" t="s">
        <v>701</v>
      </c>
      <c r="D2347">
        <v>2.4827440231333101E-8</v>
      </c>
      <c r="E2347" t="s">
        <v>94</v>
      </c>
      <c r="H2347" t="s">
        <v>588</v>
      </c>
      <c r="I2347">
        <v>2.4827440231333101E-8</v>
      </c>
      <c r="J2347">
        <v>1.0247973619913604</v>
      </c>
      <c r="N2347" t="s">
        <v>3970</v>
      </c>
      <c r="O2347" t="s">
        <v>1745</v>
      </c>
      <c r="Q2347" t="s">
        <v>3971</v>
      </c>
    </row>
    <row r="2348" spans="2:17">
      <c r="B2348" t="s">
        <v>3972</v>
      </c>
      <c r="C2348" t="s">
        <v>673</v>
      </c>
      <c r="D2348">
        <v>2.8896801688741102E-6</v>
      </c>
      <c r="E2348" t="s">
        <v>94</v>
      </c>
      <c r="H2348" t="s">
        <v>588</v>
      </c>
      <c r="I2348">
        <v>2.8896801688741102E-6</v>
      </c>
      <c r="J2348">
        <v>1</v>
      </c>
      <c r="N2348" t="s">
        <v>3973</v>
      </c>
      <c r="O2348" t="s">
        <v>1054</v>
      </c>
      <c r="Q2348" t="s">
        <v>595</v>
      </c>
    </row>
    <row r="2349" spans="2:17">
      <c r="B2349" t="s">
        <v>3974</v>
      </c>
      <c r="C2349" t="s">
        <v>3975</v>
      </c>
      <c r="D2349">
        <v>3.3029270128881799E-5</v>
      </c>
      <c r="E2349" t="s">
        <v>94</v>
      </c>
      <c r="H2349" t="s">
        <v>588</v>
      </c>
      <c r="I2349">
        <v>3.3029270128881799E-5</v>
      </c>
      <c r="J2349">
        <v>1.7293101253499219</v>
      </c>
      <c r="N2349" t="s">
        <v>3976</v>
      </c>
      <c r="O2349" t="s">
        <v>1927</v>
      </c>
      <c r="Q2349" t="s">
        <v>3977</v>
      </c>
    </row>
    <row r="2350" spans="2:17">
      <c r="B2350" t="s">
        <v>3978</v>
      </c>
      <c r="C2350" t="s">
        <v>3979</v>
      </c>
      <c r="D2350">
        <v>5.77395804880912E-8</v>
      </c>
      <c r="E2350" t="s">
        <v>94</v>
      </c>
      <c r="H2350" t="s">
        <v>588</v>
      </c>
      <c r="I2350">
        <v>5.77395804880912E-8</v>
      </c>
      <c r="J2350">
        <v>1.0247973619913604</v>
      </c>
      <c r="N2350" t="s">
        <v>3980</v>
      </c>
      <c r="O2350" t="s">
        <v>3981</v>
      </c>
      <c r="Q2350" t="s">
        <v>3982</v>
      </c>
    </row>
    <row r="2351" spans="2:17">
      <c r="B2351" t="s">
        <v>3983</v>
      </c>
      <c r="C2351" t="s">
        <v>2739</v>
      </c>
      <c r="D2351">
        <v>1.8639162551267999E-11</v>
      </c>
      <c r="E2351" t="s">
        <v>616</v>
      </c>
      <c r="H2351" t="s">
        <v>588</v>
      </c>
      <c r="I2351">
        <v>1.8639162551267999E-11</v>
      </c>
      <c r="J2351">
        <v>1.0247973619913604</v>
      </c>
      <c r="N2351" t="s">
        <v>3984</v>
      </c>
      <c r="O2351" t="s">
        <v>2656</v>
      </c>
      <c r="Q2351" t="s">
        <v>3985</v>
      </c>
    </row>
    <row r="2352" spans="2:17">
      <c r="B2352" t="s">
        <v>3986</v>
      </c>
      <c r="C2352" t="s">
        <v>1249</v>
      </c>
      <c r="D2352">
        <v>4.85845904106341E-5</v>
      </c>
      <c r="E2352" t="s">
        <v>94</v>
      </c>
      <c r="H2352" t="s">
        <v>588</v>
      </c>
      <c r="I2352">
        <v>4.85845904106341E-5</v>
      </c>
      <c r="J2352">
        <v>1.0247973619913604</v>
      </c>
      <c r="N2352" t="s">
        <v>3987</v>
      </c>
      <c r="O2352" t="s">
        <v>3040</v>
      </c>
      <c r="Q2352" t="s">
        <v>3988</v>
      </c>
    </row>
    <row r="2353" spans="2:17">
      <c r="B2353" t="s">
        <v>3989</v>
      </c>
      <c r="C2353" t="s">
        <v>1249</v>
      </c>
      <c r="D2353">
        <v>4.0103904548955901E-8</v>
      </c>
      <c r="E2353" t="s">
        <v>94</v>
      </c>
      <c r="H2353" t="s">
        <v>588</v>
      </c>
      <c r="I2353">
        <v>4.0103904548955901E-8</v>
      </c>
      <c r="J2353">
        <v>1.0247973619913604</v>
      </c>
      <c r="N2353" t="s">
        <v>3990</v>
      </c>
      <c r="O2353" t="s">
        <v>3991</v>
      </c>
      <c r="Q2353" t="s">
        <v>3992</v>
      </c>
    </row>
    <row r="2354" spans="2:17">
      <c r="B2354" t="s">
        <v>3989</v>
      </c>
      <c r="C2354" t="s">
        <v>1249</v>
      </c>
      <c r="D2354">
        <v>3.8271687012294501E-8</v>
      </c>
      <c r="E2354" t="s">
        <v>94</v>
      </c>
      <c r="H2354" t="s">
        <v>588</v>
      </c>
      <c r="I2354">
        <v>3.8271687012294501E-8</v>
      </c>
      <c r="J2354">
        <v>1.0247973619913604</v>
      </c>
      <c r="N2354" t="s">
        <v>3993</v>
      </c>
      <c r="O2354" t="s">
        <v>3991</v>
      </c>
      <c r="Q2354" t="s">
        <v>3992</v>
      </c>
    </row>
    <row r="2355" spans="2:17">
      <c r="B2355" t="s">
        <v>3994</v>
      </c>
      <c r="C2355" t="s">
        <v>1810</v>
      </c>
      <c r="D2355">
        <v>7.8016556173942596E-7</v>
      </c>
      <c r="E2355" t="s">
        <v>1811</v>
      </c>
      <c r="H2355" t="s">
        <v>588</v>
      </c>
      <c r="I2355">
        <v>7.8016556173942596E-7</v>
      </c>
      <c r="J2355">
        <v>1</v>
      </c>
      <c r="N2355" t="s">
        <v>3995</v>
      </c>
      <c r="O2355" t="s">
        <v>1756</v>
      </c>
      <c r="Q2355" t="s">
        <v>1816</v>
      </c>
    </row>
    <row r="2356" spans="2:17">
      <c r="B2356" t="s">
        <v>3994</v>
      </c>
      <c r="C2356" t="s">
        <v>1810</v>
      </c>
      <c r="D2356">
        <v>1.8422171577699701E-6</v>
      </c>
      <c r="E2356" t="s">
        <v>1811</v>
      </c>
      <c r="H2356" t="s">
        <v>588</v>
      </c>
      <c r="I2356">
        <v>1.8422171577699701E-6</v>
      </c>
      <c r="J2356">
        <v>1.0247973619913604</v>
      </c>
      <c r="N2356" t="s">
        <v>3996</v>
      </c>
      <c r="O2356" t="s">
        <v>1756</v>
      </c>
      <c r="Q2356" t="s">
        <v>3997</v>
      </c>
    </row>
    <row r="2357" spans="2:17">
      <c r="B2357" t="s">
        <v>3998</v>
      </c>
      <c r="C2357" t="s">
        <v>1810</v>
      </c>
      <c r="D2357">
        <v>9.2111009371118097E-7</v>
      </c>
      <c r="E2357" t="s">
        <v>1811</v>
      </c>
      <c r="H2357" t="s">
        <v>588</v>
      </c>
      <c r="I2357">
        <v>9.2111009371118097E-7</v>
      </c>
      <c r="J2357">
        <v>1.0247973619913604</v>
      </c>
      <c r="N2357" t="s">
        <v>3999</v>
      </c>
      <c r="O2357" t="s">
        <v>1756</v>
      </c>
      <c r="Q2357" t="s">
        <v>4000</v>
      </c>
    </row>
    <row r="2358" spans="2:17">
      <c r="B2358" t="s">
        <v>3998</v>
      </c>
      <c r="C2358" t="s">
        <v>1810</v>
      </c>
      <c r="D2358">
        <v>3.9008429517210097E-7</v>
      </c>
      <c r="E2358" t="s">
        <v>1811</v>
      </c>
      <c r="H2358" t="s">
        <v>588</v>
      </c>
      <c r="I2358">
        <v>3.9008429517210097E-7</v>
      </c>
      <c r="J2358">
        <v>1</v>
      </c>
      <c r="N2358" t="s">
        <v>4001</v>
      </c>
      <c r="O2358" t="s">
        <v>1756</v>
      </c>
      <c r="Q2358" t="s">
        <v>1816</v>
      </c>
    </row>
    <row r="2359" spans="2:17">
      <c r="B2359" t="s">
        <v>1481</v>
      </c>
      <c r="C2359" t="s">
        <v>1482</v>
      </c>
      <c r="D2359">
        <v>1.6286383918238099E-4</v>
      </c>
      <c r="E2359" t="s">
        <v>94</v>
      </c>
      <c r="H2359" t="s">
        <v>588</v>
      </c>
      <c r="I2359">
        <v>1.6286383918238099E-4</v>
      </c>
      <c r="J2359">
        <v>1.1051709180756477</v>
      </c>
      <c r="N2359" t="s">
        <v>1483</v>
      </c>
      <c r="O2359" t="s">
        <v>798</v>
      </c>
      <c r="Q2359" t="s">
        <v>595</v>
      </c>
    </row>
    <row r="2360" spans="2:17">
      <c r="B2360" t="s">
        <v>4002</v>
      </c>
      <c r="C2360" t="s">
        <v>821</v>
      </c>
      <c r="D2360">
        <v>9.9292621317107298E-5</v>
      </c>
      <c r="E2360" t="s">
        <v>626</v>
      </c>
      <c r="H2360" t="s">
        <v>1733</v>
      </c>
      <c r="I2360">
        <v>9.9292621317107298E-5</v>
      </c>
      <c r="K2360">
        <v>9.9292621317107298E-5</v>
      </c>
      <c r="L2360">
        <v>9.9292621317107298E-5</v>
      </c>
      <c r="N2360" t="s">
        <v>4003</v>
      </c>
      <c r="O2360" t="s">
        <v>1657</v>
      </c>
      <c r="Q2360" t="s">
        <v>3090</v>
      </c>
    </row>
    <row r="2361" spans="2:17">
      <c r="B2361" t="s">
        <v>4004</v>
      </c>
      <c r="C2361" t="s">
        <v>1848</v>
      </c>
      <c r="D2361">
        <v>6.1960124321282705E-4</v>
      </c>
      <c r="E2361" t="s">
        <v>94</v>
      </c>
      <c r="H2361" t="s">
        <v>588</v>
      </c>
      <c r="I2361">
        <v>6.1960124321282705E-4</v>
      </c>
      <c r="J2361">
        <v>1.0247973619913604</v>
      </c>
      <c r="N2361" t="s">
        <v>4005</v>
      </c>
      <c r="O2361" t="s">
        <v>1745</v>
      </c>
      <c r="Q2361" t="s">
        <v>4006</v>
      </c>
    </row>
    <row r="2362" spans="2:17">
      <c r="B2362" t="s">
        <v>4007</v>
      </c>
      <c r="C2362" t="s">
        <v>667</v>
      </c>
      <c r="D2362">
        <v>4.6080972954792097E-5</v>
      </c>
      <c r="E2362" t="s">
        <v>94</v>
      </c>
      <c r="H2362" t="s">
        <v>588</v>
      </c>
      <c r="I2362">
        <v>4.6080972954792097E-5</v>
      </c>
      <c r="J2362">
        <v>1.0247973619913604</v>
      </c>
      <c r="N2362" t="s">
        <v>4008</v>
      </c>
      <c r="O2362" t="s">
        <v>1758</v>
      </c>
      <c r="Q2362" t="s">
        <v>4009</v>
      </c>
    </row>
    <row r="2363" spans="2:17">
      <c r="B2363" t="s">
        <v>1484</v>
      </c>
      <c r="C2363" t="s">
        <v>673</v>
      </c>
      <c r="D2363">
        <v>9.54639023396791E-8</v>
      </c>
      <c r="E2363" t="s">
        <v>94</v>
      </c>
      <c r="H2363" t="s">
        <v>588</v>
      </c>
      <c r="I2363">
        <v>9.54639023396791E-8</v>
      </c>
      <c r="J2363">
        <v>1.0247973619913604</v>
      </c>
      <c r="N2363" t="s">
        <v>1485</v>
      </c>
      <c r="O2363" t="s">
        <v>2913</v>
      </c>
      <c r="Q2363" t="s">
        <v>4010</v>
      </c>
    </row>
    <row r="2364" spans="2:17">
      <c r="B2364" t="s">
        <v>1484</v>
      </c>
      <c r="C2364" t="s">
        <v>673</v>
      </c>
      <c r="D2364">
        <v>4.7733890162511104E-6</v>
      </c>
      <c r="E2364" t="s">
        <v>94</v>
      </c>
      <c r="H2364" t="s">
        <v>588</v>
      </c>
      <c r="I2364">
        <v>4.7733890162511104E-6</v>
      </c>
      <c r="J2364">
        <v>2.7318732938807977</v>
      </c>
      <c r="N2364" t="s">
        <v>1485</v>
      </c>
      <c r="O2364" t="s">
        <v>1157</v>
      </c>
      <c r="Q2364" t="s">
        <v>4011</v>
      </c>
    </row>
    <row r="2365" spans="2:17">
      <c r="B2365" t="s">
        <v>4012</v>
      </c>
      <c r="C2365" t="s">
        <v>587</v>
      </c>
      <c r="D2365">
        <v>1.1320018822377401E-6</v>
      </c>
      <c r="E2365" t="s">
        <v>94</v>
      </c>
      <c r="H2365" t="s">
        <v>588</v>
      </c>
      <c r="I2365">
        <v>1.1320018822377401E-6</v>
      </c>
      <c r="J2365">
        <v>1.0247973619913604</v>
      </c>
      <c r="O2365" t="s">
        <v>641</v>
      </c>
      <c r="Q2365" t="s">
        <v>1643</v>
      </c>
    </row>
    <row r="2366" spans="2:17">
      <c r="B2366" t="s">
        <v>4013</v>
      </c>
      <c r="C2366" t="s">
        <v>701</v>
      </c>
      <c r="D2366">
        <v>9.1806040080564296E-4</v>
      </c>
      <c r="E2366" t="s">
        <v>94</v>
      </c>
      <c r="H2366" t="s">
        <v>588</v>
      </c>
      <c r="I2366">
        <v>9.1806040080564296E-4</v>
      </c>
      <c r="J2366">
        <v>1.0247973619913604</v>
      </c>
      <c r="N2366" t="s">
        <v>4014</v>
      </c>
      <c r="O2366" t="s">
        <v>1883</v>
      </c>
    </row>
    <row r="2367" spans="2:17">
      <c r="B2367" t="s">
        <v>4013</v>
      </c>
      <c r="C2367" t="s">
        <v>701</v>
      </c>
      <c r="D2367">
        <v>9.1991306414788E-4</v>
      </c>
      <c r="E2367" t="s">
        <v>94</v>
      </c>
      <c r="H2367" t="s">
        <v>588</v>
      </c>
      <c r="I2367">
        <v>9.1991306414788E-4</v>
      </c>
      <c r="J2367">
        <v>1.0247973619913604</v>
      </c>
      <c r="N2367" t="s">
        <v>4014</v>
      </c>
      <c r="O2367" t="s">
        <v>2189</v>
      </c>
    </row>
    <row r="2368" spans="2:17">
      <c r="B2368" t="s">
        <v>4015</v>
      </c>
      <c r="C2368" t="s">
        <v>673</v>
      </c>
      <c r="D2368">
        <v>1.8358793223570899E-5</v>
      </c>
      <c r="E2368" t="s">
        <v>94</v>
      </c>
      <c r="H2368" t="s">
        <v>588</v>
      </c>
      <c r="I2368">
        <v>1.8358793223570899E-5</v>
      </c>
      <c r="J2368">
        <v>1</v>
      </c>
      <c r="N2368" t="s">
        <v>4016</v>
      </c>
      <c r="O2368" t="s">
        <v>1054</v>
      </c>
      <c r="Q2368" t="s">
        <v>595</v>
      </c>
    </row>
    <row r="2369" spans="2:17">
      <c r="B2369" t="s">
        <v>4015</v>
      </c>
      <c r="C2369" t="s">
        <v>673</v>
      </c>
      <c r="D2369">
        <v>2.4473731026805699E-6</v>
      </c>
      <c r="E2369" t="s">
        <v>94</v>
      </c>
      <c r="H2369" t="s">
        <v>588</v>
      </c>
      <c r="I2369">
        <v>2.4473731026805699E-6</v>
      </c>
      <c r="J2369">
        <v>1</v>
      </c>
      <c r="N2369" t="s">
        <v>4016</v>
      </c>
      <c r="O2369" t="s">
        <v>1054</v>
      </c>
      <c r="Q2369" t="s">
        <v>595</v>
      </c>
    </row>
    <row r="2370" spans="2:17">
      <c r="B2370" t="s">
        <v>4017</v>
      </c>
      <c r="C2370" t="s">
        <v>1830</v>
      </c>
      <c r="D2370">
        <v>6.4632464520638796E-6</v>
      </c>
      <c r="E2370" t="s">
        <v>94</v>
      </c>
      <c r="N2370" t="s">
        <v>4018</v>
      </c>
    </row>
    <row r="2371" spans="2:17">
      <c r="B2371" t="s">
        <v>4017</v>
      </c>
      <c r="C2371" t="s">
        <v>1830</v>
      </c>
      <c r="D2371">
        <v>2.27933441614646E-5</v>
      </c>
      <c r="E2371" t="s">
        <v>94</v>
      </c>
      <c r="N2371" t="s">
        <v>4018</v>
      </c>
    </row>
    <row r="2372" spans="2:17">
      <c r="B2372" t="s">
        <v>4017</v>
      </c>
      <c r="C2372" t="s">
        <v>1830</v>
      </c>
      <c r="D2372">
        <v>1.2117565893794801E-4</v>
      </c>
      <c r="E2372" t="s">
        <v>94</v>
      </c>
      <c r="N2372" t="s">
        <v>4019</v>
      </c>
    </row>
    <row r="2373" spans="2:17">
      <c r="B2373" t="s">
        <v>4017</v>
      </c>
      <c r="C2373" t="s">
        <v>1830</v>
      </c>
      <c r="D2373">
        <v>1.4801826678431399E-4</v>
      </c>
      <c r="E2373" t="s">
        <v>94</v>
      </c>
      <c r="H2373" t="s">
        <v>588</v>
      </c>
      <c r="I2373">
        <v>1.4801826678431399E-4</v>
      </c>
      <c r="J2373">
        <v>1.0247973619913604</v>
      </c>
      <c r="N2373" t="s">
        <v>4020</v>
      </c>
      <c r="O2373" t="s">
        <v>1806</v>
      </c>
      <c r="Q2373" t="s">
        <v>1728</v>
      </c>
    </row>
    <row r="2374" spans="2:17">
      <c r="B2374" t="s">
        <v>4017</v>
      </c>
      <c r="C2374" t="s">
        <v>1830</v>
      </c>
      <c r="D2374">
        <v>7.7033296559021503E-6</v>
      </c>
      <c r="E2374" t="s">
        <v>94</v>
      </c>
      <c r="N2374" t="s">
        <v>4018</v>
      </c>
    </row>
    <row r="2375" spans="2:17">
      <c r="B2375" t="s">
        <v>4017</v>
      </c>
      <c r="C2375" t="s">
        <v>1830</v>
      </c>
      <c r="D2375">
        <v>6.2501971585220497E-4</v>
      </c>
      <c r="E2375" t="s">
        <v>94</v>
      </c>
      <c r="N2375" t="s">
        <v>4021</v>
      </c>
    </row>
    <row r="2376" spans="2:17">
      <c r="B2376" t="s">
        <v>4017</v>
      </c>
      <c r="C2376" t="s">
        <v>1830</v>
      </c>
      <c r="D2376">
        <v>3.3566258374140703E-5</v>
      </c>
      <c r="E2376" t="s">
        <v>94</v>
      </c>
      <c r="N2376" t="s">
        <v>4021</v>
      </c>
    </row>
    <row r="2377" spans="2:17">
      <c r="B2377" t="s">
        <v>4017</v>
      </c>
      <c r="C2377" t="s">
        <v>1830</v>
      </c>
      <c r="D2377">
        <v>4.1025634682612003E-4</v>
      </c>
      <c r="E2377" t="s">
        <v>94</v>
      </c>
      <c r="N2377" t="s">
        <v>4018</v>
      </c>
    </row>
    <row r="2378" spans="2:17">
      <c r="B2378" t="s">
        <v>4017</v>
      </c>
      <c r="C2378" t="s">
        <v>1830</v>
      </c>
      <c r="D2378">
        <v>6.5076562761056697E-6</v>
      </c>
      <c r="E2378" t="s">
        <v>94</v>
      </c>
      <c r="N2378" t="s">
        <v>4019</v>
      </c>
    </row>
    <row r="2379" spans="2:17">
      <c r="B2379" t="s">
        <v>4022</v>
      </c>
      <c r="C2379" t="s">
        <v>1830</v>
      </c>
      <c r="D2379">
        <v>1.4801826678431399E-4</v>
      </c>
      <c r="E2379" t="s">
        <v>94</v>
      </c>
      <c r="H2379" t="s">
        <v>588</v>
      </c>
      <c r="I2379">
        <v>1.4801826678431399E-4</v>
      </c>
      <c r="J2379">
        <v>1.0247973619913604</v>
      </c>
      <c r="N2379" t="s">
        <v>4023</v>
      </c>
      <c r="O2379" t="s">
        <v>4024</v>
      </c>
      <c r="Q2379" t="s">
        <v>1728</v>
      </c>
    </row>
    <row r="2380" spans="2:17">
      <c r="B2380" t="s">
        <v>4022</v>
      </c>
      <c r="C2380" t="s">
        <v>1830</v>
      </c>
      <c r="D2380">
        <v>8.7194661849498197E-4</v>
      </c>
      <c r="E2380" t="s">
        <v>94</v>
      </c>
      <c r="N2380" t="s">
        <v>4025</v>
      </c>
    </row>
    <row r="2381" spans="2:17">
      <c r="B2381" t="s">
        <v>4022</v>
      </c>
      <c r="C2381" t="s">
        <v>1830</v>
      </c>
      <c r="D2381">
        <v>3.6153893804096799E-4</v>
      </c>
      <c r="E2381" t="s">
        <v>94</v>
      </c>
      <c r="N2381" t="s">
        <v>4025</v>
      </c>
    </row>
    <row r="2382" spans="2:17">
      <c r="B2382" t="s">
        <v>4026</v>
      </c>
      <c r="C2382" t="s">
        <v>4027</v>
      </c>
      <c r="D2382">
        <v>2.6475163217988698E-5</v>
      </c>
      <c r="E2382" t="s">
        <v>616</v>
      </c>
      <c r="H2382" t="s">
        <v>588</v>
      </c>
      <c r="I2382">
        <v>2.6475163217988698E-5</v>
      </c>
      <c r="J2382">
        <v>1.1051709180756477</v>
      </c>
      <c r="N2382" t="s">
        <v>4028</v>
      </c>
      <c r="O2382" t="s">
        <v>1675</v>
      </c>
      <c r="Q2382" t="s">
        <v>811</v>
      </c>
    </row>
    <row r="2383" spans="2:17">
      <c r="B2383" t="s">
        <v>4029</v>
      </c>
      <c r="C2383" t="s">
        <v>4027</v>
      </c>
      <c r="D2383">
        <v>2.6475163217988698E-5</v>
      </c>
      <c r="E2383" t="s">
        <v>616</v>
      </c>
      <c r="H2383" t="s">
        <v>588</v>
      </c>
      <c r="I2383">
        <v>2.6475163217988698E-5</v>
      </c>
      <c r="J2383">
        <v>1.1051709180756477</v>
      </c>
      <c r="N2383" t="s">
        <v>4030</v>
      </c>
      <c r="O2383" t="s">
        <v>1675</v>
      </c>
      <c r="Q2383" t="s">
        <v>811</v>
      </c>
    </row>
    <row r="2384" spans="2:17">
      <c r="B2384" t="s">
        <v>4031</v>
      </c>
      <c r="C2384" t="s">
        <v>857</v>
      </c>
      <c r="D2384">
        <v>6.3820251220937796E-6</v>
      </c>
      <c r="E2384" t="s">
        <v>640</v>
      </c>
      <c r="H2384" t="s">
        <v>588</v>
      </c>
      <c r="I2384">
        <v>6.3820251220937796E-6</v>
      </c>
      <c r="J2384">
        <v>2.0993333641911049</v>
      </c>
      <c r="N2384" t="s">
        <v>4032</v>
      </c>
      <c r="O2384" t="s">
        <v>1951</v>
      </c>
      <c r="Q2384" t="s">
        <v>4033</v>
      </c>
    </row>
    <row r="2385" spans="2:17">
      <c r="B2385" t="s">
        <v>4034</v>
      </c>
      <c r="C2385" t="s">
        <v>1681</v>
      </c>
      <c r="D2385">
        <v>1.07559325972433E-4</v>
      </c>
      <c r="E2385" t="s">
        <v>94</v>
      </c>
      <c r="N2385" t="s">
        <v>4035</v>
      </c>
      <c r="Q2385" t="s">
        <v>4036</v>
      </c>
    </row>
    <row r="2386" spans="2:17">
      <c r="B2386" t="s">
        <v>629</v>
      </c>
      <c r="C2386" t="s">
        <v>621</v>
      </c>
      <c r="D2386">
        <v>1.6084037220354399E-8</v>
      </c>
      <c r="E2386" t="s">
        <v>626</v>
      </c>
      <c r="H2386" t="s">
        <v>588</v>
      </c>
      <c r="I2386">
        <v>1.6084037220354399E-8</v>
      </c>
      <c r="J2386">
        <v>1.3498588075760032</v>
      </c>
      <c r="O2386" t="s">
        <v>4037</v>
      </c>
      <c r="Q2386" t="s">
        <v>3230</v>
      </c>
    </row>
    <row r="2387" spans="2:17">
      <c r="B2387" t="s">
        <v>4038</v>
      </c>
      <c r="C2387" t="s">
        <v>621</v>
      </c>
      <c r="D2387">
        <v>1.3111918928813301E-2</v>
      </c>
      <c r="E2387" t="s">
        <v>626</v>
      </c>
      <c r="H2387" t="s">
        <v>588</v>
      </c>
      <c r="I2387">
        <v>1.3111918928813301E-2</v>
      </c>
      <c r="J2387">
        <v>1.0491269218018107</v>
      </c>
      <c r="O2387" t="s">
        <v>1756</v>
      </c>
      <c r="Q2387" t="s">
        <v>3223</v>
      </c>
    </row>
    <row r="2388" spans="2:17">
      <c r="B2388" t="s">
        <v>4039</v>
      </c>
      <c r="C2388" t="s">
        <v>621</v>
      </c>
      <c r="D2388">
        <v>4.1544270830066199E-9</v>
      </c>
      <c r="E2388" t="s">
        <v>626</v>
      </c>
      <c r="H2388" t="s">
        <v>588</v>
      </c>
      <c r="I2388">
        <v>4.1544270830066199E-9</v>
      </c>
      <c r="J2388">
        <v>1.4139824580805163</v>
      </c>
      <c r="O2388" t="s">
        <v>1918</v>
      </c>
      <c r="Q2388" t="s">
        <v>4040</v>
      </c>
    </row>
    <row r="2389" spans="2:17">
      <c r="B2389" t="s">
        <v>4041</v>
      </c>
      <c r="C2389" t="s">
        <v>621</v>
      </c>
      <c r="D2389">
        <v>2.12294568337314E-5</v>
      </c>
      <c r="E2389" t="s">
        <v>626</v>
      </c>
      <c r="H2389" t="s">
        <v>588</v>
      </c>
      <c r="I2389">
        <v>2.12294568337314E-5</v>
      </c>
      <c r="J2389">
        <v>1.4139824580805163</v>
      </c>
      <c r="O2389" t="s">
        <v>3050</v>
      </c>
      <c r="Q2389" t="s">
        <v>3051</v>
      </c>
    </row>
    <row r="2390" spans="2:17">
      <c r="B2390" t="s">
        <v>633</v>
      </c>
      <c r="C2390" t="s">
        <v>621</v>
      </c>
      <c r="D2390">
        <v>6.2556220608803702E-5</v>
      </c>
      <c r="E2390" t="s">
        <v>626</v>
      </c>
      <c r="H2390" t="s">
        <v>588</v>
      </c>
      <c r="I2390">
        <v>6.2556220608803702E-5</v>
      </c>
      <c r="J2390">
        <v>1.4139824580805163</v>
      </c>
      <c r="O2390" t="s">
        <v>3274</v>
      </c>
      <c r="Q2390" t="s">
        <v>3261</v>
      </c>
    </row>
    <row r="2391" spans="2:17">
      <c r="B2391" t="s">
        <v>4042</v>
      </c>
      <c r="C2391" t="s">
        <v>621</v>
      </c>
      <c r="D2391">
        <v>1.88954439446811E-6</v>
      </c>
      <c r="E2391" t="s">
        <v>626</v>
      </c>
      <c r="H2391" t="s">
        <v>588</v>
      </c>
      <c r="I2391">
        <v>1.88954439446811E-6</v>
      </c>
      <c r="J2391">
        <v>1.4139824580805163</v>
      </c>
      <c r="O2391" t="s">
        <v>1713</v>
      </c>
      <c r="Q2391" t="s">
        <v>4043</v>
      </c>
    </row>
    <row r="2392" spans="2:17">
      <c r="B2392" t="s">
        <v>4044</v>
      </c>
      <c r="C2392" t="s">
        <v>621</v>
      </c>
      <c r="D2392">
        <v>3.4663201856102298E-5</v>
      </c>
      <c r="E2392" t="s">
        <v>626</v>
      </c>
      <c r="H2392" t="s">
        <v>588</v>
      </c>
      <c r="I2392">
        <v>3.4663201856102298E-5</v>
      </c>
      <c r="J2392">
        <v>1.4341253160944203</v>
      </c>
      <c r="O2392" t="s">
        <v>3226</v>
      </c>
    </row>
    <row r="2393" spans="2:17">
      <c r="B2393" t="s">
        <v>872</v>
      </c>
      <c r="C2393" t="s">
        <v>621</v>
      </c>
      <c r="D2393">
        <v>8.5519015935172195E-4</v>
      </c>
      <c r="E2393" t="s">
        <v>626</v>
      </c>
      <c r="H2393" t="s">
        <v>588</v>
      </c>
      <c r="I2393">
        <v>8.5519015935172195E-4</v>
      </c>
      <c r="J2393">
        <v>1.2214027581601699</v>
      </c>
      <c r="O2393" t="s">
        <v>4045</v>
      </c>
      <c r="Q2393" t="s">
        <v>4046</v>
      </c>
    </row>
    <row r="2394" spans="2:17">
      <c r="B2394" t="s">
        <v>4047</v>
      </c>
      <c r="C2394" t="s">
        <v>621</v>
      </c>
      <c r="D2394">
        <v>3.2946590803989099E-3</v>
      </c>
      <c r="E2394" t="s">
        <v>626</v>
      </c>
      <c r="Q2394" t="s">
        <v>4048</v>
      </c>
    </row>
    <row r="2395" spans="2:17">
      <c r="B2395" t="s">
        <v>4049</v>
      </c>
      <c r="C2395" t="s">
        <v>621</v>
      </c>
      <c r="D2395">
        <v>4.8733358000303197E-8</v>
      </c>
      <c r="E2395" t="s">
        <v>626</v>
      </c>
      <c r="H2395" t="s">
        <v>588</v>
      </c>
      <c r="I2395">
        <v>4.8733358000303197E-8</v>
      </c>
      <c r="J2395">
        <v>1.4537780777466462</v>
      </c>
      <c r="O2395" t="s">
        <v>2267</v>
      </c>
      <c r="Q2395" t="s">
        <v>3230</v>
      </c>
    </row>
    <row r="2396" spans="2:17">
      <c r="B2396" t="s">
        <v>4050</v>
      </c>
      <c r="C2396" t="s">
        <v>621</v>
      </c>
      <c r="D2396">
        <v>2.9392564806022899E-7</v>
      </c>
      <c r="E2396" t="s">
        <v>626</v>
      </c>
      <c r="H2396" t="s">
        <v>588</v>
      </c>
      <c r="I2396">
        <v>2.9392564806022899E-7</v>
      </c>
      <c r="J2396">
        <v>1.4537780777466462</v>
      </c>
      <c r="O2396" t="s">
        <v>2267</v>
      </c>
      <c r="Q2396" t="s">
        <v>3230</v>
      </c>
    </row>
    <row r="2397" spans="2:17">
      <c r="B2397" t="s">
        <v>874</v>
      </c>
      <c r="C2397" t="s">
        <v>621</v>
      </c>
      <c r="D2397">
        <v>2.52230387207672E-4</v>
      </c>
      <c r="E2397" t="s">
        <v>626</v>
      </c>
      <c r="H2397" t="s">
        <v>588</v>
      </c>
      <c r="I2397">
        <v>2.52230387207672E-4</v>
      </c>
      <c r="J2397">
        <v>1.4537780777466462</v>
      </c>
      <c r="O2397" t="s">
        <v>1770</v>
      </c>
      <c r="Q2397" t="s">
        <v>1949</v>
      </c>
    </row>
    <row r="2398" spans="2:17">
      <c r="B2398" t="s">
        <v>4051</v>
      </c>
      <c r="C2398" t="s">
        <v>621</v>
      </c>
      <c r="D2398">
        <v>7.1358742750941796E-6</v>
      </c>
      <c r="E2398" t="s">
        <v>626</v>
      </c>
      <c r="H2398" t="s">
        <v>588</v>
      </c>
      <c r="I2398">
        <v>7.1358742750941796E-6</v>
      </c>
      <c r="J2398">
        <v>1.4139824580805163</v>
      </c>
      <c r="O2398" t="s">
        <v>1713</v>
      </c>
      <c r="Q2398" t="s">
        <v>4052</v>
      </c>
    </row>
    <row r="2399" spans="2:17">
      <c r="B2399" t="s">
        <v>4053</v>
      </c>
      <c r="C2399" t="s">
        <v>621</v>
      </c>
      <c r="D2399">
        <v>1.11282261028708E-6</v>
      </c>
      <c r="E2399" t="s">
        <v>626</v>
      </c>
      <c r="H2399" t="s">
        <v>588</v>
      </c>
      <c r="I2399">
        <v>1.11282261028708E-6</v>
      </c>
      <c r="J2399">
        <v>1.4139824580805163</v>
      </c>
      <c r="O2399" t="s">
        <v>1713</v>
      </c>
      <c r="Q2399" t="s">
        <v>4054</v>
      </c>
    </row>
    <row r="2400" spans="2:17">
      <c r="B2400" t="s">
        <v>4055</v>
      </c>
      <c r="C2400" t="s">
        <v>621</v>
      </c>
      <c r="D2400">
        <v>1.3111918928813301E-2</v>
      </c>
      <c r="E2400" t="s">
        <v>626</v>
      </c>
      <c r="H2400" t="s">
        <v>588</v>
      </c>
      <c r="I2400">
        <v>1.3111918928813301E-2</v>
      </c>
      <c r="J2400">
        <v>1.0491269218018107</v>
      </c>
      <c r="O2400" t="s">
        <v>1756</v>
      </c>
      <c r="Q2400" t="s">
        <v>3223</v>
      </c>
    </row>
    <row r="2401" spans="2:17">
      <c r="B2401" t="s">
        <v>4056</v>
      </c>
      <c r="C2401" t="s">
        <v>621</v>
      </c>
      <c r="D2401">
        <v>2.1145337563555299E-5</v>
      </c>
      <c r="E2401" t="s">
        <v>626</v>
      </c>
      <c r="H2401" t="s">
        <v>588</v>
      </c>
      <c r="I2401">
        <v>2.1145337563555299E-5</v>
      </c>
      <c r="J2401">
        <v>1.4139824580805163</v>
      </c>
      <c r="O2401" t="s">
        <v>3050</v>
      </c>
      <c r="Q2401" t="s">
        <v>3051</v>
      </c>
    </row>
    <row r="2402" spans="2:17">
      <c r="B2402" t="s">
        <v>4057</v>
      </c>
      <c r="C2402" t="s">
        <v>621</v>
      </c>
      <c r="D2402">
        <v>1.8075660252850401E-5</v>
      </c>
      <c r="E2402" t="s">
        <v>626</v>
      </c>
      <c r="H2402" t="s">
        <v>588</v>
      </c>
      <c r="I2402">
        <v>1.8075660252850401E-5</v>
      </c>
      <c r="J2402">
        <v>1.4537780777466462</v>
      </c>
      <c r="O2402" t="s">
        <v>2267</v>
      </c>
      <c r="Q2402" t="s">
        <v>4058</v>
      </c>
    </row>
    <row r="2403" spans="2:17">
      <c r="B2403" t="s">
        <v>875</v>
      </c>
      <c r="C2403" t="s">
        <v>621</v>
      </c>
      <c r="D2403">
        <v>1.03448599593096E-3</v>
      </c>
      <c r="E2403" t="s">
        <v>626</v>
      </c>
      <c r="H2403" t="s">
        <v>588</v>
      </c>
      <c r="I2403">
        <v>1.03448599593096E-3</v>
      </c>
      <c r="J2403">
        <v>1.4537780777466462</v>
      </c>
      <c r="O2403" t="s">
        <v>1770</v>
      </c>
      <c r="Q2403" t="s">
        <v>1949</v>
      </c>
    </row>
    <row r="2404" spans="2:17">
      <c r="B2404" t="s">
        <v>1487</v>
      </c>
      <c r="C2404" t="s">
        <v>621</v>
      </c>
      <c r="D2404">
        <v>2.5802781132067298E-12</v>
      </c>
      <c r="E2404" t="s">
        <v>626</v>
      </c>
      <c r="H2404" t="s">
        <v>588</v>
      </c>
      <c r="I2404">
        <v>2.5802781132067298E-12</v>
      </c>
      <c r="J2404">
        <v>1</v>
      </c>
      <c r="O2404" t="s">
        <v>1157</v>
      </c>
      <c r="Q2404" t="s">
        <v>1323</v>
      </c>
    </row>
    <row r="2405" spans="2:17">
      <c r="B2405" t="s">
        <v>4059</v>
      </c>
      <c r="C2405" t="s">
        <v>621</v>
      </c>
      <c r="D2405">
        <v>8.0066128047838299E-6</v>
      </c>
      <c r="E2405" t="s">
        <v>626</v>
      </c>
      <c r="H2405" t="s">
        <v>588</v>
      </c>
      <c r="I2405">
        <v>8.0066128047838299E-6</v>
      </c>
      <c r="J2405">
        <v>1.4341253160944203</v>
      </c>
      <c r="O2405" t="s">
        <v>855</v>
      </c>
    </row>
    <row r="2406" spans="2:17">
      <c r="B2406" t="s">
        <v>636</v>
      </c>
      <c r="C2406" t="s">
        <v>621</v>
      </c>
      <c r="D2406">
        <v>8.2528638652544606E-5</v>
      </c>
      <c r="E2406" t="s">
        <v>626</v>
      </c>
      <c r="H2406" t="s">
        <v>588</v>
      </c>
      <c r="I2406">
        <v>8.2528638652544606E-5</v>
      </c>
      <c r="J2406">
        <v>1.4139824580805163</v>
      </c>
      <c r="O2406" t="s">
        <v>3274</v>
      </c>
      <c r="Q2406" t="s">
        <v>3261</v>
      </c>
    </row>
    <row r="2407" spans="2:17">
      <c r="B2407" t="s">
        <v>4060</v>
      </c>
      <c r="C2407" t="s">
        <v>621</v>
      </c>
      <c r="D2407">
        <v>3.2946590803989099E-3</v>
      </c>
      <c r="E2407" t="s">
        <v>626</v>
      </c>
      <c r="Q2407" t="s">
        <v>4048</v>
      </c>
    </row>
    <row r="2408" spans="2:17">
      <c r="B2408" t="s">
        <v>4061</v>
      </c>
      <c r="C2408" t="s">
        <v>621</v>
      </c>
      <c r="D2408">
        <v>2.9392564806022899E-7</v>
      </c>
      <c r="E2408" t="s">
        <v>626</v>
      </c>
      <c r="H2408" t="s">
        <v>588</v>
      </c>
      <c r="I2408">
        <v>2.9392564806022899E-7</v>
      </c>
      <c r="J2408">
        <v>1.4537780777466462</v>
      </c>
      <c r="O2408" t="s">
        <v>2267</v>
      </c>
      <c r="Q2408" t="s">
        <v>3230</v>
      </c>
    </row>
    <row r="2409" spans="2:17">
      <c r="B2409" t="s">
        <v>4062</v>
      </c>
      <c r="C2409" t="s">
        <v>621</v>
      </c>
      <c r="D2409">
        <v>4.8733358000303197E-8</v>
      </c>
      <c r="E2409" t="s">
        <v>626</v>
      </c>
      <c r="H2409" t="s">
        <v>588</v>
      </c>
      <c r="I2409">
        <v>4.8733358000303197E-8</v>
      </c>
      <c r="J2409">
        <v>1.4537780777466462</v>
      </c>
      <c r="O2409" t="s">
        <v>2267</v>
      </c>
      <c r="Q2409" t="s">
        <v>3230</v>
      </c>
    </row>
    <row r="2410" spans="2:17">
      <c r="B2410" t="s">
        <v>877</v>
      </c>
      <c r="C2410" t="s">
        <v>621</v>
      </c>
      <c r="D2410">
        <v>6.1676500017624294E-5</v>
      </c>
      <c r="E2410" t="s">
        <v>626</v>
      </c>
      <c r="H2410" t="s">
        <v>588</v>
      </c>
      <c r="I2410">
        <v>6.1676500017624294E-5</v>
      </c>
      <c r="J2410">
        <v>1.4341253160944203</v>
      </c>
      <c r="O2410" t="s">
        <v>3226</v>
      </c>
    </row>
    <row r="2411" spans="2:17">
      <c r="B2411" t="s">
        <v>4063</v>
      </c>
      <c r="C2411" t="s">
        <v>621</v>
      </c>
      <c r="D2411">
        <v>1.0138241279849401E-5</v>
      </c>
      <c r="E2411" t="s">
        <v>626</v>
      </c>
      <c r="H2411" t="s">
        <v>588</v>
      </c>
      <c r="I2411">
        <v>1.0138241279849401E-5</v>
      </c>
      <c r="J2411">
        <v>1.4139824580805163</v>
      </c>
      <c r="O2411" t="s">
        <v>1713</v>
      </c>
      <c r="Q2411" t="s">
        <v>4054</v>
      </c>
    </row>
    <row r="2412" spans="2:17">
      <c r="B2412" t="s">
        <v>1488</v>
      </c>
      <c r="C2412" t="s">
        <v>1489</v>
      </c>
      <c r="D2412">
        <v>7.7715767296128904E-7</v>
      </c>
      <c r="E2412" t="s">
        <v>94</v>
      </c>
      <c r="H2412" t="s">
        <v>588</v>
      </c>
      <c r="I2412">
        <v>7.7715767296128904E-7</v>
      </c>
      <c r="J2412">
        <v>1.0321280889960358</v>
      </c>
      <c r="N2412" t="s">
        <v>1490</v>
      </c>
      <c r="O2412" t="s">
        <v>2050</v>
      </c>
      <c r="Q2412" t="s">
        <v>4064</v>
      </c>
    </row>
    <row r="2413" spans="2:17">
      <c r="B2413" t="s">
        <v>1495</v>
      </c>
      <c r="C2413" t="s">
        <v>1170</v>
      </c>
      <c r="D2413">
        <v>3.0044266617397002E-7</v>
      </c>
      <c r="E2413" t="s">
        <v>94</v>
      </c>
      <c r="H2413" t="s">
        <v>588</v>
      </c>
      <c r="I2413">
        <v>3.0044266617397002E-7</v>
      </c>
      <c r="J2413">
        <v>1.0247973619913604</v>
      </c>
      <c r="N2413" t="s">
        <v>1496</v>
      </c>
      <c r="O2413" t="s">
        <v>2017</v>
      </c>
      <c r="Q2413" t="s">
        <v>2018</v>
      </c>
    </row>
    <row r="2414" spans="2:17">
      <c r="B2414" t="s">
        <v>1113</v>
      </c>
      <c r="C2414" t="s">
        <v>1114</v>
      </c>
      <c r="D2414">
        <v>5.0929423327944999E-3</v>
      </c>
      <c r="E2414" t="s">
        <v>1115</v>
      </c>
      <c r="H2414" t="s">
        <v>588</v>
      </c>
      <c r="I2414">
        <v>5.0929423327944999E-3</v>
      </c>
      <c r="J2414">
        <v>1.4139824580805163</v>
      </c>
      <c r="N2414" t="s">
        <v>4065</v>
      </c>
      <c r="O2414" t="s">
        <v>4066</v>
      </c>
      <c r="Q2414" t="s">
        <v>4067</v>
      </c>
    </row>
    <row r="2415" spans="2:17">
      <c r="B2415" t="s">
        <v>1113</v>
      </c>
      <c r="C2415" t="s">
        <v>1114</v>
      </c>
      <c r="D2415">
        <v>6.83800484196862E-6</v>
      </c>
      <c r="E2415" t="s">
        <v>1115</v>
      </c>
      <c r="H2415" t="s">
        <v>588</v>
      </c>
      <c r="I2415">
        <v>6.83800484196862E-6</v>
      </c>
      <c r="J2415">
        <v>1.4139824580805163</v>
      </c>
      <c r="N2415" t="s">
        <v>4065</v>
      </c>
      <c r="O2415" t="s">
        <v>1117</v>
      </c>
      <c r="Q2415" t="s">
        <v>1118</v>
      </c>
    </row>
    <row r="2416" spans="2:17">
      <c r="B2416" t="s">
        <v>1113</v>
      </c>
      <c r="C2416" t="s">
        <v>1114</v>
      </c>
      <c r="D2416">
        <v>3.151786871836E-4</v>
      </c>
      <c r="E2416" t="s">
        <v>1115</v>
      </c>
      <c r="H2416" t="s">
        <v>588</v>
      </c>
      <c r="I2416">
        <v>3.151786871836E-4</v>
      </c>
      <c r="J2416">
        <v>1.4139824580805163</v>
      </c>
      <c r="N2416" t="s">
        <v>4065</v>
      </c>
      <c r="O2416" t="s">
        <v>1752</v>
      </c>
      <c r="Q2416" t="s">
        <v>4068</v>
      </c>
    </row>
    <row r="2417" spans="2:17">
      <c r="B2417" t="s">
        <v>1113</v>
      </c>
      <c r="C2417" t="s">
        <v>1114</v>
      </c>
      <c r="D2417">
        <v>2.5789566860337202E-3</v>
      </c>
      <c r="E2417" t="s">
        <v>1115</v>
      </c>
      <c r="H2417" t="s">
        <v>588</v>
      </c>
      <c r="I2417">
        <v>2.5789566860337202E-3</v>
      </c>
      <c r="J2417">
        <v>1</v>
      </c>
      <c r="N2417" t="s">
        <v>4065</v>
      </c>
      <c r="O2417" t="s">
        <v>589</v>
      </c>
      <c r="Q2417" t="s">
        <v>4069</v>
      </c>
    </row>
    <row r="2418" spans="2:17">
      <c r="B2418" t="s">
        <v>1113</v>
      </c>
      <c r="C2418" t="s">
        <v>1114</v>
      </c>
      <c r="D2418">
        <v>2.8621940331591202E-4</v>
      </c>
      <c r="E2418" t="s">
        <v>1115</v>
      </c>
      <c r="N2418" t="s">
        <v>4065</v>
      </c>
      <c r="Q2418" t="s">
        <v>4070</v>
      </c>
    </row>
    <row r="2419" spans="2:17">
      <c r="B2419" t="s">
        <v>1113</v>
      </c>
      <c r="C2419" t="s">
        <v>1114</v>
      </c>
      <c r="D2419">
        <v>7.25816753371112E-5</v>
      </c>
      <c r="E2419" t="s">
        <v>1115</v>
      </c>
      <c r="H2419" t="s">
        <v>588</v>
      </c>
      <c r="I2419">
        <v>7.25816753371112E-5</v>
      </c>
      <c r="J2419">
        <v>1.4139824580805163</v>
      </c>
      <c r="N2419" t="s">
        <v>4065</v>
      </c>
      <c r="O2419" t="s">
        <v>1117</v>
      </c>
      <c r="Q2419" t="s">
        <v>1118</v>
      </c>
    </row>
    <row r="2420" spans="2:17">
      <c r="B2420" t="s">
        <v>1113</v>
      </c>
      <c r="C2420" t="s">
        <v>1114</v>
      </c>
      <c r="D2420">
        <v>2.66785261326743E-3</v>
      </c>
      <c r="E2420" t="s">
        <v>1115</v>
      </c>
      <c r="H2420" t="s">
        <v>588</v>
      </c>
      <c r="I2420">
        <v>2.66785261326743E-3</v>
      </c>
      <c r="J2420">
        <v>1.0805386501323246</v>
      </c>
      <c r="N2420" t="s">
        <v>1116</v>
      </c>
      <c r="O2420" t="s">
        <v>2004</v>
      </c>
      <c r="Q2420" t="s">
        <v>2005</v>
      </c>
    </row>
    <row r="2421" spans="2:17">
      <c r="B2421" t="s">
        <v>1113</v>
      </c>
      <c r="C2421" t="s">
        <v>1114</v>
      </c>
      <c r="D2421">
        <v>6.0407158001535596E-6</v>
      </c>
      <c r="E2421" t="s">
        <v>1115</v>
      </c>
      <c r="H2421" t="s">
        <v>588</v>
      </c>
      <c r="I2421">
        <v>6.0407158001535596E-6</v>
      </c>
      <c r="J2421">
        <v>1.4139824580805163</v>
      </c>
      <c r="N2421" t="s">
        <v>4071</v>
      </c>
      <c r="O2421" t="s">
        <v>641</v>
      </c>
      <c r="Q2421" t="s">
        <v>4072</v>
      </c>
    </row>
    <row r="2422" spans="2:17">
      <c r="B2422" t="s">
        <v>1113</v>
      </c>
      <c r="C2422" t="s">
        <v>1114</v>
      </c>
      <c r="D2422">
        <v>1.2539209464048E-3</v>
      </c>
      <c r="E2422" t="s">
        <v>1115</v>
      </c>
      <c r="H2422" t="s">
        <v>588</v>
      </c>
      <c r="I2422">
        <v>1.2539209464048E-3</v>
      </c>
      <c r="J2422">
        <v>1.4139824580805163</v>
      </c>
      <c r="N2422" t="s">
        <v>4065</v>
      </c>
      <c r="O2422" t="s">
        <v>1765</v>
      </c>
      <c r="Q2422" t="s">
        <v>4073</v>
      </c>
    </row>
    <row r="2423" spans="2:17">
      <c r="B2423" t="s">
        <v>4074</v>
      </c>
      <c r="C2423" t="s">
        <v>4075</v>
      </c>
      <c r="D2423">
        <v>1.4603849880725201E-4</v>
      </c>
      <c r="E2423" t="s">
        <v>1115</v>
      </c>
      <c r="H2423" t="s">
        <v>588</v>
      </c>
      <c r="I2423">
        <v>1.4603849880725201E-4</v>
      </c>
      <c r="J2423">
        <v>1.4139824580805163</v>
      </c>
      <c r="N2423" t="s">
        <v>4076</v>
      </c>
      <c r="O2423" t="s">
        <v>4077</v>
      </c>
      <c r="Q2423" t="s">
        <v>4078</v>
      </c>
    </row>
    <row r="2424" spans="2:17">
      <c r="B2424" t="s">
        <v>1119</v>
      </c>
      <c r="C2424" t="s">
        <v>1120</v>
      </c>
      <c r="D2424">
        <v>1.75502833486746E-4</v>
      </c>
      <c r="E2424" t="s">
        <v>1115</v>
      </c>
      <c r="H2424" t="s">
        <v>588</v>
      </c>
      <c r="I2424">
        <v>1.75502833486746E-4</v>
      </c>
      <c r="J2424">
        <v>1.0247973619913604</v>
      </c>
      <c r="N2424" t="s">
        <v>4079</v>
      </c>
      <c r="O2424" t="s">
        <v>2004</v>
      </c>
      <c r="Q2424" t="s">
        <v>2005</v>
      </c>
    </row>
    <row r="2425" spans="2:17">
      <c r="B2425" t="s">
        <v>1119</v>
      </c>
      <c r="C2425" t="s">
        <v>1120</v>
      </c>
      <c r="D2425">
        <v>1.69771225840069E-5</v>
      </c>
      <c r="E2425" t="s">
        <v>1115</v>
      </c>
      <c r="H2425" t="s">
        <v>588</v>
      </c>
      <c r="I2425">
        <v>1.69771225840069E-5</v>
      </c>
      <c r="J2425">
        <v>1.4139824580805163</v>
      </c>
      <c r="N2425" t="s">
        <v>4080</v>
      </c>
      <c r="O2425" t="s">
        <v>1765</v>
      </c>
      <c r="Q2425" t="s">
        <v>4073</v>
      </c>
    </row>
    <row r="2426" spans="2:17">
      <c r="B2426" t="s">
        <v>1119</v>
      </c>
      <c r="C2426" t="s">
        <v>1120</v>
      </c>
      <c r="D2426">
        <v>4.2344408389870101E-4</v>
      </c>
      <c r="E2426" t="s">
        <v>1115</v>
      </c>
      <c r="H2426" t="s">
        <v>588</v>
      </c>
      <c r="I2426">
        <v>4.2344408389870101E-4</v>
      </c>
      <c r="J2426">
        <v>1.4139824580805163</v>
      </c>
      <c r="N2426" t="s">
        <v>4079</v>
      </c>
      <c r="O2426" t="s">
        <v>641</v>
      </c>
      <c r="Q2426" t="s">
        <v>4072</v>
      </c>
    </row>
    <row r="2427" spans="2:17">
      <c r="B2427" t="s">
        <v>4081</v>
      </c>
      <c r="C2427" t="s">
        <v>1120</v>
      </c>
      <c r="D2427">
        <v>4.99422261346728E-3</v>
      </c>
      <c r="E2427" t="s">
        <v>1115</v>
      </c>
      <c r="H2427" t="s">
        <v>588</v>
      </c>
      <c r="I2427">
        <v>4.99422261346728E-3</v>
      </c>
      <c r="J2427">
        <v>1.4139824580805163</v>
      </c>
      <c r="N2427" t="s">
        <v>4082</v>
      </c>
      <c r="O2427" t="s">
        <v>1765</v>
      </c>
      <c r="Q2427" t="s">
        <v>4067</v>
      </c>
    </row>
    <row r="2428" spans="2:17">
      <c r="B2428" t="s">
        <v>4081</v>
      </c>
      <c r="C2428" t="s">
        <v>1120</v>
      </c>
      <c r="D2428">
        <v>3.0017648413105598E-5</v>
      </c>
      <c r="E2428" t="s">
        <v>1115</v>
      </c>
      <c r="H2428" t="s">
        <v>588</v>
      </c>
      <c r="I2428">
        <v>3.0017648413105598E-5</v>
      </c>
      <c r="J2428">
        <v>1.4139824580805163</v>
      </c>
      <c r="N2428" t="s">
        <v>4082</v>
      </c>
      <c r="O2428" t="s">
        <v>1117</v>
      </c>
      <c r="Q2428" t="s">
        <v>1118</v>
      </c>
    </row>
    <row r="2429" spans="2:17">
      <c r="B2429" t="s">
        <v>4083</v>
      </c>
      <c r="C2429" t="s">
        <v>1120</v>
      </c>
      <c r="D2429">
        <v>5.7914054433852898E-3</v>
      </c>
      <c r="E2429" t="s">
        <v>1115</v>
      </c>
      <c r="N2429" t="s">
        <v>4084</v>
      </c>
      <c r="Q2429" t="s">
        <v>1118</v>
      </c>
    </row>
    <row r="2430" spans="2:17">
      <c r="B2430" t="s">
        <v>4085</v>
      </c>
      <c r="C2430" t="s">
        <v>1123</v>
      </c>
      <c r="D2430">
        <v>1.9760221039028601E-4</v>
      </c>
      <c r="E2430" t="s">
        <v>1115</v>
      </c>
      <c r="H2430" t="s">
        <v>588</v>
      </c>
      <c r="I2430">
        <v>1.9760221039028601E-4</v>
      </c>
      <c r="J2430">
        <v>1.0247973619913604</v>
      </c>
      <c r="N2430" t="s">
        <v>4086</v>
      </c>
      <c r="O2430" t="s">
        <v>1779</v>
      </c>
      <c r="Q2430" t="s">
        <v>4087</v>
      </c>
    </row>
    <row r="2431" spans="2:17">
      <c r="B2431" t="s">
        <v>4085</v>
      </c>
      <c r="C2431" t="s">
        <v>1123</v>
      </c>
      <c r="D2431">
        <v>4.5433476347862898E-5</v>
      </c>
      <c r="E2431" t="s">
        <v>1115</v>
      </c>
      <c r="H2431" t="s">
        <v>588</v>
      </c>
      <c r="I2431">
        <v>4.5433476347862898E-5</v>
      </c>
      <c r="J2431">
        <v>1.0247973619913604</v>
      </c>
      <c r="N2431" t="s">
        <v>4086</v>
      </c>
      <c r="O2431" t="s">
        <v>1779</v>
      </c>
      <c r="Q2431" t="s">
        <v>4088</v>
      </c>
    </row>
    <row r="2432" spans="2:17">
      <c r="B2432" t="s">
        <v>4085</v>
      </c>
      <c r="C2432" t="s">
        <v>1123</v>
      </c>
      <c r="D2432">
        <v>8.3385392256002594E-6</v>
      </c>
      <c r="E2432" t="s">
        <v>1115</v>
      </c>
      <c r="H2432" t="s">
        <v>588</v>
      </c>
      <c r="I2432">
        <v>8.3385392256002594E-6</v>
      </c>
      <c r="J2432">
        <v>1.0247973619913604</v>
      </c>
      <c r="N2432" t="s">
        <v>4086</v>
      </c>
      <c r="O2432" t="s">
        <v>1779</v>
      </c>
      <c r="Q2432" t="s">
        <v>4088</v>
      </c>
    </row>
    <row r="2433" spans="2:17">
      <c r="B2433" t="s">
        <v>4085</v>
      </c>
      <c r="C2433" t="s">
        <v>1123</v>
      </c>
      <c r="D2433">
        <v>1.5488392182543799E-6</v>
      </c>
      <c r="E2433" t="s">
        <v>1115</v>
      </c>
      <c r="H2433" t="s">
        <v>588</v>
      </c>
      <c r="I2433">
        <v>1.5488392182543799E-6</v>
      </c>
      <c r="J2433">
        <v>1.0247973619913604</v>
      </c>
      <c r="N2433" t="s">
        <v>4086</v>
      </c>
      <c r="O2433" t="s">
        <v>1779</v>
      </c>
      <c r="Q2433" t="s">
        <v>4088</v>
      </c>
    </row>
    <row r="2434" spans="2:17">
      <c r="B2434" t="s">
        <v>4085</v>
      </c>
      <c r="C2434" t="s">
        <v>1123</v>
      </c>
      <c r="D2434">
        <v>5.2710706949316304E-7</v>
      </c>
      <c r="E2434" t="s">
        <v>1115</v>
      </c>
      <c r="H2434" t="s">
        <v>588</v>
      </c>
      <c r="I2434">
        <v>5.2710706949316304E-7</v>
      </c>
      <c r="J2434">
        <v>1.4139824580805163</v>
      </c>
      <c r="N2434" t="s">
        <v>4089</v>
      </c>
      <c r="O2434" t="s">
        <v>1117</v>
      </c>
      <c r="Q2434" t="s">
        <v>1125</v>
      </c>
    </row>
    <row r="2435" spans="2:17">
      <c r="B2435" t="s">
        <v>4090</v>
      </c>
      <c r="C2435" t="s">
        <v>1123</v>
      </c>
      <c r="D2435">
        <v>1.8127729091597999E-5</v>
      </c>
      <c r="E2435" t="s">
        <v>1115</v>
      </c>
      <c r="H2435" t="s">
        <v>588</v>
      </c>
      <c r="I2435">
        <v>1.8127729091597999E-5</v>
      </c>
      <c r="J2435">
        <v>1.4139824580805163</v>
      </c>
      <c r="N2435" t="s">
        <v>4091</v>
      </c>
      <c r="O2435" t="s">
        <v>641</v>
      </c>
      <c r="Q2435" t="s">
        <v>4092</v>
      </c>
    </row>
    <row r="2436" spans="2:17">
      <c r="B2436" t="s">
        <v>4090</v>
      </c>
      <c r="C2436" t="s">
        <v>1123</v>
      </c>
      <c r="D2436">
        <v>4.6764969771514304E-6</v>
      </c>
      <c r="E2436" t="s">
        <v>1115</v>
      </c>
      <c r="H2436" t="s">
        <v>588</v>
      </c>
      <c r="I2436">
        <v>4.6764969771514304E-6</v>
      </c>
      <c r="J2436">
        <v>1.4139824580805163</v>
      </c>
      <c r="N2436" t="s">
        <v>4091</v>
      </c>
      <c r="O2436" t="s">
        <v>641</v>
      </c>
      <c r="Q2436" t="s">
        <v>4092</v>
      </c>
    </row>
    <row r="2437" spans="2:17">
      <c r="B2437" t="s">
        <v>4090</v>
      </c>
      <c r="C2437" t="s">
        <v>1123</v>
      </c>
      <c r="D2437">
        <v>3.96242798635514E-4</v>
      </c>
      <c r="E2437" t="s">
        <v>1115</v>
      </c>
      <c r="H2437" t="s">
        <v>588</v>
      </c>
      <c r="I2437">
        <v>3.96242798635514E-4</v>
      </c>
      <c r="J2437">
        <v>1.4139824580805163</v>
      </c>
      <c r="N2437" t="s">
        <v>4091</v>
      </c>
      <c r="O2437" t="s">
        <v>641</v>
      </c>
      <c r="Q2437" t="s">
        <v>4092</v>
      </c>
    </row>
    <row r="2438" spans="2:17">
      <c r="B2438" t="s">
        <v>4093</v>
      </c>
      <c r="C2438" t="s">
        <v>1123</v>
      </c>
      <c r="D2438">
        <v>2.5171582161589599E-7</v>
      </c>
      <c r="E2438" t="s">
        <v>1115</v>
      </c>
      <c r="H2438" t="s">
        <v>588</v>
      </c>
      <c r="I2438">
        <v>2.5171582161589599E-7</v>
      </c>
      <c r="J2438">
        <v>1.4139824580805163</v>
      </c>
      <c r="N2438" t="s">
        <v>4094</v>
      </c>
      <c r="O2438" t="s">
        <v>641</v>
      </c>
      <c r="Q2438" t="s">
        <v>4072</v>
      </c>
    </row>
    <row r="2439" spans="2:17">
      <c r="B2439" t="s">
        <v>4095</v>
      </c>
      <c r="C2439" t="s">
        <v>1123</v>
      </c>
      <c r="D2439">
        <v>6.6547775163753198E-4</v>
      </c>
      <c r="E2439" t="s">
        <v>1115</v>
      </c>
      <c r="H2439" t="s">
        <v>588</v>
      </c>
      <c r="I2439">
        <v>6.6547775163753198E-4</v>
      </c>
      <c r="J2439">
        <v>1.4139824580805163</v>
      </c>
      <c r="N2439" t="s">
        <v>4096</v>
      </c>
      <c r="O2439" t="s">
        <v>1765</v>
      </c>
      <c r="Q2439" t="s">
        <v>4073</v>
      </c>
    </row>
    <row r="2440" spans="2:17">
      <c r="B2440" t="s">
        <v>4095</v>
      </c>
      <c r="C2440" t="s">
        <v>1123</v>
      </c>
      <c r="D2440">
        <v>2.3962780586953601E-5</v>
      </c>
      <c r="E2440" t="s">
        <v>1115</v>
      </c>
      <c r="H2440" t="s">
        <v>588</v>
      </c>
      <c r="I2440">
        <v>2.3962780586953601E-5</v>
      </c>
      <c r="J2440">
        <v>1.4139824580805163</v>
      </c>
      <c r="N2440" t="s">
        <v>4097</v>
      </c>
      <c r="O2440" t="s">
        <v>1752</v>
      </c>
      <c r="Q2440" t="s">
        <v>4068</v>
      </c>
    </row>
    <row r="2441" spans="2:17">
      <c r="B2441" t="s">
        <v>4098</v>
      </c>
      <c r="C2441" t="s">
        <v>1123</v>
      </c>
      <c r="D2441">
        <v>3.46001013572392E-10</v>
      </c>
      <c r="E2441" t="s">
        <v>1115</v>
      </c>
      <c r="H2441" t="s">
        <v>588</v>
      </c>
      <c r="I2441">
        <v>3.46001013572392E-10</v>
      </c>
      <c r="J2441">
        <v>1.4139824580805163</v>
      </c>
      <c r="N2441" t="s">
        <v>4099</v>
      </c>
      <c r="O2441" t="s">
        <v>641</v>
      </c>
      <c r="Q2441" t="s">
        <v>4072</v>
      </c>
    </row>
    <row r="2442" spans="2:17">
      <c r="B2442" t="s">
        <v>4100</v>
      </c>
      <c r="C2442" t="s">
        <v>1123</v>
      </c>
      <c r="D2442">
        <v>2.22874502051026E-6</v>
      </c>
      <c r="E2442" t="s">
        <v>1115</v>
      </c>
      <c r="H2442" t="s">
        <v>588</v>
      </c>
      <c r="I2442">
        <v>2.22874502051026E-6</v>
      </c>
      <c r="J2442">
        <v>1.4139824580805163</v>
      </c>
      <c r="N2442" t="s">
        <v>4101</v>
      </c>
      <c r="O2442" t="s">
        <v>641</v>
      </c>
      <c r="Q2442" t="s">
        <v>4072</v>
      </c>
    </row>
    <row r="2443" spans="2:17">
      <c r="B2443" t="s">
        <v>4102</v>
      </c>
      <c r="C2443" t="s">
        <v>1123</v>
      </c>
      <c r="D2443">
        <v>2.0674196795314398E-3</v>
      </c>
      <c r="E2443" t="s">
        <v>1115</v>
      </c>
      <c r="H2443" t="s">
        <v>588</v>
      </c>
      <c r="I2443">
        <v>2.0674196795314398E-3</v>
      </c>
      <c r="J2443">
        <v>1.0805386501323246</v>
      </c>
      <c r="N2443" t="s">
        <v>4103</v>
      </c>
      <c r="O2443" t="s">
        <v>2004</v>
      </c>
      <c r="Q2443" t="s">
        <v>2005</v>
      </c>
    </row>
    <row r="2444" spans="2:17">
      <c r="B2444" t="s">
        <v>4102</v>
      </c>
      <c r="C2444" t="s">
        <v>1123</v>
      </c>
      <c r="D2444">
        <v>1.0049615652438901E-3</v>
      </c>
      <c r="E2444" t="s">
        <v>1115</v>
      </c>
      <c r="H2444" t="s">
        <v>588</v>
      </c>
      <c r="I2444">
        <v>1.0049615652438901E-3</v>
      </c>
      <c r="J2444">
        <v>1.0805386501323246</v>
      </c>
      <c r="N2444" t="s">
        <v>4103</v>
      </c>
      <c r="O2444" t="s">
        <v>2004</v>
      </c>
      <c r="Q2444" t="s">
        <v>2005</v>
      </c>
    </row>
    <row r="2445" spans="2:17">
      <c r="B2445" t="s">
        <v>4102</v>
      </c>
      <c r="C2445" t="s">
        <v>1123</v>
      </c>
      <c r="D2445">
        <v>6.2714612933404302E-4</v>
      </c>
      <c r="E2445" t="s">
        <v>1115</v>
      </c>
      <c r="H2445" t="s">
        <v>588</v>
      </c>
      <c r="I2445">
        <v>6.2714612933404302E-4</v>
      </c>
      <c r="J2445">
        <v>1.0247973619913604</v>
      </c>
      <c r="N2445" t="s">
        <v>4103</v>
      </c>
      <c r="O2445" t="s">
        <v>2414</v>
      </c>
      <c r="Q2445" t="s">
        <v>2005</v>
      </c>
    </row>
    <row r="2446" spans="2:17">
      <c r="B2446" t="s">
        <v>4104</v>
      </c>
      <c r="C2446" t="s">
        <v>1123</v>
      </c>
      <c r="D2446">
        <v>3.19509642612947E-2</v>
      </c>
      <c r="E2446" t="s">
        <v>1115</v>
      </c>
      <c r="N2446" t="s">
        <v>4105</v>
      </c>
      <c r="Q2446" t="s">
        <v>4106</v>
      </c>
    </row>
    <row r="2447" spans="2:17">
      <c r="B2447" t="s">
        <v>4107</v>
      </c>
      <c r="C2447" t="s">
        <v>1123</v>
      </c>
      <c r="D2447">
        <v>3.5501071401438599E-3</v>
      </c>
      <c r="E2447" t="s">
        <v>1115</v>
      </c>
      <c r="N2447" t="s">
        <v>4108</v>
      </c>
      <c r="Q2447" t="s">
        <v>4106</v>
      </c>
    </row>
    <row r="2448" spans="2:17">
      <c r="B2448" t="s">
        <v>1122</v>
      </c>
      <c r="C2448" t="s">
        <v>1123</v>
      </c>
      <c r="D2448">
        <v>5.0259664713909503E-3</v>
      </c>
      <c r="E2448" t="s">
        <v>1115</v>
      </c>
      <c r="H2448" t="s">
        <v>588</v>
      </c>
      <c r="I2448">
        <v>5.0259664713909503E-3</v>
      </c>
      <c r="J2448">
        <v>1.1522476368638048</v>
      </c>
      <c r="N2448" t="s">
        <v>4109</v>
      </c>
      <c r="O2448" t="s">
        <v>1157</v>
      </c>
      <c r="Q2448" t="s">
        <v>4110</v>
      </c>
    </row>
    <row r="2449" spans="2:17">
      <c r="B2449" t="s">
        <v>1122</v>
      </c>
      <c r="C2449" t="s">
        <v>1123</v>
      </c>
      <c r="D2449">
        <v>2.6119344617053799E-3</v>
      </c>
      <c r="E2449" t="s">
        <v>1115</v>
      </c>
      <c r="H2449" t="s">
        <v>588</v>
      </c>
      <c r="I2449">
        <v>2.6119344617053799E-3</v>
      </c>
      <c r="J2449">
        <v>1</v>
      </c>
      <c r="N2449" t="s">
        <v>4109</v>
      </c>
      <c r="O2449" t="s">
        <v>589</v>
      </c>
      <c r="Q2449" t="s">
        <v>4069</v>
      </c>
    </row>
    <row r="2450" spans="2:17">
      <c r="B2450" t="s">
        <v>1122</v>
      </c>
      <c r="C2450" t="s">
        <v>1123</v>
      </c>
      <c r="D2450">
        <v>2.5133136563975202E-3</v>
      </c>
      <c r="E2450" t="s">
        <v>1115</v>
      </c>
      <c r="H2450" t="s">
        <v>588</v>
      </c>
      <c r="I2450">
        <v>2.5133136563975202E-3</v>
      </c>
      <c r="J2450">
        <v>1.4139824580805163</v>
      </c>
      <c r="N2450" t="s">
        <v>4109</v>
      </c>
      <c r="O2450" t="s">
        <v>1765</v>
      </c>
      <c r="Q2450" t="s">
        <v>4067</v>
      </c>
    </row>
    <row r="2451" spans="2:17">
      <c r="B2451" t="s">
        <v>1122</v>
      </c>
      <c r="C2451" t="s">
        <v>1123</v>
      </c>
      <c r="D2451">
        <v>1.7152897243272599E-3</v>
      </c>
      <c r="E2451" t="s">
        <v>1115</v>
      </c>
      <c r="H2451" t="s">
        <v>588</v>
      </c>
      <c r="I2451">
        <v>1.7152897243272599E-3</v>
      </c>
      <c r="J2451">
        <v>1.4139824580805163</v>
      </c>
      <c r="N2451" t="s">
        <v>4109</v>
      </c>
      <c r="O2451" t="s">
        <v>1779</v>
      </c>
      <c r="Q2451" t="s">
        <v>4088</v>
      </c>
    </row>
    <row r="2452" spans="2:17">
      <c r="B2452" t="s">
        <v>4111</v>
      </c>
      <c r="C2452" t="s">
        <v>1127</v>
      </c>
      <c r="D2452">
        <v>1.1288062635389699E-3</v>
      </c>
      <c r="E2452" t="s">
        <v>1115</v>
      </c>
      <c r="H2452" t="s">
        <v>588</v>
      </c>
      <c r="I2452">
        <v>1.1288062635389699E-3</v>
      </c>
      <c r="J2452">
        <v>1.4139824580805163</v>
      </c>
      <c r="N2452" t="s">
        <v>4112</v>
      </c>
      <c r="O2452" t="s">
        <v>641</v>
      </c>
      <c r="Q2452" t="s">
        <v>4092</v>
      </c>
    </row>
    <row r="2453" spans="2:17">
      <c r="B2453" t="s">
        <v>1126</v>
      </c>
      <c r="C2453" t="s">
        <v>1127</v>
      </c>
      <c r="D2453">
        <v>4.8288998935918298E-4</v>
      </c>
      <c r="E2453" t="s">
        <v>1115</v>
      </c>
      <c r="H2453" t="s">
        <v>588</v>
      </c>
      <c r="I2453">
        <v>4.8288998935918298E-4</v>
      </c>
      <c r="J2453">
        <v>1.4139824580805163</v>
      </c>
      <c r="N2453" t="s">
        <v>1128</v>
      </c>
      <c r="O2453" t="s">
        <v>641</v>
      </c>
      <c r="Q2453" t="s">
        <v>1672</v>
      </c>
    </row>
    <row r="2454" spans="2:17">
      <c r="B2454" t="s">
        <v>4113</v>
      </c>
      <c r="C2454" t="s">
        <v>1127</v>
      </c>
      <c r="D2454">
        <v>4.91715813402007E-2</v>
      </c>
      <c r="E2454" t="s">
        <v>1115</v>
      </c>
      <c r="N2454" t="s">
        <v>4114</v>
      </c>
      <c r="Q2454" t="s">
        <v>4115</v>
      </c>
    </row>
    <row r="2455" spans="2:17">
      <c r="B2455" t="s">
        <v>4116</v>
      </c>
      <c r="C2455" t="s">
        <v>1127</v>
      </c>
      <c r="D2455">
        <v>1.81318057217477E-3</v>
      </c>
      <c r="E2455" t="s">
        <v>1115</v>
      </c>
      <c r="H2455" t="s">
        <v>588</v>
      </c>
      <c r="I2455">
        <v>1.81318057217477E-3</v>
      </c>
      <c r="J2455">
        <v>1.4139824580805163</v>
      </c>
      <c r="N2455" t="s">
        <v>4117</v>
      </c>
      <c r="O2455" t="s">
        <v>1117</v>
      </c>
      <c r="Q2455" t="s">
        <v>4118</v>
      </c>
    </row>
    <row r="2456" spans="2:17">
      <c r="B2456" t="s">
        <v>4119</v>
      </c>
      <c r="C2456" t="s">
        <v>1127</v>
      </c>
      <c r="D2456">
        <v>5.25113355675303E-2</v>
      </c>
      <c r="E2456" t="s">
        <v>1115</v>
      </c>
      <c r="H2456" t="s">
        <v>588</v>
      </c>
      <c r="I2456">
        <v>5.25113355675303E-2</v>
      </c>
      <c r="J2456">
        <v>1</v>
      </c>
      <c r="N2456" t="s">
        <v>4120</v>
      </c>
      <c r="O2456" t="s">
        <v>589</v>
      </c>
      <c r="Q2456" t="s">
        <v>4069</v>
      </c>
    </row>
    <row r="2457" spans="2:17">
      <c r="B2457" t="s">
        <v>4121</v>
      </c>
      <c r="C2457" t="s">
        <v>1114</v>
      </c>
      <c r="D2457">
        <v>1.17048868354633E-2</v>
      </c>
      <c r="E2457" t="s">
        <v>1115</v>
      </c>
      <c r="N2457" t="s">
        <v>4122</v>
      </c>
      <c r="Q2457" t="s">
        <v>1118</v>
      </c>
    </row>
    <row r="2458" spans="2:17">
      <c r="B2458" t="s">
        <v>4123</v>
      </c>
      <c r="C2458" t="s">
        <v>4124</v>
      </c>
      <c r="D2458">
        <v>1.6609392005756299E-7</v>
      </c>
      <c r="E2458" t="s">
        <v>4125</v>
      </c>
      <c r="H2458" t="s">
        <v>588</v>
      </c>
      <c r="I2458">
        <v>1.6609392005756299E-7</v>
      </c>
      <c r="J2458">
        <v>1.4139824580805163</v>
      </c>
      <c r="N2458" t="s">
        <v>4126</v>
      </c>
      <c r="O2458" t="s">
        <v>1779</v>
      </c>
      <c r="Q2458" t="s">
        <v>4088</v>
      </c>
    </row>
    <row r="2459" spans="2:17">
      <c r="B2459" t="s">
        <v>4127</v>
      </c>
      <c r="C2459" t="s">
        <v>4124</v>
      </c>
      <c r="D2459">
        <v>4.56319640086002E-8</v>
      </c>
      <c r="E2459" t="s">
        <v>616</v>
      </c>
      <c r="H2459" t="s">
        <v>588</v>
      </c>
      <c r="I2459">
        <v>4.56319640086002E-8</v>
      </c>
      <c r="J2459">
        <v>1.4341253160944203</v>
      </c>
      <c r="N2459" t="s">
        <v>4128</v>
      </c>
      <c r="O2459" t="s">
        <v>4129</v>
      </c>
      <c r="Q2459" t="s">
        <v>811</v>
      </c>
    </row>
    <row r="2460" spans="2:17">
      <c r="B2460" t="s">
        <v>4130</v>
      </c>
      <c r="C2460" t="s">
        <v>1502</v>
      </c>
      <c r="D2460">
        <v>5.4046842215663496E-4</v>
      </c>
      <c r="E2460" t="s">
        <v>475</v>
      </c>
      <c r="H2460" t="s">
        <v>588</v>
      </c>
      <c r="I2460">
        <v>5.4046842215663496E-4</v>
      </c>
      <c r="J2460">
        <v>1.0247973619913604</v>
      </c>
      <c r="N2460" t="s">
        <v>4131</v>
      </c>
      <c r="O2460" t="s">
        <v>1779</v>
      </c>
      <c r="Q2460" t="s">
        <v>4088</v>
      </c>
    </row>
    <row r="2461" spans="2:17">
      <c r="B2461" t="s">
        <v>4130</v>
      </c>
      <c r="C2461" t="s">
        <v>1502</v>
      </c>
      <c r="D2461">
        <v>5.5026282555908402E-4</v>
      </c>
      <c r="E2461" t="s">
        <v>475</v>
      </c>
      <c r="H2461" t="s">
        <v>588</v>
      </c>
      <c r="I2461">
        <v>5.5026282555908402E-4</v>
      </c>
      <c r="J2461">
        <v>1.0247973619913604</v>
      </c>
      <c r="N2461" t="s">
        <v>4131</v>
      </c>
      <c r="O2461" t="s">
        <v>1779</v>
      </c>
      <c r="Q2461" t="s">
        <v>4088</v>
      </c>
    </row>
    <row r="2462" spans="2:17">
      <c r="B2462" t="s">
        <v>1501</v>
      </c>
      <c r="C2462" t="s">
        <v>1502</v>
      </c>
      <c r="D2462">
        <v>1.0288332284299701E-5</v>
      </c>
      <c r="E2462" t="s">
        <v>475</v>
      </c>
      <c r="H2462" t="s">
        <v>588</v>
      </c>
      <c r="I2462">
        <v>1.0288332284299701E-5</v>
      </c>
      <c r="J2462">
        <v>1.4139824580805163</v>
      </c>
      <c r="N2462" t="s">
        <v>1503</v>
      </c>
      <c r="O2462" t="s">
        <v>851</v>
      </c>
      <c r="Q2462" t="s">
        <v>1504</v>
      </c>
    </row>
    <row r="2463" spans="2:17">
      <c r="B2463" t="s">
        <v>4132</v>
      </c>
      <c r="C2463" t="s">
        <v>685</v>
      </c>
      <c r="D2463">
        <v>6.9219996901808203E-2</v>
      </c>
      <c r="E2463" t="s">
        <v>1115</v>
      </c>
      <c r="H2463" t="s">
        <v>588</v>
      </c>
      <c r="I2463">
        <v>6.9219996901808203E-2</v>
      </c>
      <c r="J2463">
        <v>1.4139824580805163</v>
      </c>
      <c r="N2463" t="s">
        <v>4133</v>
      </c>
      <c r="O2463" t="s">
        <v>4066</v>
      </c>
      <c r="Q2463" t="s">
        <v>4067</v>
      </c>
    </row>
    <row r="2464" spans="2:17">
      <c r="B2464" t="s">
        <v>4134</v>
      </c>
      <c r="C2464" t="s">
        <v>1810</v>
      </c>
      <c r="D2464">
        <v>3.2483576283209799E-4</v>
      </c>
      <c r="E2464" t="s">
        <v>1115</v>
      </c>
      <c r="H2464" t="s">
        <v>588</v>
      </c>
      <c r="I2464">
        <v>3.2483576283209799E-4</v>
      </c>
      <c r="J2464">
        <v>1.4662000000009283</v>
      </c>
      <c r="N2464" t="s">
        <v>4135</v>
      </c>
      <c r="O2464" t="s">
        <v>1037</v>
      </c>
      <c r="Q2464" t="s">
        <v>4136</v>
      </c>
    </row>
    <row r="2465" spans="2:17">
      <c r="B2465" t="s">
        <v>4134</v>
      </c>
      <c r="C2465" t="s">
        <v>1810</v>
      </c>
      <c r="D2465">
        <v>1.7671126063626601E-4</v>
      </c>
      <c r="E2465" t="s">
        <v>1115</v>
      </c>
      <c r="H2465" t="s">
        <v>588</v>
      </c>
      <c r="I2465">
        <v>1.7671126063626601E-4</v>
      </c>
      <c r="J2465">
        <v>1</v>
      </c>
      <c r="N2465" t="s">
        <v>4135</v>
      </c>
      <c r="O2465" t="s">
        <v>1756</v>
      </c>
      <c r="Q2465" t="s">
        <v>2721</v>
      </c>
    </row>
    <row r="2466" spans="2:17">
      <c r="B2466" t="s">
        <v>4137</v>
      </c>
      <c r="C2466" t="s">
        <v>857</v>
      </c>
      <c r="D2466">
        <v>6.58931816080159E-6</v>
      </c>
      <c r="E2466" t="s">
        <v>1811</v>
      </c>
      <c r="H2466" t="s">
        <v>588</v>
      </c>
      <c r="I2466">
        <v>6.58931816080159E-6</v>
      </c>
      <c r="J2466">
        <v>1.4049000000004648</v>
      </c>
      <c r="N2466" t="s">
        <v>4138</v>
      </c>
      <c r="O2466" t="s">
        <v>4139</v>
      </c>
      <c r="Q2466" t="s">
        <v>4140</v>
      </c>
    </row>
    <row r="2467" spans="2:17">
      <c r="B2467" t="s">
        <v>4141</v>
      </c>
      <c r="C2467" t="s">
        <v>1635</v>
      </c>
      <c r="D2467">
        <v>2.0656081991274001E-6</v>
      </c>
      <c r="E2467" t="s">
        <v>94</v>
      </c>
      <c r="H2467" t="s">
        <v>588</v>
      </c>
      <c r="I2467">
        <v>2.0656081991274001E-6</v>
      </c>
      <c r="J2467">
        <v>1.0247973619913604</v>
      </c>
      <c r="N2467" t="s">
        <v>4142</v>
      </c>
      <c r="O2467" t="s">
        <v>1678</v>
      </c>
      <c r="Q2467" t="s">
        <v>1679</v>
      </c>
    </row>
    <row r="2468" spans="2:17">
      <c r="B2468" t="s">
        <v>4143</v>
      </c>
      <c r="C2468" t="s">
        <v>670</v>
      </c>
      <c r="D2468">
        <v>2.56920131338797E-5</v>
      </c>
      <c r="E2468" t="s">
        <v>94</v>
      </c>
      <c r="H2468" t="s">
        <v>588</v>
      </c>
      <c r="I2468">
        <v>2.56920131338797E-5</v>
      </c>
      <c r="J2468">
        <v>1</v>
      </c>
      <c r="N2468" t="s">
        <v>4144</v>
      </c>
      <c r="O2468" t="s">
        <v>1654</v>
      </c>
      <c r="Q2468" t="s">
        <v>595</v>
      </c>
    </row>
    <row r="2469" spans="2:17">
      <c r="B2469" t="s">
        <v>4145</v>
      </c>
      <c r="C2469" t="s">
        <v>673</v>
      </c>
      <c r="D2469">
        <v>1.2620950565252601E-7</v>
      </c>
      <c r="E2469" t="s">
        <v>94</v>
      </c>
      <c r="H2469" t="s">
        <v>588</v>
      </c>
      <c r="I2469">
        <v>1.2620950565252601E-7</v>
      </c>
      <c r="J2469">
        <v>1.0247973619913604</v>
      </c>
      <c r="N2469" t="s">
        <v>4146</v>
      </c>
      <c r="O2469" t="s">
        <v>1752</v>
      </c>
      <c r="Q2469" t="s">
        <v>4147</v>
      </c>
    </row>
    <row r="2470" spans="2:17">
      <c r="B2470" t="s">
        <v>4148</v>
      </c>
      <c r="C2470" t="s">
        <v>673</v>
      </c>
      <c r="D2470">
        <v>8.9352120874709501E-5</v>
      </c>
      <c r="E2470" t="s">
        <v>94</v>
      </c>
      <c r="H2470" t="s">
        <v>588</v>
      </c>
      <c r="I2470">
        <v>8.9352120874709501E-5</v>
      </c>
      <c r="J2470">
        <v>1.0247973619913604</v>
      </c>
      <c r="N2470" t="s">
        <v>4149</v>
      </c>
      <c r="O2470" t="s">
        <v>4150</v>
      </c>
    </row>
    <row r="2471" spans="2:17">
      <c r="B2471" t="s">
        <v>4151</v>
      </c>
      <c r="C2471" t="s">
        <v>673</v>
      </c>
      <c r="D2471">
        <v>1.7252714943588201E-6</v>
      </c>
      <c r="E2471" t="s">
        <v>94</v>
      </c>
      <c r="H2471" t="s">
        <v>588</v>
      </c>
      <c r="I2471">
        <v>1.7252714943588201E-6</v>
      </c>
      <c r="J2471">
        <v>1.0247973619913604</v>
      </c>
      <c r="N2471" t="s">
        <v>4152</v>
      </c>
      <c r="O2471" t="s">
        <v>1929</v>
      </c>
      <c r="Q2471" t="s">
        <v>4153</v>
      </c>
    </row>
    <row r="2472" spans="2:17">
      <c r="B2472" t="s">
        <v>4154</v>
      </c>
      <c r="C2472" t="s">
        <v>857</v>
      </c>
      <c r="D2472">
        <v>4.3641348238675597E-12</v>
      </c>
      <c r="E2472" t="s">
        <v>616</v>
      </c>
      <c r="H2472" t="s">
        <v>588</v>
      </c>
      <c r="I2472">
        <v>4.3641348238675597E-12</v>
      </c>
      <c r="J2472">
        <v>1.2214027581601699</v>
      </c>
      <c r="N2472" t="s">
        <v>4155</v>
      </c>
      <c r="O2472" t="s">
        <v>594</v>
      </c>
      <c r="Q2472" t="s">
        <v>3771</v>
      </c>
    </row>
    <row r="2473" spans="2:17">
      <c r="B2473" t="s">
        <v>4154</v>
      </c>
      <c r="C2473" t="s">
        <v>857</v>
      </c>
      <c r="D2473">
        <v>4.4086751256189098E-12</v>
      </c>
      <c r="E2473" t="s">
        <v>616</v>
      </c>
      <c r="H2473" t="s">
        <v>588</v>
      </c>
      <c r="I2473">
        <v>4.4086751256189098E-12</v>
      </c>
      <c r="J2473">
        <v>1.2214027581601699</v>
      </c>
      <c r="N2473" t="s">
        <v>4156</v>
      </c>
      <c r="O2473" t="s">
        <v>1654</v>
      </c>
      <c r="Q2473" t="s">
        <v>1545</v>
      </c>
    </row>
    <row r="2474" spans="2:17">
      <c r="B2474" t="s">
        <v>4157</v>
      </c>
      <c r="C2474" t="s">
        <v>569</v>
      </c>
      <c r="D2474">
        <v>8.5265516679898198E-5</v>
      </c>
      <c r="E2474" t="s">
        <v>94</v>
      </c>
      <c r="H2474" t="s">
        <v>588</v>
      </c>
      <c r="I2474">
        <v>8.5265516679898198E-5</v>
      </c>
      <c r="J2474">
        <v>1.0247973619913604</v>
      </c>
      <c r="N2474" t="s">
        <v>4158</v>
      </c>
      <c r="O2474" t="s">
        <v>609</v>
      </c>
    </row>
    <row r="2475" spans="2:17">
      <c r="B2475" t="s">
        <v>4159</v>
      </c>
      <c r="C2475" t="s">
        <v>587</v>
      </c>
      <c r="D2475">
        <v>4.16348510785346E-5</v>
      </c>
      <c r="E2475" t="s">
        <v>94</v>
      </c>
      <c r="Q2475" t="s">
        <v>1776</v>
      </c>
    </row>
    <row r="2476" spans="2:17">
      <c r="B2476" t="s">
        <v>4160</v>
      </c>
      <c r="C2476" t="s">
        <v>615</v>
      </c>
      <c r="D2476">
        <v>2.0088524582802701E-13</v>
      </c>
      <c r="E2476" t="s">
        <v>616</v>
      </c>
      <c r="H2476" t="s">
        <v>588</v>
      </c>
      <c r="I2476">
        <v>2.0088524582802701E-13</v>
      </c>
      <c r="J2476">
        <v>1.4139824580805163</v>
      </c>
      <c r="N2476" t="s">
        <v>4161</v>
      </c>
      <c r="O2476" t="s">
        <v>798</v>
      </c>
      <c r="Q2476" t="s">
        <v>1790</v>
      </c>
    </row>
    <row r="2477" spans="2:17">
      <c r="B2477" t="s">
        <v>4160</v>
      </c>
      <c r="C2477" t="s">
        <v>615</v>
      </c>
      <c r="D2477">
        <v>3.0377349584468998E-13</v>
      </c>
      <c r="E2477" t="s">
        <v>616</v>
      </c>
      <c r="H2477" t="s">
        <v>588</v>
      </c>
      <c r="I2477">
        <v>3.0377349584468998E-13</v>
      </c>
      <c r="J2477">
        <v>1.4139824580805163</v>
      </c>
      <c r="N2477" t="s">
        <v>4162</v>
      </c>
      <c r="O2477" t="s">
        <v>1082</v>
      </c>
      <c r="Q2477" t="s">
        <v>3413</v>
      </c>
    </row>
    <row r="2478" spans="2:17">
      <c r="B2478" t="s">
        <v>4163</v>
      </c>
      <c r="C2478" t="s">
        <v>673</v>
      </c>
      <c r="D2478">
        <v>1.9608260513510401E-5</v>
      </c>
      <c r="E2478" t="s">
        <v>94</v>
      </c>
      <c r="H2478" t="s">
        <v>588</v>
      </c>
      <c r="I2478">
        <v>1.9608260513510401E-5</v>
      </c>
      <c r="J2478">
        <v>1.0247973619913604</v>
      </c>
      <c r="N2478" t="s">
        <v>4164</v>
      </c>
      <c r="O2478" t="s">
        <v>1779</v>
      </c>
      <c r="Q2478" t="s">
        <v>4165</v>
      </c>
    </row>
    <row r="2479" spans="2:17">
      <c r="B2479" t="s">
        <v>4163</v>
      </c>
      <c r="C2479" t="s">
        <v>673</v>
      </c>
      <c r="D2479">
        <v>1.49510211471026E-5</v>
      </c>
      <c r="E2479" t="s">
        <v>94</v>
      </c>
      <c r="H2479" t="s">
        <v>588</v>
      </c>
      <c r="I2479">
        <v>1.49510211471026E-5</v>
      </c>
      <c r="J2479">
        <v>1.0247973619913604</v>
      </c>
      <c r="N2479" t="s">
        <v>4164</v>
      </c>
      <c r="O2479" t="s">
        <v>1779</v>
      </c>
      <c r="Q2479" t="s">
        <v>4165</v>
      </c>
    </row>
    <row r="2480" spans="2:17">
      <c r="B2480" t="s">
        <v>4163</v>
      </c>
      <c r="C2480" t="s">
        <v>673</v>
      </c>
      <c r="D2480">
        <v>4.5603018486174897E-6</v>
      </c>
      <c r="E2480" t="s">
        <v>94</v>
      </c>
      <c r="H2480" t="s">
        <v>588</v>
      </c>
      <c r="I2480">
        <v>4.5603018486174897E-6</v>
      </c>
      <c r="J2480">
        <v>1.0247973619913604</v>
      </c>
      <c r="N2480" t="s">
        <v>4164</v>
      </c>
      <c r="O2480" t="s">
        <v>1779</v>
      </c>
      <c r="Q2480" t="s">
        <v>4165</v>
      </c>
    </row>
    <row r="2481" spans="2:17">
      <c r="B2481" t="s">
        <v>4166</v>
      </c>
      <c r="C2481" t="s">
        <v>673</v>
      </c>
      <c r="D2481">
        <v>6.2546850080343697E-7</v>
      </c>
      <c r="E2481" t="s">
        <v>94</v>
      </c>
      <c r="H2481" t="s">
        <v>588</v>
      </c>
      <c r="I2481">
        <v>6.2546850080343697E-7</v>
      </c>
      <c r="J2481">
        <v>1</v>
      </c>
      <c r="N2481" t="s">
        <v>4167</v>
      </c>
      <c r="O2481" t="s">
        <v>956</v>
      </c>
      <c r="Q2481" t="s">
        <v>3199</v>
      </c>
    </row>
    <row r="2482" spans="2:17">
      <c r="B2482" t="s">
        <v>4168</v>
      </c>
      <c r="C2482" t="s">
        <v>587</v>
      </c>
      <c r="D2482">
        <v>6.5498885631053604E-7</v>
      </c>
      <c r="E2482" t="s">
        <v>94</v>
      </c>
      <c r="Q2482" t="s">
        <v>1776</v>
      </c>
    </row>
    <row r="2483" spans="2:17">
      <c r="B2483" t="s">
        <v>1505</v>
      </c>
      <c r="C2483" t="s">
        <v>809</v>
      </c>
      <c r="D2483">
        <v>2.7710333006048401E-3</v>
      </c>
      <c r="E2483" t="s">
        <v>94</v>
      </c>
      <c r="H2483" t="s">
        <v>588</v>
      </c>
      <c r="I2483">
        <v>2.7710333006048401E-3</v>
      </c>
      <c r="J2483">
        <v>1.0247973619913604</v>
      </c>
      <c r="N2483" t="s">
        <v>1506</v>
      </c>
      <c r="O2483" t="s">
        <v>641</v>
      </c>
      <c r="Q2483" t="s">
        <v>4169</v>
      </c>
    </row>
    <row r="2484" spans="2:17">
      <c r="B2484" t="s">
        <v>1505</v>
      </c>
      <c r="C2484" t="s">
        <v>809</v>
      </c>
      <c r="D2484">
        <v>4.4018972412263399E-4</v>
      </c>
      <c r="E2484" t="s">
        <v>94</v>
      </c>
      <c r="H2484" t="s">
        <v>588</v>
      </c>
      <c r="I2484">
        <v>4.4018972412263399E-4</v>
      </c>
      <c r="J2484">
        <v>1.0247973619913604</v>
      </c>
      <c r="N2484" t="s">
        <v>1506</v>
      </c>
      <c r="O2484" t="s">
        <v>641</v>
      </c>
      <c r="Q2484" t="s">
        <v>4169</v>
      </c>
    </row>
    <row r="2485" spans="2:17">
      <c r="B2485" t="s">
        <v>1505</v>
      </c>
      <c r="C2485" t="s">
        <v>809</v>
      </c>
      <c r="D2485">
        <v>5.9759772415925398E-5</v>
      </c>
      <c r="E2485" t="s">
        <v>94</v>
      </c>
      <c r="H2485" t="s">
        <v>588</v>
      </c>
      <c r="I2485">
        <v>5.9759772415925398E-5</v>
      </c>
      <c r="J2485">
        <v>1</v>
      </c>
      <c r="N2485" t="s">
        <v>1506</v>
      </c>
      <c r="O2485" t="s">
        <v>1157</v>
      </c>
      <c r="Q2485" t="s">
        <v>1507</v>
      </c>
    </row>
    <row r="2486" spans="2:17">
      <c r="B2486" t="s">
        <v>1505</v>
      </c>
      <c r="C2486" t="s">
        <v>809</v>
      </c>
      <c r="D2486">
        <v>1.7515963941811899E-4</v>
      </c>
      <c r="E2486" t="s">
        <v>94</v>
      </c>
      <c r="H2486" t="s">
        <v>588</v>
      </c>
      <c r="I2486">
        <v>1.7515963941811899E-4</v>
      </c>
      <c r="J2486">
        <v>1.0247973619913604</v>
      </c>
      <c r="N2486" t="s">
        <v>1506</v>
      </c>
      <c r="O2486" t="s">
        <v>641</v>
      </c>
      <c r="Q2486" t="s">
        <v>4169</v>
      </c>
    </row>
    <row r="2487" spans="2:17">
      <c r="B2487" t="s">
        <v>4170</v>
      </c>
      <c r="C2487" t="s">
        <v>701</v>
      </c>
      <c r="D2487">
        <v>1.4946460193108299E-3</v>
      </c>
      <c r="E2487" t="s">
        <v>94</v>
      </c>
      <c r="H2487" t="s">
        <v>588</v>
      </c>
      <c r="I2487">
        <v>1.4946460193108299E-3</v>
      </c>
      <c r="J2487">
        <v>1.1712995782321958</v>
      </c>
      <c r="N2487" t="s">
        <v>4171</v>
      </c>
      <c r="O2487" t="s">
        <v>2387</v>
      </c>
      <c r="Q2487" t="s">
        <v>3065</v>
      </c>
    </row>
    <row r="2488" spans="2:17">
      <c r="B2488" t="s">
        <v>4170</v>
      </c>
      <c r="C2488" t="s">
        <v>701</v>
      </c>
      <c r="D2488">
        <v>5.2338343345342798E-4</v>
      </c>
      <c r="E2488" t="s">
        <v>94</v>
      </c>
      <c r="H2488" t="s">
        <v>588</v>
      </c>
      <c r="I2488">
        <v>5.2338343345342798E-4</v>
      </c>
      <c r="J2488">
        <v>1.1712995782321958</v>
      </c>
      <c r="N2488" t="s">
        <v>4171</v>
      </c>
      <c r="O2488" t="s">
        <v>2711</v>
      </c>
      <c r="Q2488" t="s">
        <v>3065</v>
      </c>
    </row>
    <row r="2489" spans="2:17">
      <c r="B2489" t="s">
        <v>4172</v>
      </c>
      <c r="C2489" t="s">
        <v>2173</v>
      </c>
      <c r="D2489">
        <v>3.29568851588634E-8</v>
      </c>
      <c r="E2489" t="s">
        <v>616</v>
      </c>
      <c r="H2489" t="s">
        <v>588</v>
      </c>
      <c r="I2489">
        <v>3.29568851588634E-8</v>
      </c>
      <c r="J2489">
        <v>1.7293101253499219</v>
      </c>
      <c r="N2489" t="s">
        <v>4173</v>
      </c>
      <c r="O2489" t="s">
        <v>1927</v>
      </c>
      <c r="Q2489" t="s">
        <v>4174</v>
      </c>
    </row>
    <row r="2490" spans="2:17">
      <c r="B2490" t="s">
        <v>4175</v>
      </c>
      <c r="C2490" t="s">
        <v>587</v>
      </c>
      <c r="D2490">
        <v>6.6472384012881301E-9</v>
      </c>
      <c r="E2490" t="s">
        <v>94</v>
      </c>
      <c r="H2490" t="s">
        <v>588</v>
      </c>
      <c r="I2490">
        <v>6.6472384012881301E-9</v>
      </c>
      <c r="J2490">
        <v>1.0247973619913604</v>
      </c>
      <c r="O2490" t="s">
        <v>641</v>
      </c>
      <c r="Q2490" t="s">
        <v>1643</v>
      </c>
    </row>
    <row r="2491" spans="2:17">
      <c r="B2491" t="s">
        <v>4176</v>
      </c>
      <c r="C2491" t="s">
        <v>1873</v>
      </c>
      <c r="D2491">
        <v>1.4658769848733701E-5</v>
      </c>
      <c r="E2491" t="s">
        <v>94</v>
      </c>
      <c r="N2491" t="s">
        <v>4177</v>
      </c>
    </row>
    <row r="2492" spans="2:17">
      <c r="B2492" t="s">
        <v>4176</v>
      </c>
      <c r="C2492" t="s">
        <v>1873</v>
      </c>
      <c r="D2492">
        <v>5.3860320116297596E-6</v>
      </c>
      <c r="E2492" t="s">
        <v>94</v>
      </c>
      <c r="N2492" t="s">
        <v>4178</v>
      </c>
      <c r="Q2492" t="s">
        <v>1807</v>
      </c>
    </row>
    <row r="2493" spans="2:17">
      <c r="B2493" t="s">
        <v>4176</v>
      </c>
      <c r="C2493" t="s">
        <v>1873</v>
      </c>
      <c r="D2493">
        <v>3.0224830248181E-5</v>
      </c>
      <c r="E2493" t="s">
        <v>94</v>
      </c>
      <c r="N2493" t="s">
        <v>4177</v>
      </c>
    </row>
    <row r="2494" spans="2:17">
      <c r="B2494" t="s">
        <v>4179</v>
      </c>
      <c r="C2494" t="s">
        <v>2163</v>
      </c>
      <c r="D2494">
        <v>1.6693654774595299E-3</v>
      </c>
      <c r="E2494" t="s">
        <v>94</v>
      </c>
      <c r="H2494" t="s">
        <v>588</v>
      </c>
      <c r="I2494">
        <v>1.6693654774595299E-3</v>
      </c>
      <c r="J2494">
        <v>1.1712995782321958</v>
      </c>
      <c r="N2494" t="s">
        <v>4180</v>
      </c>
      <c r="O2494" t="s">
        <v>2387</v>
      </c>
      <c r="Q2494" t="s">
        <v>3540</v>
      </c>
    </row>
    <row r="2495" spans="2:17">
      <c r="B2495" t="s">
        <v>4181</v>
      </c>
      <c r="C2495" t="s">
        <v>4182</v>
      </c>
      <c r="D2495">
        <v>1.75669217149666E-6</v>
      </c>
      <c r="E2495" t="s">
        <v>616</v>
      </c>
      <c r="H2495" t="s">
        <v>588</v>
      </c>
      <c r="I2495">
        <v>1.75669217149666E-6</v>
      </c>
      <c r="J2495">
        <v>1</v>
      </c>
      <c r="N2495" t="s">
        <v>4183</v>
      </c>
      <c r="O2495" t="s">
        <v>882</v>
      </c>
      <c r="Q2495" t="s">
        <v>595</v>
      </c>
    </row>
    <row r="2496" spans="2:17">
      <c r="B2496" t="s">
        <v>4184</v>
      </c>
      <c r="C2496" t="s">
        <v>4182</v>
      </c>
      <c r="D2496">
        <v>2.6046565079843599E-5</v>
      </c>
      <c r="E2496" t="s">
        <v>616</v>
      </c>
      <c r="H2496" t="s">
        <v>588</v>
      </c>
      <c r="I2496">
        <v>2.6046565079843599E-5</v>
      </c>
      <c r="J2496">
        <v>1</v>
      </c>
      <c r="N2496" t="s">
        <v>4185</v>
      </c>
      <c r="O2496" t="s">
        <v>882</v>
      </c>
      <c r="Q2496" t="s">
        <v>1701</v>
      </c>
    </row>
    <row r="2497" spans="2:17">
      <c r="B2497" t="s">
        <v>4186</v>
      </c>
      <c r="C2497" t="s">
        <v>1698</v>
      </c>
      <c r="D2497">
        <v>2.9009981306139299E-4</v>
      </c>
      <c r="E2497" t="s">
        <v>616</v>
      </c>
      <c r="H2497" t="s">
        <v>588</v>
      </c>
      <c r="I2497">
        <v>2.9009981306139299E-4</v>
      </c>
      <c r="J2497">
        <v>1</v>
      </c>
      <c r="N2497" t="s">
        <v>4187</v>
      </c>
      <c r="O2497" t="s">
        <v>1700</v>
      </c>
      <c r="Q2497" t="s">
        <v>595</v>
      </c>
    </row>
    <row r="2498" spans="2:17">
      <c r="B2498" t="s">
        <v>4188</v>
      </c>
      <c r="C2498" t="s">
        <v>1698</v>
      </c>
      <c r="D2498">
        <v>4.4095171585331703E-4</v>
      </c>
      <c r="E2498" t="s">
        <v>616</v>
      </c>
      <c r="H2498" t="s">
        <v>588</v>
      </c>
      <c r="I2498">
        <v>4.4095171585331703E-4</v>
      </c>
      <c r="J2498">
        <v>1</v>
      </c>
      <c r="N2498" t="s">
        <v>4189</v>
      </c>
      <c r="O2498" t="s">
        <v>1700</v>
      </c>
      <c r="Q2498" t="s">
        <v>1701</v>
      </c>
    </row>
    <row r="2499" spans="2:17">
      <c r="B2499" t="s">
        <v>4190</v>
      </c>
      <c r="C2499" t="s">
        <v>1698</v>
      </c>
      <c r="D2499">
        <v>1.16039925224557E-3</v>
      </c>
      <c r="E2499" t="s">
        <v>1171</v>
      </c>
      <c r="H2499" t="s">
        <v>588</v>
      </c>
      <c r="I2499">
        <v>1.16039925224557E-3</v>
      </c>
      <c r="J2499">
        <v>1</v>
      </c>
      <c r="N2499" t="s">
        <v>4191</v>
      </c>
      <c r="O2499" t="s">
        <v>1700</v>
      </c>
      <c r="Q2499" t="s">
        <v>1701</v>
      </c>
    </row>
    <row r="2500" spans="2:17">
      <c r="B2500" t="s">
        <v>4192</v>
      </c>
      <c r="C2500" t="s">
        <v>4193</v>
      </c>
      <c r="D2500">
        <v>6.5350156149667396E-8</v>
      </c>
      <c r="E2500" t="s">
        <v>616</v>
      </c>
      <c r="H2500" t="s">
        <v>588</v>
      </c>
      <c r="I2500">
        <v>6.5350156149667396E-8</v>
      </c>
      <c r="J2500">
        <v>1</v>
      </c>
      <c r="N2500" t="s">
        <v>4194</v>
      </c>
      <c r="O2500" t="s">
        <v>2780</v>
      </c>
      <c r="Q2500" t="s">
        <v>979</v>
      </c>
    </row>
    <row r="2501" spans="2:17">
      <c r="B2501" t="s">
        <v>4192</v>
      </c>
      <c r="C2501" t="s">
        <v>4193</v>
      </c>
      <c r="D2501">
        <v>6.5368089567890101E-8</v>
      </c>
      <c r="E2501" t="s">
        <v>616</v>
      </c>
      <c r="H2501" t="s">
        <v>588</v>
      </c>
      <c r="I2501">
        <v>6.5368089567890101E-8</v>
      </c>
      <c r="J2501">
        <v>1</v>
      </c>
      <c r="N2501" t="s">
        <v>4195</v>
      </c>
      <c r="O2501" t="s">
        <v>882</v>
      </c>
      <c r="Q2501" t="s">
        <v>1701</v>
      </c>
    </row>
    <row r="2502" spans="2:17">
      <c r="B2502" t="s">
        <v>4196</v>
      </c>
      <c r="C2502" t="s">
        <v>4193</v>
      </c>
      <c r="D2502">
        <v>6.5366937409650996E-8</v>
      </c>
      <c r="E2502" t="s">
        <v>616</v>
      </c>
      <c r="H2502" t="s">
        <v>588</v>
      </c>
      <c r="I2502">
        <v>6.5366937409650996E-8</v>
      </c>
      <c r="J2502">
        <v>1</v>
      </c>
      <c r="N2502" t="s">
        <v>4197</v>
      </c>
      <c r="O2502" t="s">
        <v>882</v>
      </c>
      <c r="Q2502" t="s">
        <v>979</v>
      </c>
    </row>
    <row r="2503" spans="2:17">
      <c r="B2503" t="s">
        <v>4196</v>
      </c>
      <c r="C2503" t="s">
        <v>4193</v>
      </c>
      <c r="D2503">
        <v>6.5347728438665595E-8</v>
      </c>
      <c r="E2503" t="s">
        <v>616</v>
      </c>
      <c r="H2503" t="s">
        <v>588</v>
      </c>
      <c r="I2503">
        <v>6.5347728438665595E-8</v>
      </c>
      <c r="J2503">
        <v>1</v>
      </c>
      <c r="N2503" t="s">
        <v>4198</v>
      </c>
      <c r="O2503" t="s">
        <v>2780</v>
      </c>
      <c r="Q2503" t="s">
        <v>1701</v>
      </c>
    </row>
    <row r="2504" spans="2:17">
      <c r="B2504" t="s">
        <v>4199</v>
      </c>
      <c r="C2504" t="s">
        <v>4193</v>
      </c>
      <c r="D2504">
        <v>5.2607163283706802E-8</v>
      </c>
      <c r="E2504" t="s">
        <v>616</v>
      </c>
      <c r="H2504" t="s">
        <v>588</v>
      </c>
      <c r="I2504">
        <v>5.2607163283706802E-8</v>
      </c>
      <c r="J2504">
        <v>1</v>
      </c>
      <c r="N2504" t="s">
        <v>4200</v>
      </c>
      <c r="O2504" t="s">
        <v>2780</v>
      </c>
      <c r="Q2504" t="s">
        <v>979</v>
      </c>
    </row>
    <row r="2505" spans="2:17">
      <c r="B2505" t="s">
        <v>4199</v>
      </c>
      <c r="C2505" t="s">
        <v>4193</v>
      </c>
      <c r="D2505">
        <v>5.2683062283921999E-8</v>
      </c>
      <c r="E2505" t="s">
        <v>616</v>
      </c>
      <c r="H2505" t="s">
        <v>588</v>
      </c>
      <c r="I2505">
        <v>5.2683062283921999E-8</v>
      </c>
      <c r="J2505">
        <v>1</v>
      </c>
      <c r="N2505" t="s">
        <v>4201</v>
      </c>
      <c r="O2505" t="s">
        <v>882</v>
      </c>
      <c r="Q2505" t="s">
        <v>979</v>
      </c>
    </row>
    <row r="2506" spans="2:17">
      <c r="B2506" t="s">
        <v>4202</v>
      </c>
      <c r="C2506" t="s">
        <v>4193</v>
      </c>
      <c r="D2506">
        <v>5.2683062283921999E-8</v>
      </c>
      <c r="E2506" t="s">
        <v>616</v>
      </c>
      <c r="H2506" t="s">
        <v>588</v>
      </c>
      <c r="I2506">
        <v>5.2683062283921999E-8</v>
      </c>
      <c r="J2506">
        <v>1</v>
      </c>
      <c r="N2506" t="s">
        <v>4203</v>
      </c>
      <c r="O2506" t="s">
        <v>882</v>
      </c>
      <c r="Q2506" t="s">
        <v>1701</v>
      </c>
    </row>
    <row r="2507" spans="2:17">
      <c r="B2507" t="s">
        <v>4202</v>
      </c>
      <c r="C2507" t="s">
        <v>4193</v>
      </c>
      <c r="D2507">
        <v>5.2607163283706802E-8</v>
      </c>
      <c r="E2507" t="s">
        <v>616</v>
      </c>
      <c r="H2507" t="s">
        <v>588</v>
      </c>
      <c r="I2507">
        <v>5.2607163283706802E-8</v>
      </c>
      <c r="J2507">
        <v>1</v>
      </c>
      <c r="N2507" t="s">
        <v>4204</v>
      </c>
      <c r="O2507" t="s">
        <v>2780</v>
      </c>
      <c r="Q2507" t="s">
        <v>979</v>
      </c>
    </row>
    <row r="2508" spans="2:17">
      <c r="B2508" t="s">
        <v>4205</v>
      </c>
      <c r="C2508" t="s">
        <v>4193</v>
      </c>
      <c r="D2508">
        <v>5.2605590037687801E-8</v>
      </c>
      <c r="E2508" t="s">
        <v>616</v>
      </c>
      <c r="H2508" t="s">
        <v>588</v>
      </c>
      <c r="I2508">
        <v>5.2605590037687801E-8</v>
      </c>
      <c r="J2508">
        <v>1</v>
      </c>
      <c r="N2508" t="s">
        <v>4206</v>
      </c>
      <c r="O2508" t="s">
        <v>2780</v>
      </c>
      <c r="Q2508" t="s">
        <v>1701</v>
      </c>
    </row>
    <row r="2509" spans="2:17">
      <c r="B2509" t="s">
        <v>4205</v>
      </c>
      <c r="C2509" t="s">
        <v>4193</v>
      </c>
      <c r="D2509">
        <v>5.2682313900683199E-8</v>
      </c>
      <c r="E2509" t="s">
        <v>616</v>
      </c>
      <c r="H2509" t="s">
        <v>588</v>
      </c>
      <c r="I2509">
        <v>5.2682313900683199E-8</v>
      </c>
      <c r="J2509">
        <v>1</v>
      </c>
      <c r="N2509" t="s">
        <v>4207</v>
      </c>
      <c r="O2509" t="s">
        <v>882</v>
      </c>
      <c r="Q2509" t="s">
        <v>979</v>
      </c>
    </row>
    <row r="2510" spans="2:17">
      <c r="B2510" t="s">
        <v>4208</v>
      </c>
      <c r="C2510" t="s">
        <v>4193</v>
      </c>
      <c r="D2510">
        <v>5.2605590037687801E-8</v>
      </c>
      <c r="E2510" t="s">
        <v>616</v>
      </c>
      <c r="H2510" t="s">
        <v>588</v>
      </c>
      <c r="I2510">
        <v>5.2605590037687801E-8</v>
      </c>
      <c r="J2510">
        <v>1</v>
      </c>
      <c r="N2510" t="s">
        <v>4209</v>
      </c>
      <c r="O2510" t="s">
        <v>798</v>
      </c>
      <c r="Q2510" t="s">
        <v>979</v>
      </c>
    </row>
    <row r="2511" spans="2:17">
      <c r="B2511" t="s">
        <v>4208</v>
      </c>
      <c r="C2511" t="s">
        <v>4193</v>
      </c>
      <c r="D2511">
        <v>5.2682313900683199E-8</v>
      </c>
      <c r="E2511" t="s">
        <v>616</v>
      </c>
      <c r="H2511" t="s">
        <v>588</v>
      </c>
      <c r="I2511">
        <v>5.2682313900683199E-8</v>
      </c>
      <c r="J2511">
        <v>1</v>
      </c>
      <c r="N2511" t="s">
        <v>4210</v>
      </c>
      <c r="O2511" t="s">
        <v>1082</v>
      </c>
      <c r="Q2511" t="s">
        <v>4211</v>
      </c>
    </row>
    <row r="2512" spans="2:17">
      <c r="B2512" t="s">
        <v>4212</v>
      </c>
      <c r="C2512" t="s">
        <v>701</v>
      </c>
      <c r="D2512">
        <v>2.04103313806946E-4</v>
      </c>
      <c r="E2512" t="s">
        <v>94</v>
      </c>
      <c r="H2512" t="s">
        <v>588</v>
      </c>
      <c r="I2512">
        <v>2.04103313806946E-4</v>
      </c>
      <c r="J2512">
        <v>1.0247973619913604</v>
      </c>
      <c r="N2512" t="s">
        <v>4213</v>
      </c>
      <c r="O2512" t="s">
        <v>1957</v>
      </c>
      <c r="Q2512" t="s">
        <v>1958</v>
      </c>
    </row>
    <row r="2513" spans="2:17">
      <c r="B2513" t="s">
        <v>4214</v>
      </c>
      <c r="C2513" t="s">
        <v>701</v>
      </c>
      <c r="D2513">
        <v>1.04556221339162E-3</v>
      </c>
      <c r="E2513" t="s">
        <v>94</v>
      </c>
      <c r="H2513" t="s">
        <v>588</v>
      </c>
      <c r="I2513">
        <v>1.04556221339162E-3</v>
      </c>
      <c r="J2513">
        <v>1.0247973619913604</v>
      </c>
      <c r="N2513" t="s">
        <v>4215</v>
      </c>
      <c r="O2513" t="s">
        <v>2192</v>
      </c>
      <c r="Q2513" t="s">
        <v>2193</v>
      </c>
    </row>
    <row r="2514" spans="2:17">
      <c r="B2514" t="s">
        <v>4216</v>
      </c>
      <c r="C2514" t="s">
        <v>615</v>
      </c>
      <c r="D2514">
        <v>3.7921790603512399E-11</v>
      </c>
      <c r="E2514" t="s">
        <v>616</v>
      </c>
      <c r="H2514" t="s">
        <v>588</v>
      </c>
      <c r="I2514">
        <v>3.7921790603512399E-11</v>
      </c>
      <c r="J2514">
        <v>1.7293101253499219</v>
      </c>
      <c r="N2514" t="s">
        <v>4217</v>
      </c>
      <c r="O2514" t="s">
        <v>1654</v>
      </c>
      <c r="Q2514" t="s">
        <v>1545</v>
      </c>
    </row>
    <row r="2515" spans="2:17">
      <c r="B2515" t="s">
        <v>4218</v>
      </c>
      <c r="C2515" t="s">
        <v>2173</v>
      </c>
      <c r="D2515">
        <v>1.9659190346027499E-8</v>
      </c>
      <c r="E2515" t="s">
        <v>616</v>
      </c>
      <c r="H2515" t="s">
        <v>588</v>
      </c>
      <c r="I2515">
        <v>1.9659190346027499E-8</v>
      </c>
      <c r="J2515">
        <v>1.7293101253499219</v>
      </c>
      <c r="N2515" t="s">
        <v>4219</v>
      </c>
      <c r="O2515" t="s">
        <v>1929</v>
      </c>
      <c r="Q2515" t="s">
        <v>4220</v>
      </c>
    </row>
    <row r="2516" spans="2:17">
      <c r="B2516" t="s">
        <v>4221</v>
      </c>
      <c r="C2516" t="s">
        <v>4222</v>
      </c>
      <c r="D2516">
        <v>3.8688378948856998E-4</v>
      </c>
      <c r="E2516" t="s">
        <v>94</v>
      </c>
      <c r="H2516" t="s">
        <v>588</v>
      </c>
      <c r="I2516">
        <v>3.8688378948856998E-4</v>
      </c>
      <c r="J2516">
        <v>1.0247973619913604</v>
      </c>
      <c r="N2516" t="s">
        <v>4223</v>
      </c>
      <c r="O2516" t="s">
        <v>4224</v>
      </c>
      <c r="Q2516" t="s">
        <v>4225</v>
      </c>
    </row>
    <row r="2517" spans="2:17">
      <c r="B2517" t="s">
        <v>4226</v>
      </c>
      <c r="C2517" t="s">
        <v>2043</v>
      </c>
      <c r="D2517">
        <v>6.1415857322888101E-3</v>
      </c>
      <c r="E2517" t="s">
        <v>94</v>
      </c>
      <c r="H2517" t="s">
        <v>588</v>
      </c>
      <c r="I2517">
        <v>6.1415857322888101E-3</v>
      </c>
      <c r="J2517">
        <v>1.0247973619913604</v>
      </c>
      <c r="N2517" t="s">
        <v>4227</v>
      </c>
      <c r="O2517" t="s">
        <v>589</v>
      </c>
      <c r="Q2517" t="s">
        <v>4228</v>
      </c>
    </row>
    <row r="2518" spans="2:17">
      <c r="B2518" t="s">
        <v>4229</v>
      </c>
      <c r="C2518" t="s">
        <v>2661</v>
      </c>
      <c r="D2518">
        <v>2.4195948972105898E-3</v>
      </c>
      <c r="E2518" t="s">
        <v>94</v>
      </c>
      <c r="H2518" t="s">
        <v>588</v>
      </c>
      <c r="I2518">
        <v>2.4195948972105898E-3</v>
      </c>
      <c r="J2518">
        <v>1.0247973619913604</v>
      </c>
      <c r="N2518" t="s">
        <v>4230</v>
      </c>
      <c r="O2518" t="s">
        <v>798</v>
      </c>
    </row>
    <row r="2519" spans="2:17">
      <c r="B2519" t="s">
        <v>4229</v>
      </c>
      <c r="C2519" t="s">
        <v>2661</v>
      </c>
      <c r="D2519">
        <v>1.3951811629472201E-3</v>
      </c>
      <c r="E2519" t="s">
        <v>94</v>
      </c>
      <c r="H2519" t="s">
        <v>588</v>
      </c>
      <c r="I2519">
        <v>1.3951811629472201E-3</v>
      </c>
      <c r="J2519">
        <v>1.0247973619913604</v>
      </c>
      <c r="N2519" t="s">
        <v>4230</v>
      </c>
      <c r="O2519" t="s">
        <v>4231</v>
      </c>
    </row>
    <row r="2520" spans="2:17">
      <c r="B2520" t="s">
        <v>4229</v>
      </c>
      <c r="C2520" t="s">
        <v>2661</v>
      </c>
      <c r="D2520">
        <v>3.8486718118724999E-3</v>
      </c>
      <c r="E2520" t="s">
        <v>94</v>
      </c>
      <c r="H2520" t="s">
        <v>588</v>
      </c>
      <c r="I2520">
        <v>3.8486718118724999E-3</v>
      </c>
      <c r="J2520">
        <v>1.0247973619913604</v>
      </c>
      <c r="N2520" t="s">
        <v>4230</v>
      </c>
      <c r="O2520" t="s">
        <v>956</v>
      </c>
    </row>
    <row r="2521" spans="2:17">
      <c r="B2521" t="s">
        <v>4229</v>
      </c>
      <c r="C2521" t="s">
        <v>2661</v>
      </c>
      <c r="D2521">
        <v>1.2298230076179901E-4</v>
      </c>
      <c r="E2521" t="s">
        <v>94</v>
      </c>
      <c r="H2521" t="s">
        <v>588</v>
      </c>
      <c r="I2521">
        <v>1.2298230076179901E-4</v>
      </c>
      <c r="J2521">
        <v>1.0247973619913604</v>
      </c>
      <c r="N2521" t="s">
        <v>4230</v>
      </c>
      <c r="O2521" t="s">
        <v>4231</v>
      </c>
    </row>
    <row r="2522" spans="2:17">
      <c r="B2522" t="s">
        <v>4232</v>
      </c>
      <c r="C2522" t="s">
        <v>2661</v>
      </c>
      <c r="D2522">
        <v>2.0744072602837402E-3</v>
      </c>
      <c r="E2522" t="s">
        <v>94</v>
      </c>
      <c r="H2522" t="s">
        <v>588</v>
      </c>
      <c r="I2522">
        <v>2.0744072602837402E-3</v>
      </c>
      <c r="J2522">
        <v>1.0247973619913604</v>
      </c>
      <c r="N2522" t="s">
        <v>4233</v>
      </c>
      <c r="O2522" t="s">
        <v>798</v>
      </c>
    </row>
    <row r="2523" spans="2:17">
      <c r="B2523" t="s">
        <v>4232</v>
      </c>
      <c r="C2523" t="s">
        <v>2661</v>
      </c>
      <c r="D2523">
        <v>8.4342396438541103E-3</v>
      </c>
      <c r="E2523" t="s">
        <v>94</v>
      </c>
      <c r="H2523" t="s">
        <v>588</v>
      </c>
      <c r="I2523">
        <v>8.4342396438541103E-3</v>
      </c>
      <c r="J2523">
        <v>1.0247973619913604</v>
      </c>
      <c r="N2523" t="s">
        <v>4233</v>
      </c>
      <c r="O2523" t="s">
        <v>1157</v>
      </c>
    </row>
    <row r="2524" spans="2:17">
      <c r="B2524" t="s">
        <v>4234</v>
      </c>
      <c r="C2524" t="s">
        <v>615</v>
      </c>
      <c r="D2524">
        <v>1.08415442845425E-10</v>
      </c>
      <c r="E2524" t="s">
        <v>616</v>
      </c>
      <c r="H2524" t="s">
        <v>588</v>
      </c>
      <c r="I2524">
        <v>1.08415442845425E-10</v>
      </c>
      <c r="J2524">
        <v>1.0247973619913604</v>
      </c>
      <c r="N2524" t="s">
        <v>4235</v>
      </c>
      <c r="O2524" t="s">
        <v>4236</v>
      </c>
    </row>
    <row r="2525" spans="2:17">
      <c r="B2525" t="s">
        <v>4234</v>
      </c>
      <c r="C2525" t="s">
        <v>615</v>
      </c>
      <c r="D2525">
        <v>9.6671560102890305E-11</v>
      </c>
      <c r="E2525" t="s">
        <v>616</v>
      </c>
      <c r="H2525" t="s">
        <v>588</v>
      </c>
      <c r="I2525">
        <v>9.6671560102890305E-11</v>
      </c>
      <c r="J2525">
        <v>1.0247973619913604</v>
      </c>
      <c r="N2525" t="s">
        <v>4237</v>
      </c>
      <c r="O2525" t="s">
        <v>4238</v>
      </c>
      <c r="Q2525" t="s">
        <v>695</v>
      </c>
    </row>
    <row r="2526" spans="2:17">
      <c r="B2526" t="s">
        <v>4239</v>
      </c>
      <c r="C2526" t="s">
        <v>2739</v>
      </c>
      <c r="D2526">
        <v>4.0101319131685998E-11</v>
      </c>
      <c r="E2526" t="s">
        <v>616</v>
      </c>
      <c r="H2526" t="s">
        <v>588</v>
      </c>
      <c r="I2526">
        <v>4.0101319131685998E-11</v>
      </c>
      <c r="J2526">
        <v>1.681380601046174</v>
      </c>
      <c r="N2526" t="s">
        <v>4240</v>
      </c>
      <c r="O2526" t="s">
        <v>873</v>
      </c>
      <c r="Q2526" t="s">
        <v>2018</v>
      </c>
    </row>
    <row r="2527" spans="2:17">
      <c r="B2527" t="s">
        <v>4239</v>
      </c>
      <c r="C2527" t="s">
        <v>2739</v>
      </c>
      <c r="D2527">
        <v>3.4821430848263198E-11</v>
      </c>
      <c r="E2527" t="s">
        <v>616</v>
      </c>
      <c r="H2527" t="s">
        <v>588</v>
      </c>
      <c r="I2527">
        <v>3.4821430848263198E-11</v>
      </c>
      <c r="J2527">
        <v>1</v>
      </c>
      <c r="N2527" t="s">
        <v>4241</v>
      </c>
      <c r="O2527" t="s">
        <v>798</v>
      </c>
      <c r="Q2527" t="s">
        <v>4242</v>
      </c>
    </row>
    <row r="2528" spans="2:17">
      <c r="B2528" t="s">
        <v>4243</v>
      </c>
      <c r="C2528" t="s">
        <v>2739</v>
      </c>
      <c r="D2528">
        <v>5.4459024195144502E-12</v>
      </c>
      <c r="E2528" t="s">
        <v>616</v>
      </c>
      <c r="H2528" t="s">
        <v>588</v>
      </c>
      <c r="I2528">
        <v>5.4459024195144502E-12</v>
      </c>
      <c r="J2528">
        <v>1.0247973619913604</v>
      </c>
      <c r="N2528" t="s">
        <v>4244</v>
      </c>
      <c r="O2528" t="s">
        <v>1157</v>
      </c>
      <c r="Q2528" t="s">
        <v>4245</v>
      </c>
    </row>
    <row r="2529" spans="2:17">
      <c r="B2529" t="s">
        <v>4246</v>
      </c>
      <c r="C2529" t="s">
        <v>813</v>
      </c>
      <c r="D2529">
        <v>1.2197545785355901E-3</v>
      </c>
      <c r="E2529" t="s">
        <v>94</v>
      </c>
      <c r="H2529" t="s">
        <v>588</v>
      </c>
      <c r="I2529">
        <v>1.2197545785355901E-3</v>
      </c>
      <c r="J2529">
        <v>1.0247973619913604</v>
      </c>
      <c r="N2529" t="s">
        <v>4247</v>
      </c>
      <c r="O2529" t="s">
        <v>1765</v>
      </c>
      <c r="Q2529" t="s">
        <v>4248</v>
      </c>
    </row>
    <row r="2530" spans="2:17">
      <c r="B2530" t="s">
        <v>4246</v>
      </c>
      <c r="C2530" t="s">
        <v>813</v>
      </c>
      <c r="D2530">
        <v>0.127593027319401</v>
      </c>
      <c r="E2530" t="s">
        <v>94</v>
      </c>
      <c r="H2530" t="s">
        <v>1733</v>
      </c>
      <c r="I2530">
        <v>0.127593027319401</v>
      </c>
      <c r="K2530">
        <v>0.127593027319401</v>
      </c>
      <c r="L2530">
        <v>0.127593027319401</v>
      </c>
      <c r="N2530" t="s">
        <v>4249</v>
      </c>
      <c r="O2530" t="s">
        <v>1657</v>
      </c>
      <c r="Q2530" t="s">
        <v>4250</v>
      </c>
    </row>
    <row r="2531" spans="2:17">
      <c r="B2531" t="s">
        <v>4246</v>
      </c>
      <c r="C2531" t="s">
        <v>813</v>
      </c>
      <c r="D2531">
        <v>0.22547752663408499</v>
      </c>
      <c r="E2531" t="s">
        <v>94</v>
      </c>
      <c r="H2531" t="s">
        <v>1733</v>
      </c>
      <c r="I2531">
        <v>0.22547752663408499</v>
      </c>
      <c r="K2531">
        <v>0.22547752663408499</v>
      </c>
      <c r="L2531">
        <v>0.22547752663408499</v>
      </c>
      <c r="N2531" t="s">
        <v>4249</v>
      </c>
      <c r="O2531" t="s">
        <v>2045</v>
      </c>
      <c r="Q2531" t="s">
        <v>4250</v>
      </c>
    </row>
    <row r="2532" spans="2:17">
      <c r="B2532" t="s">
        <v>4246</v>
      </c>
      <c r="C2532" t="s">
        <v>813</v>
      </c>
      <c r="D2532">
        <v>0.239815163466162</v>
      </c>
      <c r="E2532" t="s">
        <v>94</v>
      </c>
      <c r="H2532" t="s">
        <v>1733</v>
      </c>
      <c r="I2532">
        <v>0.239815163466162</v>
      </c>
      <c r="K2532">
        <v>0.239815163466162</v>
      </c>
      <c r="L2532">
        <v>0.239815163466162</v>
      </c>
      <c r="N2532" t="s">
        <v>4249</v>
      </c>
      <c r="O2532" t="s">
        <v>2045</v>
      </c>
      <c r="Q2532" t="s">
        <v>4250</v>
      </c>
    </row>
    <row r="2533" spans="2:17">
      <c r="B2533" t="s">
        <v>4251</v>
      </c>
      <c r="C2533" t="s">
        <v>639</v>
      </c>
      <c r="D2533">
        <v>0.23120769339780101</v>
      </c>
      <c r="E2533" t="s">
        <v>640</v>
      </c>
      <c r="H2533" t="s">
        <v>588</v>
      </c>
      <c r="I2533">
        <v>0.23120769339780101</v>
      </c>
      <c r="J2533">
        <v>1.0247973619913604</v>
      </c>
      <c r="O2533" t="s">
        <v>641</v>
      </c>
      <c r="Q2533" t="s">
        <v>1643</v>
      </c>
    </row>
    <row r="2534" spans="2:17">
      <c r="B2534" t="s">
        <v>812</v>
      </c>
      <c r="C2534" t="s">
        <v>813</v>
      </c>
      <c r="D2534">
        <v>0.17605317242608801</v>
      </c>
      <c r="E2534" t="s">
        <v>94</v>
      </c>
      <c r="H2534" t="s">
        <v>588</v>
      </c>
      <c r="I2534">
        <v>0.17605317242608801</v>
      </c>
      <c r="J2534">
        <v>1.073270660257192</v>
      </c>
      <c r="N2534" t="s">
        <v>814</v>
      </c>
      <c r="O2534" t="s">
        <v>1649</v>
      </c>
      <c r="Q2534" t="s">
        <v>4252</v>
      </c>
    </row>
    <row r="2535" spans="2:17">
      <c r="B2535" t="s">
        <v>812</v>
      </c>
      <c r="C2535" t="s">
        <v>813</v>
      </c>
      <c r="D2535">
        <v>9.9179372288256198E-2</v>
      </c>
      <c r="E2535" t="s">
        <v>94</v>
      </c>
      <c r="H2535" t="s">
        <v>588</v>
      </c>
      <c r="I2535">
        <v>9.9179372288256198E-2</v>
      </c>
      <c r="J2535">
        <v>1.073270660257192</v>
      </c>
      <c r="N2535" t="s">
        <v>814</v>
      </c>
      <c r="O2535" t="s">
        <v>1649</v>
      </c>
      <c r="Q2535" t="s">
        <v>4252</v>
      </c>
    </row>
    <row r="2536" spans="2:17">
      <c r="B2536" t="s">
        <v>812</v>
      </c>
      <c r="C2536" t="s">
        <v>813</v>
      </c>
      <c r="D2536">
        <v>9.4599129365801796E-2</v>
      </c>
      <c r="E2536" t="s">
        <v>94</v>
      </c>
      <c r="H2536" t="s">
        <v>588</v>
      </c>
      <c r="I2536">
        <v>9.4599129365801796E-2</v>
      </c>
      <c r="J2536">
        <v>1.6275285290387915</v>
      </c>
      <c r="N2536" t="s">
        <v>814</v>
      </c>
      <c r="O2536" t="s">
        <v>1157</v>
      </c>
      <c r="Q2536" t="s">
        <v>4253</v>
      </c>
    </row>
    <row r="2537" spans="2:17">
      <c r="B2537" t="s">
        <v>812</v>
      </c>
      <c r="C2537" t="s">
        <v>813</v>
      </c>
      <c r="D2537">
        <v>0.32292841651867699</v>
      </c>
      <c r="E2537" t="s">
        <v>94</v>
      </c>
      <c r="H2537" t="s">
        <v>588</v>
      </c>
      <c r="I2537">
        <v>0.32292841651867699</v>
      </c>
      <c r="J2537">
        <v>1.1051709180756477</v>
      </c>
      <c r="N2537" t="s">
        <v>814</v>
      </c>
      <c r="O2537" t="s">
        <v>956</v>
      </c>
      <c r="Q2537" t="s">
        <v>4254</v>
      </c>
    </row>
    <row r="2538" spans="2:17">
      <c r="B2538" t="s">
        <v>812</v>
      </c>
      <c r="C2538" t="s">
        <v>813</v>
      </c>
      <c r="D2538">
        <v>0.109449846502958</v>
      </c>
      <c r="E2538" t="s">
        <v>94</v>
      </c>
      <c r="H2538" t="s">
        <v>588</v>
      </c>
      <c r="I2538">
        <v>0.109449846502958</v>
      </c>
      <c r="J2538">
        <v>1.6275285290387915</v>
      </c>
      <c r="N2538" t="s">
        <v>814</v>
      </c>
      <c r="O2538" t="s">
        <v>1157</v>
      </c>
      <c r="Q2538" t="s">
        <v>4253</v>
      </c>
    </row>
    <row r="2539" spans="2:17">
      <c r="B2539" t="s">
        <v>812</v>
      </c>
      <c r="C2539" t="s">
        <v>813</v>
      </c>
      <c r="D2539">
        <v>0.98258034995618304</v>
      </c>
      <c r="E2539" t="s">
        <v>94</v>
      </c>
      <c r="H2539" t="s">
        <v>588</v>
      </c>
      <c r="I2539">
        <v>0.98258034995618304</v>
      </c>
      <c r="J2539">
        <v>1.6275285290387915</v>
      </c>
      <c r="N2539" t="s">
        <v>814</v>
      </c>
      <c r="O2539" t="s">
        <v>1157</v>
      </c>
      <c r="Q2539" t="s">
        <v>4253</v>
      </c>
    </row>
    <row r="2540" spans="2:17">
      <c r="B2540" t="s">
        <v>812</v>
      </c>
      <c r="C2540" t="s">
        <v>813</v>
      </c>
      <c r="D2540">
        <v>0.64264300677880104</v>
      </c>
      <c r="E2540" t="s">
        <v>94</v>
      </c>
      <c r="H2540" t="s">
        <v>588</v>
      </c>
      <c r="I2540">
        <v>0.64264300677880104</v>
      </c>
      <c r="J2540">
        <v>1.6275285290387915</v>
      </c>
      <c r="N2540" t="s">
        <v>814</v>
      </c>
      <c r="O2540" t="s">
        <v>1157</v>
      </c>
      <c r="Q2540" t="s">
        <v>4253</v>
      </c>
    </row>
    <row r="2541" spans="2:17">
      <c r="B2541" t="s">
        <v>812</v>
      </c>
      <c r="C2541" t="s">
        <v>813</v>
      </c>
      <c r="D2541">
        <v>5.0373639866198097E-2</v>
      </c>
      <c r="E2541" t="s">
        <v>94</v>
      </c>
      <c r="H2541" t="s">
        <v>588</v>
      </c>
      <c r="I2541">
        <v>5.0373639866198097E-2</v>
      </c>
      <c r="J2541">
        <v>1.6275285290387915</v>
      </c>
      <c r="N2541" t="s">
        <v>814</v>
      </c>
      <c r="O2541" t="s">
        <v>1157</v>
      </c>
      <c r="Q2541" t="s">
        <v>4253</v>
      </c>
    </row>
    <row r="2542" spans="2:17">
      <c r="B2542" t="s">
        <v>812</v>
      </c>
      <c r="C2542" t="s">
        <v>813</v>
      </c>
      <c r="D2542">
        <v>0.92040525654204297</v>
      </c>
      <c r="E2542" t="s">
        <v>94</v>
      </c>
      <c r="H2542" t="s">
        <v>588</v>
      </c>
      <c r="I2542">
        <v>0.92040525654204297</v>
      </c>
      <c r="J2542">
        <v>1</v>
      </c>
      <c r="N2542" t="s">
        <v>814</v>
      </c>
      <c r="O2542" t="s">
        <v>1082</v>
      </c>
      <c r="Q2542" t="s">
        <v>595</v>
      </c>
    </row>
    <row r="2543" spans="2:17">
      <c r="B2543" t="s">
        <v>812</v>
      </c>
      <c r="C2543" t="s">
        <v>813</v>
      </c>
      <c r="D2543">
        <v>0.48675191458768702</v>
      </c>
      <c r="E2543" t="s">
        <v>94</v>
      </c>
      <c r="H2543" t="s">
        <v>588</v>
      </c>
      <c r="I2543">
        <v>0.48675191458768702</v>
      </c>
      <c r="J2543">
        <v>1.1051709180756477</v>
      </c>
      <c r="N2543" t="s">
        <v>814</v>
      </c>
      <c r="O2543" t="s">
        <v>956</v>
      </c>
      <c r="Q2543" t="s">
        <v>4255</v>
      </c>
    </row>
    <row r="2544" spans="2:17">
      <c r="B2544" t="s">
        <v>812</v>
      </c>
      <c r="C2544" t="s">
        <v>813</v>
      </c>
      <c r="D2544">
        <v>1.66320073583535</v>
      </c>
      <c r="E2544" t="s">
        <v>94</v>
      </c>
      <c r="H2544" t="s">
        <v>588</v>
      </c>
      <c r="I2544">
        <v>1.66320073583535</v>
      </c>
      <c r="J2544">
        <v>1</v>
      </c>
      <c r="N2544" t="s">
        <v>814</v>
      </c>
      <c r="O2544" t="s">
        <v>1082</v>
      </c>
      <c r="Q2544" t="s">
        <v>595</v>
      </c>
    </row>
    <row r="2545" spans="2:17">
      <c r="B2545" t="s">
        <v>812</v>
      </c>
      <c r="C2545" t="s">
        <v>813</v>
      </c>
      <c r="D2545">
        <v>0.104911518181075</v>
      </c>
      <c r="E2545" t="s">
        <v>94</v>
      </c>
      <c r="H2545" t="s">
        <v>588</v>
      </c>
      <c r="I2545">
        <v>0.104911518181075</v>
      </c>
      <c r="J2545">
        <v>1.073270660257192</v>
      </c>
      <c r="N2545" t="s">
        <v>814</v>
      </c>
      <c r="O2545" t="s">
        <v>1649</v>
      </c>
      <c r="Q2545" t="s">
        <v>4252</v>
      </c>
    </row>
    <row r="2546" spans="2:17">
      <c r="B2546" t="s">
        <v>812</v>
      </c>
      <c r="C2546" t="s">
        <v>813</v>
      </c>
      <c r="D2546">
        <v>9.2520101191087695E-2</v>
      </c>
      <c r="E2546" t="s">
        <v>94</v>
      </c>
      <c r="H2546" t="s">
        <v>588</v>
      </c>
      <c r="I2546">
        <v>9.2520101191087695E-2</v>
      </c>
      <c r="J2546">
        <v>1</v>
      </c>
      <c r="N2546" t="s">
        <v>814</v>
      </c>
      <c r="O2546" t="s">
        <v>956</v>
      </c>
      <c r="Q2546" t="s">
        <v>4252</v>
      </c>
    </row>
    <row r="2547" spans="2:17">
      <c r="B2547" t="s">
        <v>1508</v>
      </c>
      <c r="C2547" t="s">
        <v>813</v>
      </c>
      <c r="D2547">
        <v>7.9890955678827702E-3</v>
      </c>
      <c r="E2547" t="s">
        <v>94</v>
      </c>
      <c r="H2547" t="s">
        <v>588</v>
      </c>
      <c r="I2547">
        <v>7.9890955678827702E-3</v>
      </c>
      <c r="J2547">
        <v>1.0247973619913604</v>
      </c>
      <c r="N2547" t="s">
        <v>1509</v>
      </c>
      <c r="O2547" t="s">
        <v>641</v>
      </c>
      <c r="Q2547" t="s">
        <v>1672</v>
      </c>
    </row>
    <row r="2548" spans="2:17">
      <c r="B2548" t="s">
        <v>1508</v>
      </c>
      <c r="C2548" t="s">
        <v>813</v>
      </c>
      <c r="D2548">
        <v>1.3242825937303099E-3</v>
      </c>
      <c r="E2548" t="s">
        <v>94</v>
      </c>
      <c r="H2548" t="s">
        <v>588</v>
      </c>
      <c r="I2548">
        <v>1.3242825937303099E-3</v>
      </c>
      <c r="J2548">
        <v>1.0247973619913604</v>
      </c>
      <c r="N2548" t="s">
        <v>1509</v>
      </c>
      <c r="O2548" t="s">
        <v>641</v>
      </c>
      <c r="Q2548" t="s">
        <v>1672</v>
      </c>
    </row>
    <row r="2549" spans="2:17">
      <c r="B2549" t="s">
        <v>1508</v>
      </c>
      <c r="C2549" t="s">
        <v>813</v>
      </c>
      <c r="D2549">
        <v>1.10512681025605E-4</v>
      </c>
      <c r="E2549" t="s">
        <v>94</v>
      </c>
      <c r="H2549" t="s">
        <v>588</v>
      </c>
      <c r="I2549">
        <v>1.10512681025605E-4</v>
      </c>
      <c r="J2549">
        <v>1.0247973619913604</v>
      </c>
      <c r="N2549" t="s">
        <v>1509</v>
      </c>
      <c r="O2549" t="s">
        <v>641</v>
      </c>
      <c r="Q2549" t="s">
        <v>1672</v>
      </c>
    </row>
    <row r="2550" spans="2:17">
      <c r="B2550" t="s">
        <v>4256</v>
      </c>
      <c r="C2550" t="s">
        <v>2023</v>
      </c>
      <c r="D2550">
        <v>1.75918600456882E-6</v>
      </c>
      <c r="E2550" t="s">
        <v>640</v>
      </c>
      <c r="H2550" t="s">
        <v>588</v>
      </c>
      <c r="I2550">
        <v>1.75918600456882E-6</v>
      </c>
      <c r="J2550">
        <v>1.0805386501323246</v>
      </c>
      <c r="O2550" t="s">
        <v>4257</v>
      </c>
      <c r="Q2550" t="s">
        <v>4258</v>
      </c>
    </row>
    <row r="2551" spans="2:17">
      <c r="B2551" t="s">
        <v>4259</v>
      </c>
      <c r="C2551" t="s">
        <v>639</v>
      </c>
      <c r="D2551">
        <v>3.0217749577490398E-4</v>
      </c>
      <c r="E2551" t="s">
        <v>640</v>
      </c>
      <c r="H2551" t="s">
        <v>588</v>
      </c>
      <c r="I2551">
        <v>3.0217749577490398E-4</v>
      </c>
      <c r="J2551">
        <v>1.0247973619913604</v>
      </c>
      <c r="O2551" t="s">
        <v>641</v>
      </c>
      <c r="Q2551" t="s">
        <v>1643</v>
      </c>
    </row>
    <row r="2552" spans="2:17">
      <c r="B2552" t="s">
        <v>4260</v>
      </c>
      <c r="C2552" t="s">
        <v>639</v>
      </c>
      <c r="D2552">
        <v>5.2026863233963503E-3</v>
      </c>
      <c r="E2552" t="s">
        <v>640</v>
      </c>
      <c r="H2552" t="s">
        <v>588</v>
      </c>
      <c r="I2552">
        <v>5.2026863233963503E-3</v>
      </c>
      <c r="J2552">
        <v>1</v>
      </c>
      <c r="O2552" t="s">
        <v>859</v>
      </c>
      <c r="Q2552" t="s">
        <v>4242</v>
      </c>
    </row>
    <row r="2553" spans="2:17">
      <c r="B2553" t="s">
        <v>969</v>
      </c>
      <c r="C2553" t="s">
        <v>639</v>
      </c>
      <c r="D2553">
        <v>2.3157197980576499E-2</v>
      </c>
      <c r="E2553" t="s">
        <v>640</v>
      </c>
      <c r="H2553" t="s">
        <v>588</v>
      </c>
      <c r="I2553">
        <v>2.3157197980576499E-2</v>
      </c>
      <c r="J2553">
        <v>1</v>
      </c>
      <c r="O2553" t="s">
        <v>1157</v>
      </c>
      <c r="Q2553" t="s">
        <v>4261</v>
      </c>
    </row>
    <row r="2554" spans="2:17">
      <c r="B2554" t="s">
        <v>4262</v>
      </c>
      <c r="C2554" t="s">
        <v>639</v>
      </c>
      <c r="D2554">
        <v>2.51870155620837E-5</v>
      </c>
      <c r="E2554" t="s">
        <v>640</v>
      </c>
      <c r="H2554" t="s">
        <v>588</v>
      </c>
      <c r="I2554">
        <v>2.51870155620837E-5</v>
      </c>
      <c r="J2554">
        <v>1</v>
      </c>
      <c r="O2554" t="s">
        <v>4263</v>
      </c>
      <c r="Q2554" t="s">
        <v>4264</v>
      </c>
    </row>
    <row r="2555" spans="2:17">
      <c r="B2555" t="s">
        <v>4265</v>
      </c>
      <c r="C2555" t="s">
        <v>813</v>
      </c>
      <c r="D2555">
        <v>5.7030085437085795E-4</v>
      </c>
      <c r="E2555" t="s">
        <v>94</v>
      </c>
      <c r="H2555" t="s">
        <v>588</v>
      </c>
      <c r="I2555">
        <v>5.7030085437085795E-4</v>
      </c>
      <c r="J2555">
        <v>1</v>
      </c>
      <c r="N2555" t="s">
        <v>4266</v>
      </c>
      <c r="O2555" t="s">
        <v>798</v>
      </c>
      <c r="Q2555" t="s">
        <v>811</v>
      </c>
    </row>
    <row r="2556" spans="2:17">
      <c r="B2556" t="s">
        <v>4265</v>
      </c>
      <c r="C2556" t="s">
        <v>813</v>
      </c>
      <c r="D2556">
        <v>6.1129533523668095E-4</v>
      </c>
      <c r="E2556" t="s">
        <v>94</v>
      </c>
      <c r="H2556" t="s">
        <v>588</v>
      </c>
      <c r="I2556">
        <v>6.1129533523668095E-4</v>
      </c>
      <c r="J2556">
        <v>1</v>
      </c>
      <c r="N2556" t="s">
        <v>4266</v>
      </c>
      <c r="O2556" t="s">
        <v>798</v>
      </c>
      <c r="Q2556" t="s">
        <v>811</v>
      </c>
    </row>
    <row r="2557" spans="2:17">
      <c r="B2557" t="s">
        <v>4265</v>
      </c>
      <c r="C2557" t="s">
        <v>813</v>
      </c>
      <c r="D2557">
        <v>3.2952916019873699E-4</v>
      </c>
      <c r="E2557" t="s">
        <v>94</v>
      </c>
      <c r="H2557" t="s">
        <v>588</v>
      </c>
      <c r="I2557">
        <v>3.2952916019873699E-4</v>
      </c>
      <c r="J2557">
        <v>1</v>
      </c>
      <c r="N2557" t="s">
        <v>4266</v>
      </c>
      <c r="O2557" t="s">
        <v>798</v>
      </c>
      <c r="Q2557" t="s">
        <v>811</v>
      </c>
    </row>
    <row r="2558" spans="2:17">
      <c r="B2558" t="s">
        <v>4267</v>
      </c>
      <c r="C2558" t="s">
        <v>639</v>
      </c>
      <c r="D2558">
        <v>1.3401507166717201E-2</v>
      </c>
      <c r="E2558" t="s">
        <v>640</v>
      </c>
      <c r="H2558" t="s">
        <v>588</v>
      </c>
      <c r="I2558">
        <v>1.3401507166717201E-2</v>
      </c>
      <c r="J2558">
        <v>1</v>
      </c>
      <c r="O2558" t="s">
        <v>1002</v>
      </c>
      <c r="Q2558" t="s">
        <v>4268</v>
      </c>
    </row>
    <row r="2559" spans="2:17">
      <c r="B2559" t="s">
        <v>4267</v>
      </c>
      <c r="C2559" t="s">
        <v>587</v>
      </c>
      <c r="D2559">
        <v>8.2631916811162499E-5</v>
      </c>
      <c r="E2559" t="s">
        <v>640</v>
      </c>
      <c r="H2559" t="s">
        <v>588</v>
      </c>
      <c r="I2559">
        <v>8.2631916811162499E-5</v>
      </c>
      <c r="J2559">
        <v>1.4049000000004648</v>
      </c>
      <c r="O2559" t="s">
        <v>1758</v>
      </c>
      <c r="Q2559" t="s">
        <v>4269</v>
      </c>
    </row>
    <row r="2560" spans="2:17">
      <c r="B2560" t="s">
        <v>879</v>
      </c>
      <c r="C2560" t="s">
        <v>639</v>
      </c>
      <c r="D2560">
        <v>2.3702003920927101E-4</v>
      </c>
      <c r="E2560" t="s">
        <v>640</v>
      </c>
      <c r="H2560" t="s">
        <v>588</v>
      </c>
      <c r="I2560">
        <v>2.3702003920927101E-4</v>
      </c>
      <c r="J2560">
        <v>1.0247973619913604</v>
      </c>
      <c r="O2560" t="s">
        <v>641</v>
      </c>
      <c r="Q2560" t="s">
        <v>1643</v>
      </c>
    </row>
    <row r="2561" spans="2:17">
      <c r="B2561" t="s">
        <v>1512</v>
      </c>
      <c r="C2561" t="s">
        <v>664</v>
      </c>
      <c r="D2561">
        <v>1.28539998341477E-4</v>
      </c>
      <c r="E2561" t="s">
        <v>94</v>
      </c>
      <c r="H2561" t="s">
        <v>588</v>
      </c>
      <c r="I2561">
        <v>1.28539998341477E-4</v>
      </c>
      <c r="J2561">
        <v>1.0247973619913604</v>
      </c>
      <c r="N2561" t="s">
        <v>1513</v>
      </c>
      <c r="O2561" t="s">
        <v>3767</v>
      </c>
      <c r="Q2561" t="s">
        <v>4270</v>
      </c>
    </row>
    <row r="2562" spans="2:17">
      <c r="B2562" t="s">
        <v>4271</v>
      </c>
      <c r="C2562" t="s">
        <v>1417</v>
      </c>
      <c r="D2562">
        <v>1.22515880686663E-5</v>
      </c>
      <c r="E2562" t="s">
        <v>1171</v>
      </c>
      <c r="H2562" t="s">
        <v>588</v>
      </c>
      <c r="I2562">
        <v>1.22515880686663E-5</v>
      </c>
      <c r="J2562">
        <v>1.2214027581601699</v>
      </c>
      <c r="N2562" t="s">
        <v>4272</v>
      </c>
      <c r="O2562" t="s">
        <v>3548</v>
      </c>
      <c r="Q2562" t="s">
        <v>595</v>
      </c>
    </row>
    <row r="2563" spans="2:17">
      <c r="B2563" t="s">
        <v>4273</v>
      </c>
      <c r="C2563" t="s">
        <v>1417</v>
      </c>
      <c r="D2563">
        <v>5.0099209812242002E-3</v>
      </c>
      <c r="E2563" t="s">
        <v>1171</v>
      </c>
      <c r="H2563" t="s">
        <v>588</v>
      </c>
      <c r="I2563">
        <v>5.0099209812242002E-3</v>
      </c>
      <c r="J2563">
        <v>1.0247973619913604</v>
      </c>
      <c r="N2563" t="s">
        <v>4274</v>
      </c>
      <c r="O2563" t="s">
        <v>1695</v>
      </c>
      <c r="Q2563" t="s">
        <v>1747</v>
      </c>
    </row>
    <row r="2564" spans="2:17">
      <c r="B2564" t="s">
        <v>4275</v>
      </c>
      <c r="C2564" t="s">
        <v>1417</v>
      </c>
      <c r="D2564">
        <v>3.7767663426108301E-2</v>
      </c>
      <c r="E2564" t="s">
        <v>1171</v>
      </c>
      <c r="H2564" t="s">
        <v>588</v>
      </c>
      <c r="I2564">
        <v>3.7767663426108301E-2</v>
      </c>
      <c r="J2564">
        <v>1.0247973619913604</v>
      </c>
      <c r="N2564" t="s">
        <v>4276</v>
      </c>
      <c r="O2564" t="s">
        <v>1827</v>
      </c>
      <c r="Q2564" t="s">
        <v>4277</v>
      </c>
    </row>
    <row r="2565" spans="2:17">
      <c r="B2565" t="s">
        <v>4278</v>
      </c>
      <c r="C2565" t="s">
        <v>3862</v>
      </c>
      <c r="D2565">
        <v>2.0771959969839301E-6</v>
      </c>
      <c r="E2565" t="s">
        <v>94</v>
      </c>
      <c r="H2565" t="s">
        <v>588</v>
      </c>
      <c r="I2565">
        <v>2.0771959969839301E-6</v>
      </c>
      <c r="J2565">
        <v>1.0247973619913604</v>
      </c>
      <c r="N2565" t="s">
        <v>4279</v>
      </c>
      <c r="O2565" t="s">
        <v>2536</v>
      </c>
      <c r="Q2565" t="s">
        <v>4280</v>
      </c>
    </row>
    <row r="2566" spans="2:17">
      <c r="B2566" t="s">
        <v>4281</v>
      </c>
      <c r="C2566" t="s">
        <v>4282</v>
      </c>
      <c r="D2566">
        <v>8.9477343355459903E-6</v>
      </c>
      <c r="E2566" t="s">
        <v>94</v>
      </c>
      <c r="H2566" t="s">
        <v>588</v>
      </c>
      <c r="I2566">
        <v>8.9477343355459903E-6</v>
      </c>
      <c r="J2566">
        <v>1.0247973619913604</v>
      </c>
      <c r="N2566" t="s">
        <v>4283</v>
      </c>
      <c r="O2566" t="s">
        <v>2536</v>
      </c>
      <c r="Q2566" t="s">
        <v>4284</v>
      </c>
    </row>
    <row r="2567" spans="2:17">
      <c r="B2567" t="s">
        <v>4285</v>
      </c>
      <c r="C2567" t="s">
        <v>1830</v>
      </c>
      <c r="D2567">
        <v>6.2834191644061896E-5</v>
      </c>
      <c r="E2567" t="s">
        <v>94</v>
      </c>
      <c r="H2567" t="s">
        <v>588</v>
      </c>
      <c r="I2567">
        <v>6.2834191644061896E-5</v>
      </c>
      <c r="J2567">
        <v>1.0247973619913604</v>
      </c>
      <c r="N2567" t="s">
        <v>4286</v>
      </c>
      <c r="O2567" t="s">
        <v>1806</v>
      </c>
      <c r="Q2567" t="s">
        <v>1728</v>
      </c>
    </row>
    <row r="2568" spans="2:17">
      <c r="B2568" t="s">
        <v>4285</v>
      </c>
      <c r="C2568" t="s">
        <v>1830</v>
      </c>
      <c r="D2568">
        <v>2.3675590749832999E-5</v>
      </c>
      <c r="E2568" t="s">
        <v>94</v>
      </c>
      <c r="N2568" t="s">
        <v>4287</v>
      </c>
    </row>
    <row r="2569" spans="2:17">
      <c r="B2569" t="s">
        <v>4285</v>
      </c>
      <c r="C2569" t="s">
        <v>1830</v>
      </c>
      <c r="D2569">
        <v>3.5716179256478701E-5</v>
      </c>
      <c r="E2569" t="s">
        <v>94</v>
      </c>
      <c r="N2569" t="s">
        <v>4287</v>
      </c>
    </row>
    <row r="2570" spans="2:17">
      <c r="B2570" t="s">
        <v>4285</v>
      </c>
      <c r="C2570" t="s">
        <v>1830</v>
      </c>
      <c r="D2570">
        <v>1.33712675769426E-6</v>
      </c>
      <c r="E2570" t="s">
        <v>94</v>
      </c>
      <c r="N2570" t="s">
        <v>4287</v>
      </c>
    </row>
    <row r="2571" spans="2:17">
      <c r="B2571" t="s">
        <v>4285</v>
      </c>
      <c r="C2571" t="s">
        <v>1830</v>
      </c>
      <c r="D2571">
        <v>4.6288936693651E-4</v>
      </c>
      <c r="E2571" t="s">
        <v>94</v>
      </c>
      <c r="N2571" t="s">
        <v>4287</v>
      </c>
    </row>
    <row r="2572" spans="2:17">
      <c r="B2572" t="s">
        <v>4288</v>
      </c>
      <c r="C2572" t="s">
        <v>664</v>
      </c>
      <c r="D2572">
        <v>9.8349854581507005E-7</v>
      </c>
      <c r="E2572" t="s">
        <v>94</v>
      </c>
      <c r="H2572" t="s">
        <v>588</v>
      </c>
      <c r="I2572">
        <v>9.8349854581507005E-7</v>
      </c>
      <c r="J2572">
        <v>1.0247973619913604</v>
      </c>
      <c r="N2572" t="s">
        <v>4289</v>
      </c>
      <c r="O2572" t="s">
        <v>4290</v>
      </c>
      <c r="Q2572" t="s">
        <v>4291</v>
      </c>
    </row>
    <row r="2573" spans="2:17">
      <c r="B2573" t="s">
        <v>4292</v>
      </c>
      <c r="C2573" t="s">
        <v>2626</v>
      </c>
      <c r="D2573">
        <v>3.5762452148561199E-3</v>
      </c>
      <c r="E2573" t="s">
        <v>616</v>
      </c>
      <c r="H2573" t="s">
        <v>588</v>
      </c>
      <c r="I2573">
        <v>3.5762452148561199E-3</v>
      </c>
      <c r="J2573">
        <v>1.0247973619913604</v>
      </c>
      <c r="N2573" t="s">
        <v>4293</v>
      </c>
      <c r="O2573" t="s">
        <v>834</v>
      </c>
      <c r="Q2573" t="s">
        <v>4294</v>
      </c>
    </row>
    <row r="2574" spans="2:17">
      <c r="B2574" t="s">
        <v>4292</v>
      </c>
      <c r="C2574" t="s">
        <v>2626</v>
      </c>
      <c r="D2574">
        <v>3.5907814662685601E-3</v>
      </c>
      <c r="E2574" t="s">
        <v>616</v>
      </c>
      <c r="H2574" t="s">
        <v>588</v>
      </c>
      <c r="I2574">
        <v>3.5907814662685601E-3</v>
      </c>
      <c r="J2574">
        <v>1.0247973619913604</v>
      </c>
      <c r="N2574" t="s">
        <v>4295</v>
      </c>
      <c r="O2574" t="s">
        <v>834</v>
      </c>
      <c r="Q2574" t="s">
        <v>4296</v>
      </c>
    </row>
    <row r="2575" spans="2:17">
      <c r="B2575" t="s">
        <v>4297</v>
      </c>
      <c r="C2575" t="s">
        <v>2363</v>
      </c>
      <c r="D2575">
        <v>3.5610010646580598E-6</v>
      </c>
      <c r="E2575" t="s">
        <v>626</v>
      </c>
      <c r="H2575" t="s">
        <v>588</v>
      </c>
      <c r="I2575">
        <v>3.5610010646580598E-6</v>
      </c>
      <c r="J2575">
        <v>1.0247973619913604</v>
      </c>
      <c r="N2575" t="s">
        <v>4298</v>
      </c>
      <c r="O2575" t="s">
        <v>952</v>
      </c>
      <c r="Q2575" t="s">
        <v>4299</v>
      </c>
    </row>
    <row r="2576" spans="2:17">
      <c r="B2576" t="s">
        <v>4300</v>
      </c>
      <c r="C2576" t="s">
        <v>2356</v>
      </c>
      <c r="D2576">
        <v>1.38040312294907E-6</v>
      </c>
      <c r="E2576" t="s">
        <v>626</v>
      </c>
      <c r="H2576" t="s">
        <v>588</v>
      </c>
      <c r="I2576">
        <v>1.38040312294907E-6</v>
      </c>
      <c r="J2576">
        <v>1.0247973619913604</v>
      </c>
      <c r="N2576" t="s">
        <v>4301</v>
      </c>
      <c r="O2576" t="s">
        <v>1713</v>
      </c>
      <c r="Q2576" t="s">
        <v>4299</v>
      </c>
    </row>
    <row r="2577" spans="2:17">
      <c r="B2577" t="s">
        <v>4302</v>
      </c>
      <c r="C2577" t="s">
        <v>2363</v>
      </c>
      <c r="D2577">
        <v>5.1474965861337701E-8</v>
      </c>
      <c r="E2577" t="s">
        <v>626</v>
      </c>
      <c r="H2577" t="s">
        <v>588</v>
      </c>
      <c r="I2577">
        <v>5.1474965861337701E-8</v>
      </c>
      <c r="J2577">
        <v>1.0247973619913604</v>
      </c>
      <c r="N2577" t="s">
        <v>4303</v>
      </c>
      <c r="O2577" t="s">
        <v>2220</v>
      </c>
      <c r="Q2577" t="s">
        <v>4304</v>
      </c>
    </row>
    <row r="2578" spans="2:17">
      <c r="B2578" t="s">
        <v>1515</v>
      </c>
      <c r="C2578" t="s">
        <v>667</v>
      </c>
      <c r="D2578">
        <v>6.0892604540366897E-4</v>
      </c>
      <c r="E2578" t="s">
        <v>94</v>
      </c>
      <c r="H2578" t="s">
        <v>588</v>
      </c>
      <c r="I2578">
        <v>6.0892604540366897E-4</v>
      </c>
      <c r="J2578">
        <v>1.2214027581601699</v>
      </c>
      <c r="N2578" t="s">
        <v>1516</v>
      </c>
      <c r="O2578" t="s">
        <v>1145</v>
      </c>
      <c r="Q2578" t="s">
        <v>595</v>
      </c>
    </row>
    <row r="2579" spans="2:17">
      <c r="B2579" t="s">
        <v>1515</v>
      </c>
      <c r="C2579" t="s">
        <v>667</v>
      </c>
      <c r="D2579">
        <v>1.3987500324340501E-5</v>
      </c>
      <c r="E2579" t="s">
        <v>94</v>
      </c>
      <c r="H2579" t="s">
        <v>588</v>
      </c>
      <c r="I2579">
        <v>1.3987500324340501E-5</v>
      </c>
      <c r="J2579">
        <v>1.2214027581601699</v>
      </c>
      <c r="N2579" t="s">
        <v>4305</v>
      </c>
      <c r="O2579" t="s">
        <v>1708</v>
      </c>
      <c r="Q2579" t="s">
        <v>595</v>
      </c>
    </row>
    <row r="2580" spans="2:17">
      <c r="B2580" t="s">
        <v>4306</v>
      </c>
      <c r="C2580" t="s">
        <v>821</v>
      </c>
      <c r="D2580">
        <v>1.9797968379496001E-4</v>
      </c>
      <c r="E2580" t="s">
        <v>94</v>
      </c>
      <c r="H2580" t="s">
        <v>588</v>
      </c>
      <c r="I2580">
        <v>1.9797968379496001E-4</v>
      </c>
      <c r="J2580">
        <v>1.0247973619913604</v>
      </c>
      <c r="N2580" t="s">
        <v>4307</v>
      </c>
      <c r="O2580" t="s">
        <v>956</v>
      </c>
      <c r="Q2580" t="s">
        <v>695</v>
      </c>
    </row>
    <row r="2581" spans="2:17">
      <c r="B2581" t="s">
        <v>4306</v>
      </c>
      <c r="C2581" t="s">
        <v>821</v>
      </c>
      <c r="D2581">
        <v>4.66041717987187E-4</v>
      </c>
      <c r="E2581" t="s">
        <v>94</v>
      </c>
      <c r="H2581" t="s">
        <v>588</v>
      </c>
      <c r="I2581">
        <v>4.66041717987187E-4</v>
      </c>
      <c r="J2581">
        <v>1.0247973619913604</v>
      </c>
      <c r="N2581" t="s">
        <v>4308</v>
      </c>
      <c r="O2581" t="s">
        <v>4309</v>
      </c>
    </row>
    <row r="2582" spans="2:17">
      <c r="B2582" t="s">
        <v>4310</v>
      </c>
      <c r="C2582" t="s">
        <v>2356</v>
      </c>
      <c r="D2582">
        <v>1.15537260587823E-2</v>
      </c>
      <c r="E2582" t="s">
        <v>94</v>
      </c>
      <c r="H2582" t="s">
        <v>588</v>
      </c>
      <c r="I2582">
        <v>1.15537260587823E-2</v>
      </c>
      <c r="J2582">
        <v>1.0247973619913604</v>
      </c>
      <c r="N2582" t="s">
        <v>4311</v>
      </c>
      <c r="O2582" t="s">
        <v>2004</v>
      </c>
      <c r="Q2582" t="s">
        <v>4312</v>
      </c>
    </row>
    <row r="2583" spans="2:17">
      <c r="B2583" t="s">
        <v>4310</v>
      </c>
      <c r="C2583" t="s">
        <v>2356</v>
      </c>
      <c r="D2583">
        <v>7.7592447729392501E-3</v>
      </c>
      <c r="E2583" t="s">
        <v>94</v>
      </c>
      <c r="H2583" t="s">
        <v>588</v>
      </c>
      <c r="I2583">
        <v>7.7592447729392501E-3</v>
      </c>
      <c r="J2583">
        <v>1.1712995782321958</v>
      </c>
      <c r="N2583" t="s">
        <v>4311</v>
      </c>
      <c r="O2583" t="s">
        <v>2387</v>
      </c>
      <c r="Q2583" t="s">
        <v>4313</v>
      </c>
    </row>
    <row r="2584" spans="2:17">
      <c r="B2584" t="s">
        <v>4314</v>
      </c>
      <c r="C2584" t="s">
        <v>670</v>
      </c>
      <c r="D2584">
        <v>1.88349617211087E-3</v>
      </c>
      <c r="E2584" t="s">
        <v>94</v>
      </c>
      <c r="H2584" t="s">
        <v>588</v>
      </c>
      <c r="I2584">
        <v>1.88349617211087E-3</v>
      </c>
      <c r="J2584">
        <v>1.1712995782321958</v>
      </c>
      <c r="N2584" t="s">
        <v>4315</v>
      </c>
      <c r="O2584" t="s">
        <v>2387</v>
      </c>
    </row>
    <row r="2585" spans="2:17">
      <c r="B2585" t="s">
        <v>4314</v>
      </c>
      <c r="C2585" t="s">
        <v>670</v>
      </c>
      <c r="D2585">
        <v>1.84705683873569E-3</v>
      </c>
      <c r="E2585" t="s">
        <v>94</v>
      </c>
      <c r="H2585" t="s">
        <v>588</v>
      </c>
      <c r="I2585">
        <v>1.84705683873569E-3</v>
      </c>
      <c r="J2585">
        <v>1.1712995782321958</v>
      </c>
      <c r="N2585" t="s">
        <v>4315</v>
      </c>
      <c r="O2585" t="s">
        <v>1157</v>
      </c>
    </row>
    <row r="2586" spans="2:17">
      <c r="B2586" t="s">
        <v>4316</v>
      </c>
      <c r="C2586" t="s">
        <v>1408</v>
      </c>
      <c r="D2586">
        <v>5.76698229051937E-2</v>
      </c>
      <c r="E2586" t="s">
        <v>94</v>
      </c>
      <c r="H2586" t="s">
        <v>588</v>
      </c>
      <c r="I2586">
        <v>5.76698229051937E-2</v>
      </c>
      <c r="J2586">
        <v>3.1273169269509444</v>
      </c>
      <c r="N2586" t="s">
        <v>4317</v>
      </c>
      <c r="O2586" t="s">
        <v>3193</v>
      </c>
      <c r="Q2586" t="s">
        <v>4318</v>
      </c>
    </row>
    <row r="2587" spans="2:17">
      <c r="B2587" t="s">
        <v>4316</v>
      </c>
      <c r="C2587" t="s">
        <v>1408</v>
      </c>
      <c r="D2587">
        <v>5.9129106076021498E-4</v>
      </c>
      <c r="E2587" t="s">
        <v>94</v>
      </c>
      <c r="H2587" t="s">
        <v>588</v>
      </c>
      <c r="I2587">
        <v>5.9129106076021498E-4</v>
      </c>
      <c r="J2587">
        <v>1.6487212707001282</v>
      </c>
      <c r="N2587" t="s">
        <v>4317</v>
      </c>
      <c r="O2587" t="s">
        <v>2387</v>
      </c>
      <c r="Q2587" t="s">
        <v>4319</v>
      </c>
    </row>
    <row r="2588" spans="2:17">
      <c r="B2588" t="s">
        <v>4316</v>
      </c>
      <c r="C2588" t="s">
        <v>1408</v>
      </c>
      <c r="D2588">
        <v>0.25834754203952898</v>
      </c>
      <c r="E2588" t="s">
        <v>94</v>
      </c>
      <c r="H2588" t="s">
        <v>588</v>
      </c>
      <c r="I2588">
        <v>0.25834754203952898</v>
      </c>
      <c r="J2588">
        <v>3.1273169269509444</v>
      </c>
      <c r="N2588" t="s">
        <v>4317</v>
      </c>
      <c r="O2588" t="s">
        <v>3193</v>
      </c>
      <c r="Q2588" t="s">
        <v>4318</v>
      </c>
    </row>
    <row r="2589" spans="2:17">
      <c r="B2589" t="s">
        <v>4316</v>
      </c>
      <c r="C2589" t="s">
        <v>1408</v>
      </c>
      <c r="D2589">
        <v>0.29328380729910603</v>
      </c>
      <c r="E2589" t="s">
        <v>94</v>
      </c>
      <c r="H2589" t="s">
        <v>588</v>
      </c>
      <c r="I2589">
        <v>0.29328380729910603</v>
      </c>
      <c r="J2589">
        <v>1.0247973619913604</v>
      </c>
      <c r="N2589" t="s">
        <v>4317</v>
      </c>
      <c r="O2589" t="s">
        <v>1852</v>
      </c>
      <c r="Q2589" t="s">
        <v>1679</v>
      </c>
    </row>
    <row r="2590" spans="2:17">
      <c r="B2590" t="s">
        <v>4320</v>
      </c>
      <c r="C2590" t="s">
        <v>1408</v>
      </c>
      <c r="D2590">
        <v>3.0520054207045102E-5</v>
      </c>
      <c r="E2590" t="s">
        <v>94</v>
      </c>
      <c r="H2590" t="s">
        <v>588</v>
      </c>
      <c r="I2590">
        <v>3.0520054207045102E-5</v>
      </c>
      <c r="J2590">
        <v>1.0247973619913604</v>
      </c>
      <c r="N2590" t="s">
        <v>4321</v>
      </c>
      <c r="O2590" t="s">
        <v>2004</v>
      </c>
      <c r="Q2590" t="s">
        <v>4322</v>
      </c>
    </row>
    <row r="2591" spans="2:17">
      <c r="B2591" t="s">
        <v>4320</v>
      </c>
      <c r="C2591" t="s">
        <v>1408</v>
      </c>
      <c r="D2591">
        <v>3.0511150201587899E-5</v>
      </c>
      <c r="E2591" t="s">
        <v>94</v>
      </c>
      <c r="H2591" t="s">
        <v>588</v>
      </c>
      <c r="I2591">
        <v>3.0511150201587899E-5</v>
      </c>
      <c r="J2591">
        <v>1.0247973619913604</v>
      </c>
      <c r="N2591" t="s">
        <v>4321</v>
      </c>
      <c r="O2591" t="s">
        <v>2414</v>
      </c>
      <c r="Q2591" t="s">
        <v>4322</v>
      </c>
    </row>
    <row r="2592" spans="2:17">
      <c r="B2592" t="s">
        <v>4323</v>
      </c>
      <c r="C2592" t="s">
        <v>1408</v>
      </c>
      <c r="D2592">
        <v>6.15922923785703E-6</v>
      </c>
      <c r="E2592" t="s">
        <v>94</v>
      </c>
      <c r="H2592" t="s">
        <v>588</v>
      </c>
      <c r="I2592">
        <v>6.15922923785703E-6</v>
      </c>
      <c r="J2592">
        <v>1.3243999999999883</v>
      </c>
      <c r="N2592" t="s">
        <v>4324</v>
      </c>
      <c r="O2592" t="s">
        <v>2792</v>
      </c>
      <c r="Q2592" t="s">
        <v>4325</v>
      </c>
    </row>
    <row r="2593" spans="2:17">
      <c r="B2593" t="s">
        <v>4326</v>
      </c>
      <c r="C2593" t="s">
        <v>1408</v>
      </c>
      <c r="D2593">
        <v>4.6609566992804999E-7</v>
      </c>
      <c r="E2593" t="s">
        <v>94</v>
      </c>
      <c r="H2593" t="s">
        <v>588</v>
      </c>
      <c r="I2593">
        <v>4.6609566992804999E-7</v>
      </c>
      <c r="J2593">
        <v>1.1051709180756477</v>
      </c>
      <c r="N2593" t="s">
        <v>4327</v>
      </c>
      <c r="O2593" t="s">
        <v>847</v>
      </c>
      <c r="Q2593" t="s">
        <v>4328</v>
      </c>
    </row>
    <row r="2594" spans="2:17">
      <c r="B2594" t="s">
        <v>4329</v>
      </c>
      <c r="C2594" t="s">
        <v>1408</v>
      </c>
      <c r="D2594">
        <v>9.0335677435471697E-8</v>
      </c>
      <c r="E2594" t="s">
        <v>94</v>
      </c>
      <c r="H2594" t="s">
        <v>588</v>
      </c>
      <c r="I2594">
        <v>9.0335677435471697E-8</v>
      </c>
      <c r="J2594">
        <v>1.4139824580805163</v>
      </c>
      <c r="N2594" t="s">
        <v>4330</v>
      </c>
      <c r="O2594" t="s">
        <v>3050</v>
      </c>
      <c r="Q2594" t="s">
        <v>3051</v>
      </c>
    </row>
    <row r="2595" spans="2:17">
      <c r="B2595" t="s">
        <v>4331</v>
      </c>
      <c r="C2595" t="s">
        <v>1635</v>
      </c>
      <c r="D2595">
        <v>1.85690295518689E-6</v>
      </c>
      <c r="E2595" t="s">
        <v>94</v>
      </c>
      <c r="H2595" t="s">
        <v>588</v>
      </c>
      <c r="I2595">
        <v>1.85690295518689E-6</v>
      </c>
      <c r="J2595">
        <v>1</v>
      </c>
      <c r="N2595" t="s">
        <v>4332</v>
      </c>
      <c r="O2595" t="s">
        <v>1082</v>
      </c>
      <c r="Q2595" t="s">
        <v>595</v>
      </c>
    </row>
    <row r="2596" spans="2:17">
      <c r="B2596" t="s">
        <v>4333</v>
      </c>
      <c r="C2596" t="s">
        <v>2481</v>
      </c>
      <c r="D2596">
        <v>6.7134211402332704E-8</v>
      </c>
      <c r="E2596" t="s">
        <v>640</v>
      </c>
      <c r="Q2596" t="s">
        <v>1776</v>
      </c>
    </row>
    <row r="2597" spans="2:17">
      <c r="B2597" t="s">
        <v>4334</v>
      </c>
      <c r="C2597" t="s">
        <v>615</v>
      </c>
      <c r="D2597">
        <v>1.33407261522848E-12</v>
      </c>
      <c r="E2597" t="s">
        <v>616</v>
      </c>
      <c r="H2597" t="s">
        <v>588</v>
      </c>
      <c r="I2597">
        <v>1.33407261522848E-12</v>
      </c>
      <c r="J2597">
        <v>1.7293101253499219</v>
      </c>
      <c r="N2597" t="s">
        <v>4335</v>
      </c>
      <c r="O2597" t="s">
        <v>859</v>
      </c>
      <c r="Q2597" t="s">
        <v>4336</v>
      </c>
    </row>
    <row r="2598" spans="2:17">
      <c r="B2598" t="s">
        <v>4334</v>
      </c>
      <c r="C2598" t="s">
        <v>615</v>
      </c>
      <c r="D2598">
        <v>6.5163855537292603E-13</v>
      </c>
      <c r="E2598" t="s">
        <v>616</v>
      </c>
      <c r="H2598" t="s">
        <v>588</v>
      </c>
      <c r="I2598">
        <v>6.5163855537292603E-13</v>
      </c>
      <c r="J2598">
        <v>1.1712995782321958</v>
      </c>
      <c r="N2598" t="s">
        <v>4337</v>
      </c>
      <c r="O2598" t="s">
        <v>2387</v>
      </c>
      <c r="Q2598" t="s">
        <v>2388</v>
      </c>
    </row>
    <row r="2599" spans="2:17">
      <c r="B2599" t="s">
        <v>4338</v>
      </c>
      <c r="C2599" t="s">
        <v>673</v>
      </c>
      <c r="D2599">
        <v>1.38635195166087E-6</v>
      </c>
      <c r="E2599" t="s">
        <v>94</v>
      </c>
      <c r="H2599" t="s">
        <v>588</v>
      </c>
      <c r="I2599">
        <v>1.38635195166087E-6</v>
      </c>
      <c r="J2599">
        <v>1.2214027581601699</v>
      </c>
      <c r="N2599" t="s">
        <v>4339</v>
      </c>
      <c r="O2599" t="s">
        <v>4340</v>
      </c>
      <c r="Q2599" t="s">
        <v>4341</v>
      </c>
    </row>
    <row r="2600" spans="2:17">
      <c r="B2600" t="s">
        <v>4338</v>
      </c>
      <c r="C2600" t="s">
        <v>673</v>
      </c>
      <c r="D2600">
        <v>1.3864015327672899E-6</v>
      </c>
      <c r="E2600" t="s">
        <v>94</v>
      </c>
      <c r="H2600" t="s">
        <v>588</v>
      </c>
      <c r="I2600">
        <v>1.3864015327672899E-6</v>
      </c>
      <c r="J2600">
        <v>1.2214027581601699</v>
      </c>
      <c r="N2600" t="s">
        <v>4339</v>
      </c>
      <c r="O2600" t="s">
        <v>4342</v>
      </c>
      <c r="Q2600" t="s">
        <v>4341</v>
      </c>
    </row>
    <row r="2601" spans="2:17">
      <c r="B2601" t="s">
        <v>4343</v>
      </c>
      <c r="C2601" t="s">
        <v>673</v>
      </c>
      <c r="D2601">
        <v>1.3235132704784399E-3</v>
      </c>
      <c r="E2601" t="s">
        <v>94</v>
      </c>
      <c r="H2601" t="s">
        <v>588</v>
      </c>
      <c r="I2601">
        <v>1.3235132704784399E-3</v>
      </c>
      <c r="J2601">
        <v>1.1051709180756477</v>
      </c>
      <c r="N2601" t="s">
        <v>4344</v>
      </c>
      <c r="O2601" t="s">
        <v>921</v>
      </c>
      <c r="Q2601" t="s">
        <v>595</v>
      </c>
    </row>
    <row r="2602" spans="2:17">
      <c r="B2602" t="s">
        <v>4345</v>
      </c>
      <c r="C2602" t="s">
        <v>4346</v>
      </c>
      <c r="D2602">
        <v>7.9912274663763798E-4</v>
      </c>
      <c r="E2602" t="s">
        <v>94</v>
      </c>
      <c r="H2602" t="s">
        <v>588</v>
      </c>
      <c r="I2602">
        <v>7.9912274663763798E-4</v>
      </c>
      <c r="J2602">
        <v>1.0247973619913604</v>
      </c>
      <c r="N2602" t="s">
        <v>4347</v>
      </c>
      <c r="O2602" t="s">
        <v>3040</v>
      </c>
      <c r="Q2602" t="s">
        <v>4348</v>
      </c>
    </row>
    <row r="2603" spans="2:17">
      <c r="B2603" t="s">
        <v>1517</v>
      </c>
      <c r="C2603" t="s">
        <v>569</v>
      </c>
      <c r="D2603">
        <v>8.3535898198632406E-5</v>
      </c>
      <c r="E2603" t="s">
        <v>94</v>
      </c>
      <c r="H2603" t="s">
        <v>588</v>
      </c>
      <c r="I2603">
        <v>8.3535898198632406E-5</v>
      </c>
      <c r="J2603">
        <v>1.0247973619913604</v>
      </c>
      <c r="N2603" t="s">
        <v>1518</v>
      </c>
      <c r="O2603" t="s">
        <v>2255</v>
      </c>
      <c r="Q2603" t="s">
        <v>4349</v>
      </c>
    </row>
    <row r="2604" spans="2:17">
      <c r="B2604" t="s">
        <v>1519</v>
      </c>
      <c r="C2604" t="s">
        <v>1417</v>
      </c>
      <c r="D2604">
        <v>7.8425784464463205E-5</v>
      </c>
      <c r="E2604" t="s">
        <v>626</v>
      </c>
      <c r="H2604" t="s">
        <v>588</v>
      </c>
      <c r="I2604">
        <v>7.8425784464463205E-5</v>
      </c>
      <c r="J2604">
        <v>1.499999999999694</v>
      </c>
      <c r="N2604" t="s">
        <v>4350</v>
      </c>
      <c r="O2604" t="s">
        <v>952</v>
      </c>
      <c r="Q2604" t="s">
        <v>4351</v>
      </c>
    </row>
    <row r="2605" spans="2:17">
      <c r="B2605" t="s">
        <v>1519</v>
      </c>
      <c r="C2605" t="s">
        <v>1417</v>
      </c>
      <c r="D2605">
        <v>1.22961324185634E-4</v>
      </c>
      <c r="E2605" t="s">
        <v>626</v>
      </c>
      <c r="H2605" t="s">
        <v>588</v>
      </c>
      <c r="I2605">
        <v>1.22961324185634E-4</v>
      </c>
      <c r="J2605">
        <v>1.499999999999694</v>
      </c>
      <c r="N2605" t="s">
        <v>1520</v>
      </c>
      <c r="O2605" t="s">
        <v>952</v>
      </c>
      <c r="Q2605" t="s">
        <v>4351</v>
      </c>
    </row>
    <row r="2606" spans="2:17">
      <c r="B2606" t="s">
        <v>4352</v>
      </c>
      <c r="C2606" t="s">
        <v>1417</v>
      </c>
      <c r="D2606">
        <v>1.82082055335515E-4</v>
      </c>
      <c r="E2606" t="s">
        <v>626</v>
      </c>
      <c r="H2606" t="s">
        <v>588</v>
      </c>
      <c r="I2606">
        <v>1.82082055335515E-4</v>
      </c>
      <c r="J2606">
        <v>1.0247973619913604</v>
      </c>
      <c r="N2606" t="s">
        <v>4353</v>
      </c>
      <c r="O2606" t="s">
        <v>1695</v>
      </c>
      <c r="Q2606" t="s">
        <v>4354</v>
      </c>
    </row>
    <row r="2607" spans="2:17">
      <c r="B2607" t="s">
        <v>4355</v>
      </c>
      <c r="C2607" t="s">
        <v>1417</v>
      </c>
      <c r="D2607">
        <v>1.5920153332536499E-3</v>
      </c>
      <c r="E2607" t="s">
        <v>626</v>
      </c>
      <c r="H2607" t="s">
        <v>588</v>
      </c>
      <c r="I2607">
        <v>1.5920153332536499E-3</v>
      </c>
      <c r="J2607">
        <v>1.1051709180756477</v>
      </c>
      <c r="N2607" t="s">
        <v>4356</v>
      </c>
      <c r="O2607" t="s">
        <v>921</v>
      </c>
      <c r="Q2607" t="s">
        <v>595</v>
      </c>
    </row>
    <row r="2608" spans="2:17">
      <c r="B2608" t="s">
        <v>1521</v>
      </c>
      <c r="C2608" t="s">
        <v>569</v>
      </c>
      <c r="D2608">
        <v>1.4298270679112401E-3</v>
      </c>
      <c r="E2608" t="s">
        <v>94</v>
      </c>
      <c r="H2608" t="s">
        <v>588</v>
      </c>
      <c r="I2608">
        <v>1.4298270679112401E-3</v>
      </c>
      <c r="J2608">
        <v>1.0247973619913604</v>
      </c>
      <c r="N2608" t="s">
        <v>1522</v>
      </c>
      <c r="O2608" t="s">
        <v>641</v>
      </c>
      <c r="Q2608" t="s">
        <v>1672</v>
      </c>
    </row>
    <row r="2609" spans="1:17">
      <c r="B2609" t="s">
        <v>4357</v>
      </c>
      <c r="C2609" t="s">
        <v>673</v>
      </c>
      <c r="D2609">
        <v>6.0723684335893401E-5</v>
      </c>
      <c r="E2609" t="s">
        <v>94</v>
      </c>
      <c r="H2609" t="s">
        <v>588</v>
      </c>
      <c r="I2609">
        <v>6.0723684335893401E-5</v>
      </c>
      <c r="J2609">
        <v>1.0247973619913604</v>
      </c>
      <c r="N2609" t="s">
        <v>4358</v>
      </c>
      <c r="O2609" t="s">
        <v>641</v>
      </c>
      <c r="Q2609" t="s">
        <v>1643</v>
      </c>
    </row>
    <row r="2610" spans="1:17">
      <c r="B2610" t="s">
        <v>4357</v>
      </c>
      <c r="C2610" t="s">
        <v>673</v>
      </c>
      <c r="D2610">
        <v>1.05138166628218E-5</v>
      </c>
      <c r="E2610" t="s">
        <v>94</v>
      </c>
      <c r="H2610" t="s">
        <v>588</v>
      </c>
      <c r="I2610">
        <v>1.05138166628218E-5</v>
      </c>
      <c r="J2610">
        <v>1.0247973619913604</v>
      </c>
      <c r="N2610" t="s">
        <v>4358</v>
      </c>
      <c r="O2610" t="s">
        <v>641</v>
      </c>
      <c r="Q2610" t="s">
        <v>1643</v>
      </c>
    </row>
    <row r="2611" spans="1:17">
      <c r="B2611" t="s">
        <v>4359</v>
      </c>
      <c r="C2611" t="s">
        <v>673</v>
      </c>
      <c r="D2611">
        <v>3.6709716498802899E-5</v>
      </c>
      <c r="E2611" t="s">
        <v>94</v>
      </c>
      <c r="H2611" t="s">
        <v>588</v>
      </c>
      <c r="I2611">
        <v>3.6709716498802899E-5</v>
      </c>
      <c r="J2611">
        <v>1.0247973619913604</v>
      </c>
      <c r="N2611" t="s">
        <v>4360</v>
      </c>
      <c r="O2611" t="s">
        <v>641</v>
      </c>
      <c r="Q2611" t="s">
        <v>1672</v>
      </c>
    </row>
    <row r="2612" spans="1:17">
      <c r="B2612" t="s">
        <v>4361</v>
      </c>
      <c r="C2612" t="s">
        <v>587</v>
      </c>
      <c r="D2612">
        <v>2.5487326922751701E-3</v>
      </c>
      <c r="E2612" t="s">
        <v>94</v>
      </c>
      <c r="H2612" t="s">
        <v>588</v>
      </c>
      <c r="I2612">
        <v>2.5487326922751701E-3</v>
      </c>
      <c r="J2612">
        <v>1.0247973619913604</v>
      </c>
      <c r="O2612" t="s">
        <v>641</v>
      </c>
      <c r="Q2612" t="s">
        <v>1643</v>
      </c>
    </row>
    <row r="2613" spans="1:17">
      <c r="B2613" t="s">
        <v>1523</v>
      </c>
      <c r="C2613" t="s">
        <v>569</v>
      </c>
      <c r="D2613">
        <v>9.7839951126720999E-5</v>
      </c>
      <c r="E2613" t="s">
        <v>94</v>
      </c>
      <c r="H2613" t="s">
        <v>588</v>
      </c>
      <c r="I2613">
        <v>9.7839951126720999E-5</v>
      </c>
      <c r="J2613">
        <v>1.0247973619913604</v>
      </c>
      <c r="N2613" t="s">
        <v>1524</v>
      </c>
      <c r="O2613" t="s">
        <v>2913</v>
      </c>
      <c r="Q2613" t="s">
        <v>4362</v>
      </c>
    </row>
    <row r="2614" spans="1:17">
      <c r="B2614" t="s">
        <v>4363</v>
      </c>
      <c r="C2614" t="s">
        <v>1830</v>
      </c>
      <c r="D2614">
        <v>1.9641670775169301E-4</v>
      </c>
      <c r="E2614" t="s">
        <v>94</v>
      </c>
      <c r="H2614" t="s">
        <v>588</v>
      </c>
      <c r="I2614">
        <v>1.9641670775169301E-4</v>
      </c>
      <c r="J2614">
        <v>1.0247973619913604</v>
      </c>
      <c r="N2614" t="s">
        <v>4364</v>
      </c>
      <c r="O2614" t="s">
        <v>1806</v>
      </c>
      <c r="Q2614" t="s">
        <v>1728</v>
      </c>
    </row>
    <row r="2615" spans="1:17">
      <c r="B2615" t="s">
        <v>4363</v>
      </c>
      <c r="C2615" t="s">
        <v>1830</v>
      </c>
      <c r="D2615">
        <v>1.63680589793077E-3</v>
      </c>
      <c r="E2615" t="s">
        <v>94</v>
      </c>
      <c r="N2615" t="s">
        <v>4365</v>
      </c>
    </row>
    <row r="2617" spans="1:17">
      <c r="A2617" t="s">
        <v>710</v>
      </c>
    </row>
    <row r="2618" spans="1:17">
      <c r="A2618" s="421" t="s">
        <v>570</v>
      </c>
      <c r="B2618" s="421" t="s">
        <v>571</v>
      </c>
      <c r="C2618" s="421" t="s">
        <v>568</v>
      </c>
      <c r="D2618" s="421" t="s">
        <v>572</v>
      </c>
      <c r="E2618" s="421" t="s">
        <v>573</v>
      </c>
      <c r="F2618" s="421" t="s">
        <v>574</v>
      </c>
      <c r="G2618" s="421" t="s">
        <v>575</v>
      </c>
      <c r="H2618" s="421" t="s">
        <v>576</v>
      </c>
      <c r="I2618" s="421" t="s">
        <v>577</v>
      </c>
      <c r="J2618" s="421" t="s">
        <v>578</v>
      </c>
      <c r="K2618" s="421" t="s">
        <v>579</v>
      </c>
      <c r="L2618" s="421" t="s">
        <v>580</v>
      </c>
      <c r="M2618" s="421" t="s">
        <v>581</v>
      </c>
      <c r="N2618" s="421" t="s">
        <v>582</v>
      </c>
      <c r="O2618" s="421" t="s">
        <v>583</v>
      </c>
      <c r="P2618" s="421" t="s">
        <v>584</v>
      </c>
      <c r="Q2618" s="421" t="s">
        <v>585</v>
      </c>
    </row>
    <row r="2619" spans="1:17">
      <c r="B2619" t="s">
        <v>4366</v>
      </c>
      <c r="C2619" t="s">
        <v>887</v>
      </c>
      <c r="D2619">
        <v>4.2929344121488902E-7</v>
      </c>
      <c r="E2619" t="s">
        <v>94</v>
      </c>
      <c r="H2619" t="s">
        <v>588</v>
      </c>
      <c r="I2619">
        <v>4.2929344121488902E-7</v>
      </c>
      <c r="J2619">
        <v>1.0247973619913604</v>
      </c>
      <c r="O2619" t="s">
        <v>4290</v>
      </c>
      <c r="Q2619" t="s">
        <v>4367</v>
      </c>
    </row>
    <row r="2620" spans="1:17">
      <c r="B2620" t="s">
        <v>4366</v>
      </c>
      <c r="C2620" t="s">
        <v>654</v>
      </c>
      <c r="D2620">
        <v>3.50328879408356E-8</v>
      </c>
      <c r="E2620" t="s">
        <v>94</v>
      </c>
      <c r="H2620" t="s">
        <v>588</v>
      </c>
      <c r="I2620">
        <v>3.50328879408356E-8</v>
      </c>
      <c r="J2620">
        <v>1</v>
      </c>
      <c r="O2620" t="s">
        <v>1157</v>
      </c>
      <c r="Q2620" t="s">
        <v>3016</v>
      </c>
    </row>
    <row r="2621" spans="1:17">
      <c r="B2621" t="s">
        <v>4366</v>
      </c>
      <c r="C2621" t="s">
        <v>658</v>
      </c>
      <c r="D2621">
        <v>6.3511527297364903E-9</v>
      </c>
      <c r="E2621" t="s">
        <v>94</v>
      </c>
      <c r="H2621" t="s">
        <v>588</v>
      </c>
      <c r="I2621">
        <v>6.3511527297364903E-9</v>
      </c>
      <c r="J2621">
        <v>1.2214027581601699</v>
      </c>
      <c r="O2621" t="s">
        <v>1678</v>
      </c>
      <c r="Q2621" t="s">
        <v>1679</v>
      </c>
    </row>
    <row r="2622" spans="1:17">
      <c r="B2622" t="s">
        <v>4368</v>
      </c>
      <c r="C2622" t="s">
        <v>661</v>
      </c>
      <c r="D2622">
        <v>1.9362337252130899E-14</v>
      </c>
      <c r="E2622" t="s">
        <v>94</v>
      </c>
      <c r="H2622" t="s">
        <v>588</v>
      </c>
      <c r="I2622">
        <v>1.9362337252130899E-14</v>
      </c>
      <c r="J2622">
        <v>1.7293101253499219</v>
      </c>
      <c r="O2622" t="s">
        <v>1678</v>
      </c>
      <c r="Q2622" t="s">
        <v>1679</v>
      </c>
    </row>
    <row r="2623" spans="1:17">
      <c r="B2623" t="s">
        <v>4369</v>
      </c>
      <c r="C2623" t="s">
        <v>658</v>
      </c>
      <c r="D2623">
        <v>1.3880018829061901E-10</v>
      </c>
      <c r="E2623" t="s">
        <v>94</v>
      </c>
      <c r="H2623" t="s">
        <v>588</v>
      </c>
      <c r="I2623">
        <v>1.3880018829061901E-10</v>
      </c>
      <c r="J2623">
        <v>1.2214027581601699</v>
      </c>
      <c r="O2623" t="s">
        <v>1678</v>
      </c>
      <c r="Q2623" t="s">
        <v>1679</v>
      </c>
    </row>
    <row r="2624" spans="1:17">
      <c r="B2624" t="s">
        <v>4370</v>
      </c>
      <c r="C2624" t="s">
        <v>658</v>
      </c>
      <c r="D2624">
        <v>2.3162406202751599E-7</v>
      </c>
      <c r="E2624" t="s">
        <v>94</v>
      </c>
      <c r="H2624" t="s">
        <v>588</v>
      </c>
      <c r="I2624">
        <v>2.3162406202751599E-7</v>
      </c>
      <c r="J2624">
        <v>1.2214027581601699</v>
      </c>
      <c r="O2624" t="s">
        <v>1678</v>
      </c>
      <c r="Q2624" t="s">
        <v>1679</v>
      </c>
    </row>
    <row r="2625" spans="2:17">
      <c r="B2625" t="s">
        <v>4370</v>
      </c>
      <c r="C2625" t="s">
        <v>887</v>
      </c>
      <c r="D2625">
        <v>5.8158302700587402E-6</v>
      </c>
      <c r="E2625" t="s">
        <v>94</v>
      </c>
      <c r="H2625" t="s">
        <v>588</v>
      </c>
      <c r="I2625">
        <v>5.8158302700587402E-6</v>
      </c>
      <c r="J2625">
        <v>1.9265750720549795</v>
      </c>
      <c r="O2625" t="s">
        <v>1798</v>
      </c>
      <c r="Q2625" t="s">
        <v>4371</v>
      </c>
    </row>
    <row r="2626" spans="2:17">
      <c r="B2626" t="s">
        <v>4370</v>
      </c>
      <c r="C2626" t="s">
        <v>654</v>
      </c>
      <c r="D2626">
        <v>1.1268902622549299E-8</v>
      </c>
      <c r="E2626" t="s">
        <v>94</v>
      </c>
      <c r="H2626" t="s">
        <v>588</v>
      </c>
      <c r="I2626">
        <v>1.1268902622549299E-8</v>
      </c>
      <c r="J2626">
        <v>1.5639483159353722</v>
      </c>
      <c r="O2626" t="s">
        <v>1798</v>
      </c>
      <c r="Q2626" t="s">
        <v>4372</v>
      </c>
    </row>
    <row r="2627" spans="2:17">
      <c r="B2627" t="s">
        <v>4373</v>
      </c>
      <c r="C2627" t="s">
        <v>654</v>
      </c>
      <c r="D2627">
        <v>4.8734807012374298E-8</v>
      </c>
      <c r="E2627" t="s">
        <v>94</v>
      </c>
      <c r="H2627" t="s">
        <v>588</v>
      </c>
      <c r="I2627">
        <v>4.8734807012374298E-8</v>
      </c>
      <c r="J2627">
        <v>1.2214027581601699</v>
      </c>
      <c r="O2627" t="s">
        <v>4374</v>
      </c>
      <c r="Q2627" t="s">
        <v>4375</v>
      </c>
    </row>
    <row r="2628" spans="2:17">
      <c r="B2628" t="s">
        <v>4373</v>
      </c>
      <c r="C2628" t="s">
        <v>887</v>
      </c>
      <c r="D2628">
        <v>2.0958520987663999E-5</v>
      </c>
      <c r="E2628" t="s">
        <v>94</v>
      </c>
      <c r="H2628" t="s">
        <v>588</v>
      </c>
      <c r="I2628">
        <v>2.0958520987663999E-5</v>
      </c>
      <c r="J2628">
        <v>1.2214027581601699</v>
      </c>
      <c r="O2628" t="s">
        <v>4376</v>
      </c>
      <c r="Q2628" t="s">
        <v>2110</v>
      </c>
    </row>
    <row r="2629" spans="2:17">
      <c r="B2629" t="s">
        <v>4373</v>
      </c>
      <c r="C2629" t="s">
        <v>658</v>
      </c>
      <c r="D2629">
        <v>1.1521516824850799E-9</v>
      </c>
      <c r="E2629" t="s">
        <v>94</v>
      </c>
      <c r="H2629" t="s">
        <v>588</v>
      </c>
      <c r="I2629">
        <v>1.1521516824850799E-9</v>
      </c>
      <c r="J2629">
        <v>1.2214027581601699</v>
      </c>
      <c r="O2629" t="s">
        <v>871</v>
      </c>
      <c r="Q2629" t="s">
        <v>1679</v>
      </c>
    </row>
    <row r="2630" spans="2:17">
      <c r="B2630" t="s">
        <v>815</v>
      </c>
      <c r="C2630" t="s">
        <v>654</v>
      </c>
      <c r="D2630">
        <v>2.5293967634451799E-5</v>
      </c>
      <c r="E2630" t="s">
        <v>94</v>
      </c>
      <c r="H2630" t="s">
        <v>588</v>
      </c>
      <c r="I2630">
        <v>2.5293967634451799E-5</v>
      </c>
      <c r="J2630">
        <v>1.2214027581601699</v>
      </c>
      <c r="O2630" t="s">
        <v>4374</v>
      </c>
      <c r="Q2630" t="s">
        <v>4375</v>
      </c>
    </row>
    <row r="2631" spans="2:17">
      <c r="B2631" t="s">
        <v>815</v>
      </c>
      <c r="C2631" t="s">
        <v>658</v>
      </c>
      <c r="D2631">
        <v>2.75344440562521E-10</v>
      </c>
      <c r="E2631" t="s">
        <v>94</v>
      </c>
      <c r="H2631" t="s">
        <v>588</v>
      </c>
      <c r="I2631">
        <v>2.75344440562521E-10</v>
      </c>
      <c r="J2631">
        <v>1.2214027581601699</v>
      </c>
      <c r="O2631" t="s">
        <v>1678</v>
      </c>
      <c r="Q2631" t="s">
        <v>1679</v>
      </c>
    </row>
    <row r="2632" spans="2:17">
      <c r="B2632" t="s">
        <v>815</v>
      </c>
      <c r="C2632" t="s">
        <v>887</v>
      </c>
      <c r="D2632">
        <v>5.1318810610697597E-6</v>
      </c>
      <c r="E2632" t="s">
        <v>94</v>
      </c>
      <c r="H2632" t="s">
        <v>588</v>
      </c>
      <c r="I2632">
        <v>5.1318810610697597E-6</v>
      </c>
      <c r="J2632">
        <v>1.2214027581601699</v>
      </c>
      <c r="O2632" t="s">
        <v>4376</v>
      </c>
      <c r="Q2632" t="s">
        <v>2110</v>
      </c>
    </row>
    <row r="2633" spans="2:17">
      <c r="B2633" t="s">
        <v>4377</v>
      </c>
      <c r="C2633" t="s">
        <v>661</v>
      </c>
      <c r="D2633">
        <v>2.5514756912131699E-6</v>
      </c>
      <c r="E2633" t="s">
        <v>94</v>
      </c>
      <c r="H2633" t="s">
        <v>588</v>
      </c>
      <c r="I2633">
        <v>2.5514756912131699E-6</v>
      </c>
      <c r="J2633">
        <v>1.2214027581601699</v>
      </c>
      <c r="O2633" t="s">
        <v>641</v>
      </c>
      <c r="Q2633" t="s">
        <v>1672</v>
      </c>
    </row>
    <row r="2634" spans="2:17">
      <c r="B2634" t="s">
        <v>816</v>
      </c>
      <c r="C2634" t="s">
        <v>658</v>
      </c>
      <c r="D2634">
        <v>1.5452094397067E-9</v>
      </c>
      <c r="E2634" t="s">
        <v>94</v>
      </c>
      <c r="H2634" t="s">
        <v>588</v>
      </c>
      <c r="I2634">
        <v>1.5452094397067E-9</v>
      </c>
      <c r="J2634">
        <v>1.2214027581601699</v>
      </c>
      <c r="O2634" t="s">
        <v>1678</v>
      </c>
      <c r="Q2634" t="s">
        <v>1679</v>
      </c>
    </row>
    <row r="2635" spans="2:17">
      <c r="B2635" t="s">
        <v>4378</v>
      </c>
      <c r="C2635" t="s">
        <v>658</v>
      </c>
      <c r="D2635">
        <v>4.8285732253374802E-7</v>
      </c>
      <c r="E2635" t="s">
        <v>890</v>
      </c>
      <c r="H2635" t="s">
        <v>588</v>
      </c>
      <c r="I2635">
        <v>4.8285732253374802E-7</v>
      </c>
      <c r="J2635">
        <v>1.0247973619913604</v>
      </c>
      <c r="O2635" t="s">
        <v>1779</v>
      </c>
      <c r="Q2635" t="s">
        <v>1780</v>
      </c>
    </row>
    <row r="2636" spans="2:17">
      <c r="B2636" t="s">
        <v>4379</v>
      </c>
      <c r="C2636" t="s">
        <v>887</v>
      </c>
      <c r="D2636">
        <v>1.30737095078382E-6</v>
      </c>
      <c r="E2636" t="s">
        <v>94</v>
      </c>
      <c r="Q2636" t="s">
        <v>1776</v>
      </c>
    </row>
    <row r="2637" spans="2:17">
      <c r="B2637" t="s">
        <v>4379</v>
      </c>
      <c r="C2637" t="s">
        <v>654</v>
      </c>
      <c r="D2637">
        <v>1.43483855007321E-10</v>
      </c>
      <c r="E2637" t="s">
        <v>94</v>
      </c>
      <c r="H2637" t="s">
        <v>588</v>
      </c>
      <c r="I2637">
        <v>1.43483855007321E-10</v>
      </c>
      <c r="J2637">
        <v>1.2214027581601699</v>
      </c>
      <c r="O2637" t="s">
        <v>641</v>
      </c>
      <c r="Q2637" t="s">
        <v>1643</v>
      </c>
    </row>
    <row r="2638" spans="2:17">
      <c r="B2638" t="s">
        <v>711</v>
      </c>
      <c r="C2638" t="s">
        <v>654</v>
      </c>
      <c r="D2638">
        <v>8.3821516607948805E-8</v>
      </c>
      <c r="E2638" t="s">
        <v>94</v>
      </c>
      <c r="H2638" t="s">
        <v>588</v>
      </c>
      <c r="I2638">
        <v>8.3821516607948805E-8</v>
      </c>
      <c r="J2638">
        <v>2.2394398661220611</v>
      </c>
      <c r="O2638" t="s">
        <v>4374</v>
      </c>
      <c r="Q2638" t="s">
        <v>4375</v>
      </c>
    </row>
    <row r="2639" spans="2:17">
      <c r="B2639" t="s">
        <v>711</v>
      </c>
      <c r="C2639" t="s">
        <v>661</v>
      </c>
      <c r="D2639">
        <v>5.2395598980246696E-6</v>
      </c>
      <c r="E2639" t="s">
        <v>94</v>
      </c>
      <c r="H2639" t="s">
        <v>588</v>
      </c>
      <c r="I2639">
        <v>5.2395598980246696E-6</v>
      </c>
      <c r="J2639">
        <v>2.2394398661220611</v>
      </c>
      <c r="O2639" t="s">
        <v>641</v>
      </c>
      <c r="Q2639" t="s">
        <v>1643</v>
      </c>
    </row>
    <row r="2640" spans="2:17">
      <c r="B2640" t="s">
        <v>711</v>
      </c>
      <c r="C2640" t="s">
        <v>712</v>
      </c>
      <c r="D2640">
        <v>4.6815254202489297E-6</v>
      </c>
      <c r="E2640" t="s">
        <v>94</v>
      </c>
      <c r="H2640" t="s">
        <v>588</v>
      </c>
      <c r="I2640">
        <v>4.6815254202489297E-6</v>
      </c>
      <c r="J2640">
        <v>2.4322565351195364</v>
      </c>
      <c r="O2640" t="s">
        <v>798</v>
      </c>
      <c r="Q2640" t="s">
        <v>2961</v>
      </c>
    </row>
    <row r="2641" spans="1:17">
      <c r="B2641" t="s">
        <v>711</v>
      </c>
      <c r="C2641" t="s">
        <v>887</v>
      </c>
      <c r="D2641">
        <v>1.01830726053533E-7</v>
      </c>
      <c r="E2641" t="s">
        <v>94</v>
      </c>
      <c r="H2641" t="s">
        <v>588</v>
      </c>
      <c r="I2641">
        <v>1.01830726053533E-7</v>
      </c>
      <c r="J2641">
        <v>1.9200027250078917</v>
      </c>
      <c r="O2641" t="s">
        <v>1157</v>
      </c>
      <c r="Q2641" t="s">
        <v>4380</v>
      </c>
    </row>
    <row r="2642" spans="1:17">
      <c r="B2642" t="s">
        <v>711</v>
      </c>
      <c r="C2642" t="s">
        <v>883</v>
      </c>
      <c r="D2642">
        <v>7.5530747941625596E-6</v>
      </c>
      <c r="E2642" t="s">
        <v>94</v>
      </c>
      <c r="H2642" t="s">
        <v>588</v>
      </c>
      <c r="I2642">
        <v>7.5530747941625596E-6</v>
      </c>
      <c r="J2642">
        <v>3.2097414186806645</v>
      </c>
      <c r="O2642" t="s">
        <v>3149</v>
      </c>
      <c r="Q2642" t="s">
        <v>4381</v>
      </c>
    </row>
    <row r="2643" spans="1:17">
      <c r="B2643" t="s">
        <v>1526</v>
      </c>
      <c r="C2643" t="s">
        <v>667</v>
      </c>
      <c r="D2643">
        <v>1.28696872850788E-5</v>
      </c>
      <c r="E2643" t="s">
        <v>94</v>
      </c>
      <c r="H2643" t="s">
        <v>588</v>
      </c>
      <c r="I2643">
        <v>1.28696872850788E-5</v>
      </c>
      <c r="J2643">
        <v>1.0247973619913604</v>
      </c>
      <c r="N2643" t="s">
        <v>1527</v>
      </c>
      <c r="O2643" t="s">
        <v>1153</v>
      </c>
      <c r="Q2643" t="s">
        <v>4382</v>
      </c>
    </row>
    <row r="2644" spans="1:17">
      <c r="B2644" t="s">
        <v>1526</v>
      </c>
      <c r="C2644" t="s">
        <v>667</v>
      </c>
      <c r="D2644">
        <v>1.75490898958771E-6</v>
      </c>
      <c r="E2644" t="s">
        <v>94</v>
      </c>
      <c r="H2644" t="s">
        <v>588</v>
      </c>
      <c r="I2644">
        <v>1.75490898958771E-6</v>
      </c>
      <c r="J2644">
        <v>1.0247973619913604</v>
      </c>
      <c r="N2644" t="s">
        <v>1527</v>
      </c>
      <c r="O2644" t="s">
        <v>1153</v>
      </c>
      <c r="Q2644" t="s">
        <v>4382</v>
      </c>
    </row>
    <row r="2645" spans="1:17">
      <c r="B2645" t="s">
        <v>4383</v>
      </c>
      <c r="C2645" t="s">
        <v>670</v>
      </c>
      <c r="D2645">
        <v>1.09146826971265E-3</v>
      </c>
      <c r="E2645" t="s">
        <v>94</v>
      </c>
      <c r="H2645" t="s">
        <v>588</v>
      </c>
      <c r="I2645">
        <v>1.09146826971265E-3</v>
      </c>
      <c r="J2645">
        <v>1.1051709180756477</v>
      </c>
      <c r="N2645" t="s">
        <v>4384</v>
      </c>
      <c r="O2645" t="s">
        <v>2267</v>
      </c>
      <c r="Q2645" t="s">
        <v>4385</v>
      </c>
    </row>
    <row r="2646" spans="1:17">
      <c r="B2646" t="s">
        <v>4386</v>
      </c>
      <c r="C2646" t="s">
        <v>667</v>
      </c>
      <c r="D2646">
        <v>1.72606359839057E-4</v>
      </c>
      <c r="E2646" t="s">
        <v>94</v>
      </c>
      <c r="H2646" t="s">
        <v>588</v>
      </c>
      <c r="I2646">
        <v>1.72606359839057E-4</v>
      </c>
      <c r="J2646">
        <v>1.0247973619913604</v>
      </c>
      <c r="N2646" t="s">
        <v>4387</v>
      </c>
      <c r="O2646" t="s">
        <v>4388</v>
      </c>
    </row>
    <row r="2647" spans="1:17">
      <c r="A2647" s="421" t="s">
        <v>645</v>
      </c>
      <c r="B2647" s="421" t="s">
        <v>1109</v>
      </c>
      <c r="C2647" s="421" t="s">
        <v>667</v>
      </c>
      <c r="D2647" s="421">
        <v>1</v>
      </c>
      <c r="E2647" s="421" t="s">
        <v>94</v>
      </c>
      <c r="M2647" s="421"/>
      <c r="O2647" s="421" t="s">
        <v>1098</v>
      </c>
      <c r="P2647" s="421"/>
      <c r="Q2647" s="421"/>
    </row>
    <row r="2648" spans="1:17">
      <c r="B2648" t="s">
        <v>285</v>
      </c>
      <c r="C2648" t="s">
        <v>4389</v>
      </c>
      <c r="D2648">
        <v>1.32420139375322E-9</v>
      </c>
      <c r="E2648" t="s">
        <v>94</v>
      </c>
      <c r="H2648" t="s">
        <v>588</v>
      </c>
      <c r="I2648">
        <v>1.32420139375322E-9</v>
      </c>
      <c r="J2648">
        <v>1.2214027581601699</v>
      </c>
      <c r="O2648" t="s">
        <v>641</v>
      </c>
      <c r="Q2648" t="s">
        <v>1643</v>
      </c>
    </row>
    <row r="2649" spans="1:17">
      <c r="B2649" t="s">
        <v>285</v>
      </c>
      <c r="C2649" t="s">
        <v>654</v>
      </c>
      <c r="D2649">
        <v>9.3761880350919692E-6</v>
      </c>
      <c r="E2649" t="s">
        <v>94</v>
      </c>
      <c r="H2649" t="s">
        <v>588</v>
      </c>
      <c r="I2649">
        <v>9.3761880350919692E-6</v>
      </c>
      <c r="J2649">
        <v>1.2214027581601699</v>
      </c>
      <c r="O2649" t="s">
        <v>1002</v>
      </c>
      <c r="Q2649" t="s">
        <v>1444</v>
      </c>
    </row>
    <row r="2650" spans="1:17">
      <c r="B2650" t="s">
        <v>285</v>
      </c>
      <c r="C2650" t="s">
        <v>887</v>
      </c>
      <c r="D2650">
        <v>1.6435177599817799E-4</v>
      </c>
      <c r="E2650" t="s">
        <v>94</v>
      </c>
      <c r="H2650" t="s">
        <v>588</v>
      </c>
      <c r="I2650">
        <v>1.6435177599817799E-4</v>
      </c>
      <c r="J2650">
        <v>2.3379677046900045</v>
      </c>
      <c r="O2650" t="s">
        <v>1157</v>
      </c>
      <c r="Q2650" t="s">
        <v>4390</v>
      </c>
    </row>
    <row r="2651" spans="1:17">
      <c r="B2651" t="s">
        <v>285</v>
      </c>
      <c r="C2651" t="s">
        <v>658</v>
      </c>
      <c r="D2651">
        <v>6.0465918203493098E-4</v>
      </c>
      <c r="E2651" t="s">
        <v>94</v>
      </c>
      <c r="H2651" t="s">
        <v>588</v>
      </c>
      <c r="I2651">
        <v>6.0465918203493098E-4</v>
      </c>
      <c r="J2651">
        <v>1.2214027581601699</v>
      </c>
      <c r="O2651" t="s">
        <v>1678</v>
      </c>
      <c r="Q2651" t="s">
        <v>1679</v>
      </c>
    </row>
    <row r="2652" spans="1:17">
      <c r="B2652" t="s">
        <v>713</v>
      </c>
      <c r="C2652" t="s">
        <v>881</v>
      </c>
      <c r="D2652">
        <v>1.6273200846543201E-7</v>
      </c>
      <c r="E2652" t="s">
        <v>94</v>
      </c>
      <c r="H2652" t="s">
        <v>588</v>
      </c>
      <c r="I2652">
        <v>1.6273200846543201E-7</v>
      </c>
      <c r="J2652">
        <v>1.0247973619913604</v>
      </c>
      <c r="O2652" t="s">
        <v>2422</v>
      </c>
    </row>
    <row r="2653" spans="1:17">
      <c r="B2653" t="s">
        <v>713</v>
      </c>
      <c r="C2653" t="s">
        <v>661</v>
      </c>
      <c r="D2653">
        <v>4.08780930796531E-5</v>
      </c>
      <c r="E2653" t="s">
        <v>94</v>
      </c>
      <c r="H2653" t="s">
        <v>588</v>
      </c>
      <c r="I2653">
        <v>4.08780930796531E-5</v>
      </c>
      <c r="J2653">
        <v>1.2214027581601699</v>
      </c>
      <c r="O2653" t="s">
        <v>641</v>
      </c>
      <c r="Q2653" t="s">
        <v>1643</v>
      </c>
    </row>
    <row r="2654" spans="1:17">
      <c r="B2654" t="s">
        <v>713</v>
      </c>
      <c r="C2654" t="s">
        <v>883</v>
      </c>
      <c r="D2654">
        <v>4.8917173756888402E-9</v>
      </c>
      <c r="E2654" t="s">
        <v>94</v>
      </c>
      <c r="H2654" t="s">
        <v>588</v>
      </c>
      <c r="I2654">
        <v>4.8917173756888402E-9</v>
      </c>
      <c r="J2654">
        <v>1.2214027581601699</v>
      </c>
      <c r="O2654" t="s">
        <v>641</v>
      </c>
      <c r="Q2654" t="s">
        <v>1672</v>
      </c>
    </row>
    <row r="2655" spans="1:17">
      <c r="B2655" t="s">
        <v>713</v>
      </c>
      <c r="C2655" t="s">
        <v>712</v>
      </c>
      <c r="D2655">
        <v>1.6707783901222899E-7</v>
      </c>
      <c r="E2655" t="s">
        <v>94</v>
      </c>
      <c r="H2655" t="s">
        <v>588</v>
      </c>
      <c r="I2655">
        <v>1.6707783901222899E-7</v>
      </c>
      <c r="J2655">
        <v>1</v>
      </c>
      <c r="O2655" t="s">
        <v>1157</v>
      </c>
      <c r="Q2655" t="s">
        <v>4391</v>
      </c>
    </row>
    <row r="2656" spans="1:17">
      <c r="B2656" t="s">
        <v>4392</v>
      </c>
      <c r="C2656" t="s">
        <v>881</v>
      </c>
      <c r="D2656">
        <v>2.3863378517153602E-8</v>
      </c>
      <c r="E2656" t="s">
        <v>94</v>
      </c>
      <c r="H2656" t="s">
        <v>588</v>
      </c>
      <c r="I2656">
        <v>2.3863378517153602E-8</v>
      </c>
      <c r="J2656">
        <v>1.0247973619913604</v>
      </c>
      <c r="O2656" t="s">
        <v>2422</v>
      </c>
    </row>
    <row r="2657" spans="2:17">
      <c r="B2657" t="s">
        <v>4392</v>
      </c>
      <c r="C2657" t="s">
        <v>712</v>
      </c>
      <c r="D2657">
        <v>4.8372719476922897E-9</v>
      </c>
      <c r="E2657" t="s">
        <v>94</v>
      </c>
      <c r="H2657" t="s">
        <v>588</v>
      </c>
      <c r="I2657">
        <v>4.8372719476922897E-9</v>
      </c>
      <c r="J2657">
        <v>1.0247973619913604</v>
      </c>
      <c r="O2657" t="s">
        <v>2422</v>
      </c>
    </row>
    <row r="2658" spans="2:17">
      <c r="B2658" t="s">
        <v>714</v>
      </c>
      <c r="C2658" t="s">
        <v>661</v>
      </c>
      <c r="D2658">
        <v>8.6852520784710694E-8</v>
      </c>
      <c r="E2658" t="s">
        <v>94</v>
      </c>
      <c r="H2658" t="s">
        <v>588</v>
      </c>
      <c r="I2658">
        <v>8.6852520784710694E-8</v>
      </c>
      <c r="J2658">
        <v>2.2394398661220611</v>
      </c>
      <c r="O2658" t="s">
        <v>641</v>
      </c>
      <c r="Q2658" t="s">
        <v>1643</v>
      </c>
    </row>
    <row r="2659" spans="2:17">
      <c r="B2659" t="s">
        <v>714</v>
      </c>
      <c r="C2659" t="s">
        <v>712</v>
      </c>
      <c r="D2659">
        <v>2.77673924002453E-10</v>
      </c>
      <c r="E2659" t="s">
        <v>94</v>
      </c>
      <c r="H2659" t="s">
        <v>588</v>
      </c>
      <c r="I2659">
        <v>2.77673924002453E-10</v>
      </c>
      <c r="J2659">
        <v>1.2214027581601699</v>
      </c>
      <c r="O2659" t="s">
        <v>3040</v>
      </c>
      <c r="Q2659" t="s">
        <v>4393</v>
      </c>
    </row>
    <row r="2660" spans="2:17">
      <c r="B2660" t="s">
        <v>714</v>
      </c>
      <c r="C2660" t="s">
        <v>654</v>
      </c>
      <c r="D2660">
        <v>1.8860630229760599E-8</v>
      </c>
      <c r="E2660" t="s">
        <v>94</v>
      </c>
      <c r="H2660" t="s">
        <v>588</v>
      </c>
      <c r="I2660">
        <v>1.8860630229760599E-8</v>
      </c>
      <c r="J2660">
        <v>2.2394398661220611</v>
      </c>
      <c r="O2660" t="s">
        <v>641</v>
      </c>
      <c r="Q2660" t="s">
        <v>1643</v>
      </c>
    </row>
    <row r="2661" spans="2:17">
      <c r="B2661" t="s">
        <v>714</v>
      </c>
      <c r="C2661" t="s">
        <v>881</v>
      </c>
      <c r="D2661">
        <v>5.55621810619249E-10</v>
      </c>
      <c r="E2661" t="s">
        <v>94</v>
      </c>
      <c r="H2661" t="s">
        <v>588</v>
      </c>
      <c r="I2661">
        <v>5.55621810619249E-10</v>
      </c>
      <c r="J2661">
        <v>1.0247973619913604</v>
      </c>
      <c r="O2661" t="s">
        <v>2422</v>
      </c>
    </row>
    <row r="2662" spans="2:17">
      <c r="B2662" t="s">
        <v>714</v>
      </c>
      <c r="C2662" t="s">
        <v>887</v>
      </c>
      <c r="D2662">
        <v>8.0160080520009306E-9</v>
      </c>
      <c r="E2662" t="s">
        <v>94</v>
      </c>
      <c r="H2662" t="s">
        <v>588</v>
      </c>
      <c r="I2662">
        <v>8.0160080520009306E-9</v>
      </c>
      <c r="J2662">
        <v>2.8799723563366033</v>
      </c>
      <c r="O2662" t="s">
        <v>1157</v>
      </c>
      <c r="Q2662" t="s">
        <v>4380</v>
      </c>
    </row>
    <row r="2663" spans="2:17">
      <c r="B2663" t="s">
        <v>4394</v>
      </c>
      <c r="C2663" t="s">
        <v>661</v>
      </c>
      <c r="D2663">
        <v>6.3503940701655099E-7</v>
      </c>
      <c r="E2663" t="s">
        <v>890</v>
      </c>
      <c r="H2663" t="s">
        <v>588</v>
      </c>
      <c r="I2663">
        <v>6.3503940701655099E-7</v>
      </c>
      <c r="J2663">
        <v>1.7293101253499219</v>
      </c>
      <c r="O2663" t="s">
        <v>851</v>
      </c>
      <c r="Q2663" t="s">
        <v>4395</v>
      </c>
    </row>
    <row r="2664" spans="2:17">
      <c r="B2664" t="s">
        <v>4396</v>
      </c>
      <c r="C2664" t="s">
        <v>661</v>
      </c>
      <c r="D2664">
        <v>5.6857832882425104E-3</v>
      </c>
      <c r="E2664" t="s">
        <v>890</v>
      </c>
      <c r="H2664" t="s">
        <v>588</v>
      </c>
      <c r="I2664">
        <v>5.6857832882425104E-3</v>
      </c>
      <c r="J2664">
        <v>1.7293101253499219</v>
      </c>
      <c r="O2664" t="s">
        <v>1779</v>
      </c>
      <c r="Q2664" t="s">
        <v>1780</v>
      </c>
    </row>
    <row r="2665" spans="2:17">
      <c r="B2665" t="s">
        <v>4396</v>
      </c>
      <c r="C2665" t="s">
        <v>658</v>
      </c>
      <c r="D2665">
        <v>8.37785620517859E-10</v>
      </c>
      <c r="E2665" t="s">
        <v>890</v>
      </c>
      <c r="H2665" t="s">
        <v>588</v>
      </c>
      <c r="I2665">
        <v>8.37785620517859E-10</v>
      </c>
      <c r="J2665">
        <v>1.7293101253499219</v>
      </c>
      <c r="O2665" t="s">
        <v>851</v>
      </c>
      <c r="Q2665" t="s">
        <v>4395</v>
      </c>
    </row>
    <row r="2666" spans="2:17">
      <c r="B2666" t="s">
        <v>4397</v>
      </c>
      <c r="C2666" t="s">
        <v>661</v>
      </c>
      <c r="D2666">
        <v>2.9726302621901899E-5</v>
      </c>
      <c r="E2666" t="s">
        <v>890</v>
      </c>
      <c r="H2666" t="s">
        <v>588</v>
      </c>
      <c r="I2666">
        <v>2.9726302621901899E-5</v>
      </c>
      <c r="J2666">
        <v>1.7293101253499219</v>
      </c>
      <c r="O2666" t="s">
        <v>851</v>
      </c>
      <c r="Q2666" t="s">
        <v>4395</v>
      </c>
    </row>
    <row r="2667" spans="2:17">
      <c r="B2667" t="s">
        <v>4397</v>
      </c>
      <c r="C2667" t="s">
        <v>658</v>
      </c>
      <c r="D2667">
        <v>1.6437966951534301E-8</v>
      </c>
      <c r="E2667" t="s">
        <v>890</v>
      </c>
      <c r="H2667" t="s">
        <v>588</v>
      </c>
      <c r="I2667">
        <v>1.6437966951534301E-8</v>
      </c>
      <c r="J2667">
        <v>1.7293101253499219</v>
      </c>
      <c r="O2667" t="s">
        <v>851</v>
      </c>
      <c r="Q2667" t="s">
        <v>4395</v>
      </c>
    </row>
    <row r="2668" spans="2:17">
      <c r="B2668" t="s">
        <v>715</v>
      </c>
      <c r="C2668" t="s">
        <v>661</v>
      </c>
      <c r="D2668">
        <v>3.7364413051679901E-6</v>
      </c>
      <c r="E2668" t="s">
        <v>94</v>
      </c>
      <c r="H2668" t="s">
        <v>588</v>
      </c>
      <c r="I2668">
        <v>3.7364413051679901E-6</v>
      </c>
      <c r="J2668">
        <v>1.2214027581601699</v>
      </c>
      <c r="O2668" t="s">
        <v>2004</v>
      </c>
      <c r="Q2668" t="s">
        <v>2005</v>
      </c>
    </row>
    <row r="2669" spans="2:17">
      <c r="B2669" t="s">
        <v>715</v>
      </c>
      <c r="C2669" t="s">
        <v>883</v>
      </c>
      <c r="D2669">
        <v>4.51131039333473E-11</v>
      </c>
      <c r="E2669" t="s">
        <v>94</v>
      </c>
      <c r="H2669" t="s">
        <v>588</v>
      </c>
      <c r="I2669">
        <v>4.51131039333473E-11</v>
      </c>
      <c r="J2669">
        <v>1.2214027581601699</v>
      </c>
      <c r="O2669" t="s">
        <v>1628</v>
      </c>
      <c r="Q2669" t="s">
        <v>4398</v>
      </c>
    </row>
    <row r="2670" spans="2:17">
      <c r="B2670" t="s">
        <v>715</v>
      </c>
      <c r="C2670" t="s">
        <v>712</v>
      </c>
      <c r="D2670">
        <v>1.25266536947284E-7</v>
      </c>
      <c r="E2670" t="s">
        <v>94</v>
      </c>
      <c r="H2670" t="s">
        <v>588</v>
      </c>
      <c r="I2670">
        <v>1.25266536947284E-7</v>
      </c>
      <c r="J2670">
        <v>1.0247973619913604</v>
      </c>
      <c r="O2670" t="s">
        <v>2422</v>
      </c>
    </row>
    <row r="2671" spans="2:17">
      <c r="B2671" t="s">
        <v>715</v>
      </c>
      <c r="C2671" t="s">
        <v>881</v>
      </c>
      <c r="D2671">
        <v>4.1456954061430902E-7</v>
      </c>
      <c r="E2671" t="s">
        <v>94</v>
      </c>
      <c r="H2671" t="s">
        <v>588</v>
      </c>
      <c r="I2671">
        <v>4.1456954061430902E-7</v>
      </c>
      <c r="J2671">
        <v>1.0247973619913604</v>
      </c>
      <c r="O2671" t="s">
        <v>2422</v>
      </c>
    </row>
    <row r="2672" spans="2:17">
      <c r="B2672" t="s">
        <v>4399</v>
      </c>
      <c r="C2672" t="s">
        <v>658</v>
      </c>
      <c r="D2672">
        <v>7.81321427521005E-4</v>
      </c>
      <c r="E2672" t="s">
        <v>890</v>
      </c>
      <c r="H2672" t="s">
        <v>588</v>
      </c>
      <c r="I2672">
        <v>7.81321427521005E-4</v>
      </c>
      <c r="J2672">
        <v>1.2214027581601699</v>
      </c>
      <c r="O2672" t="s">
        <v>956</v>
      </c>
      <c r="Q2672" t="s">
        <v>4400</v>
      </c>
    </row>
    <row r="2673" spans="2:17">
      <c r="B2673" t="s">
        <v>716</v>
      </c>
      <c r="C2673" t="s">
        <v>658</v>
      </c>
      <c r="D2673">
        <v>3.1499517843474002E-10</v>
      </c>
      <c r="E2673" t="s">
        <v>94</v>
      </c>
      <c r="H2673" t="s">
        <v>588</v>
      </c>
      <c r="I2673">
        <v>3.1499517843474002E-10</v>
      </c>
      <c r="J2673">
        <v>2.2394398661220611</v>
      </c>
      <c r="O2673" t="s">
        <v>1157</v>
      </c>
      <c r="Q2673" t="s">
        <v>1166</v>
      </c>
    </row>
    <row r="2674" spans="2:17">
      <c r="B2674" t="s">
        <v>716</v>
      </c>
      <c r="C2674" t="s">
        <v>4401</v>
      </c>
      <c r="D2674">
        <v>1.05103455440889E-10</v>
      </c>
      <c r="E2674" t="s">
        <v>94</v>
      </c>
      <c r="Q2674" t="s">
        <v>2449</v>
      </c>
    </row>
    <row r="2675" spans="2:17">
      <c r="B2675" t="s">
        <v>716</v>
      </c>
      <c r="C2675" t="s">
        <v>4389</v>
      </c>
      <c r="D2675">
        <v>5.8372587686009504E-12</v>
      </c>
      <c r="E2675" t="s">
        <v>94</v>
      </c>
      <c r="H2675" t="s">
        <v>588</v>
      </c>
      <c r="I2675">
        <v>5.8372587686009504E-12</v>
      </c>
      <c r="J2675">
        <v>1.2214027581601699</v>
      </c>
      <c r="O2675" t="s">
        <v>641</v>
      </c>
      <c r="Q2675" t="s">
        <v>1643</v>
      </c>
    </row>
    <row r="2676" spans="2:17">
      <c r="B2676" t="s">
        <v>716</v>
      </c>
      <c r="C2676" t="s">
        <v>887</v>
      </c>
      <c r="D2676">
        <v>2.1202035553143099E-7</v>
      </c>
      <c r="E2676" t="s">
        <v>94</v>
      </c>
      <c r="H2676" t="s">
        <v>588</v>
      </c>
      <c r="I2676">
        <v>2.1202035553143099E-7</v>
      </c>
      <c r="J2676">
        <v>3.4500407633354517</v>
      </c>
      <c r="O2676" t="s">
        <v>1157</v>
      </c>
      <c r="Q2676" t="s">
        <v>4380</v>
      </c>
    </row>
    <row r="2677" spans="2:17">
      <c r="B2677" t="s">
        <v>716</v>
      </c>
      <c r="C2677" t="s">
        <v>654</v>
      </c>
      <c r="D2677">
        <v>1.5177587748269501E-8</v>
      </c>
      <c r="E2677" t="s">
        <v>94</v>
      </c>
      <c r="H2677" t="s">
        <v>588</v>
      </c>
      <c r="I2677">
        <v>1.5177587748269501E-8</v>
      </c>
      <c r="J2677">
        <v>2.2394398661220611</v>
      </c>
      <c r="O2677" t="s">
        <v>641</v>
      </c>
      <c r="Q2677" t="s">
        <v>1643</v>
      </c>
    </row>
    <row r="2678" spans="2:17">
      <c r="B2678" t="s">
        <v>717</v>
      </c>
      <c r="C2678" t="s">
        <v>661</v>
      </c>
      <c r="D2678">
        <v>1.6933482807965499E-7</v>
      </c>
      <c r="E2678" t="s">
        <v>94</v>
      </c>
      <c r="H2678" t="s">
        <v>588</v>
      </c>
      <c r="I2678">
        <v>1.6933482807965499E-7</v>
      </c>
      <c r="J2678">
        <v>2.2394398661220611</v>
      </c>
      <c r="O2678" t="s">
        <v>641</v>
      </c>
      <c r="Q2678" t="s">
        <v>1643</v>
      </c>
    </row>
    <row r="2679" spans="2:17">
      <c r="B2679" t="s">
        <v>717</v>
      </c>
      <c r="C2679" t="s">
        <v>712</v>
      </c>
      <c r="D2679">
        <v>2.6358620759322099E-8</v>
      </c>
      <c r="E2679" t="s">
        <v>94</v>
      </c>
      <c r="H2679" t="s">
        <v>588</v>
      </c>
      <c r="I2679">
        <v>2.6358620759322099E-8</v>
      </c>
      <c r="J2679">
        <v>1.0247973619913604</v>
      </c>
      <c r="O2679" t="s">
        <v>2422</v>
      </c>
    </row>
    <row r="2680" spans="2:17">
      <c r="B2680" t="s">
        <v>717</v>
      </c>
      <c r="C2680" t="s">
        <v>881</v>
      </c>
      <c r="D2680">
        <v>4.1894342417382799E-7</v>
      </c>
      <c r="E2680" t="s">
        <v>94</v>
      </c>
      <c r="H2680" t="s">
        <v>588</v>
      </c>
      <c r="I2680">
        <v>4.1894342417382799E-7</v>
      </c>
      <c r="J2680">
        <v>1.0247973619913604</v>
      </c>
      <c r="O2680" t="s">
        <v>2422</v>
      </c>
    </row>
    <row r="2681" spans="2:17">
      <c r="B2681" t="s">
        <v>717</v>
      </c>
      <c r="C2681" t="s">
        <v>883</v>
      </c>
      <c r="D2681">
        <v>1.66600416275559E-9</v>
      </c>
      <c r="E2681" t="s">
        <v>94</v>
      </c>
      <c r="H2681" t="s">
        <v>588</v>
      </c>
      <c r="I2681">
        <v>1.66600416275559E-9</v>
      </c>
      <c r="J2681">
        <v>2.2394398661220611</v>
      </c>
      <c r="O2681" t="s">
        <v>641</v>
      </c>
      <c r="Q2681" t="s">
        <v>1643</v>
      </c>
    </row>
    <row r="2682" spans="2:17">
      <c r="B2682" t="s">
        <v>4402</v>
      </c>
      <c r="C2682" t="s">
        <v>744</v>
      </c>
      <c r="D2682">
        <v>1.4113629594134E-4</v>
      </c>
      <c r="E2682" t="s">
        <v>94</v>
      </c>
      <c r="H2682" t="s">
        <v>588</v>
      </c>
      <c r="I2682">
        <v>1.4113629594134E-4</v>
      </c>
      <c r="J2682">
        <v>1.1051709180756477</v>
      </c>
      <c r="N2682" t="s">
        <v>4403</v>
      </c>
      <c r="O2682" t="s">
        <v>1700</v>
      </c>
      <c r="Q2682" t="s">
        <v>2295</v>
      </c>
    </row>
    <row r="2683" spans="2:17">
      <c r="B2683" t="s">
        <v>4404</v>
      </c>
      <c r="C2683" t="s">
        <v>744</v>
      </c>
      <c r="D2683">
        <v>1.52594784335564E-6</v>
      </c>
      <c r="E2683" t="s">
        <v>94</v>
      </c>
      <c r="H2683" t="s">
        <v>588</v>
      </c>
      <c r="I2683">
        <v>1.52594784335564E-6</v>
      </c>
      <c r="J2683">
        <v>1.0247973619913604</v>
      </c>
      <c r="N2683" t="s">
        <v>4405</v>
      </c>
      <c r="O2683" t="s">
        <v>3601</v>
      </c>
      <c r="Q2683" t="s">
        <v>4406</v>
      </c>
    </row>
    <row r="2684" spans="2:17">
      <c r="B2684" t="s">
        <v>4404</v>
      </c>
      <c r="C2684" t="s">
        <v>744</v>
      </c>
      <c r="D2684">
        <v>7.1705824124105105E-5</v>
      </c>
      <c r="E2684" t="s">
        <v>94</v>
      </c>
      <c r="H2684" t="s">
        <v>588</v>
      </c>
      <c r="I2684">
        <v>7.1705824124105105E-5</v>
      </c>
      <c r="J2684">
        <v>1.0247973619913604</v>
      </c>
      <c r="N2684" t="s">
        <v>4407</v>
      </c>
      <c r="O2684" t="s">
        <v>641</v>
      </c>
      <c r="Q2684" t="s">
        <v>4408</v>
      </c>
    </row>
    <row r="2685" spans="2:17">
      <c r="B2685" t="s">
        <v>4404</v>
      </c>
      <c r="C2685" t="s">
        <v>744</v>
      </c>
      <c r="D2685">
        <v>3.05189568446609E-6</v>
      </c>
      <c r="E2685" t="s">
        <v>94</v>
      </c>
      <c r="H2685" t="s">
        <v>588</v>
      </c>
      <c r="I2685">
        <v>3.05189568446609E-6</v>
      </c>
      <c r="J2685">
        <v>1.0247973619913604</v>
      </c>
      <c r="N2685" t="s">
        <v>4405</v>
      </c>
      <c r="O2685" t="s">
        <v>1850</v>
      </c>
      <c r="Q2685" t="s">
        <v>4406</v>
      </c>
    </row>
    <row r="2686" spans="2:17">
      <c r="B2686" t="s">
        <v>4409</v>
      </c>
      <c r="C2686" t="s">
        <v>744</v>
      </c>
      <c r="D2686">
        <v>1.2402705900708001E-3</v>
      </c>
      <c r="E2686" t="s">
        <v>94</v>
      </c>
      <c r="H2686" t="s">
        <v>588</v>
      </c>
      <c r="I2686">
        <v>1.2402705900708001E-3</v>
      </c>
      <c r="J2686">
        <v>1</v>
      </c>
      <c r="N2686" t="s">
        <v>4410</v>
      </c>
      <c r="O2686" t="s">
        <v>1157</v>
      </c>
      <c r="Q2686" t="s">
        <v>4411</v>
      </c>
    </row>
    <row r="2687" spans="2:17">
      <c r="B2687" t="s">
        <v>4409</v>
      </c>
      <c r="C2687" t="s">
        <v>744</v>
      </c>
      <c r="D2687">
        <v>8.01318772555852E-5</v>
      </c>
      <c r="E2687" t="s">
        <v>94</v>
      </c>
      <c r="H2687" t="s">
        <v>588</v>
      </c>
      <c r="I2687">
        <v>8.01318772555852E-5</v>
      </c>
      <c r="J2687">
        <v>4.662167327872754</v>
      </c>
      <c r="N2687" t="s">
        <v>4410</v>
      </c>
      <c r="O2687" t="s">
        <v>798</v>
      </c>
      <c r="Q2687" t="s">
        <v>2961</v>
      </c>
    </row>
    <row r="2688" spans="2:17">
      <c r="B2688" t="s">
        <v>4412</v>
      </c>
      <c r="C2688" t="s">
        <v>4413</v>
      </c>
      <c r="D2688">
        <v>1.1981470347001701E-6</v>
      </c>
      <c r="E2688" t="s">
        <v>94</v>
      </c>
      <c r="H2688" t="s">
        <v>588</v>
      </c>
      <c r="I2688">
        <v>1.1981470347001701E-6</v>
      </c>
      <c r="J2688">
        <v>1.2090000000000638</v>
      </c>
      <c r="O2688" t="s">
        <v>589</v>
      </c>
      <c r="Q2688" t="s">
        <v>4414</v>
      </c>
    </row>
    <row r="2689" spans="2:17">
      <c r="B2689" t="s">
        <v>4415</v>
      </c>
      <c r="C2689" t="s">
        <v>606</v>
      </c>
      <c r="D2689">
        <v>3.7998073340767E-3</v>
      </c>
      <c r="E2689" t="s">
        <v>94</v>
      </c>
      <c r="N2689" t="s">
        <v>4416</v>
      </c>
      <c r="Q2689" t="s">
        <v>4417</v>
      </c>
    </row>
    <row r="2690" spans="2:17">
      <c r="B2690" t="s">
        <v>4415</v>
      </c>
      <c r="C2690" t="s">
        <v>606</v>
      </c>
      <c r="D2690">
        <v>1.73136591567436E-3</v>
      </c>
      <c r="E2690" t="s">
        <v>94</v>
      </c>
      <c r="N2690" t="s">
        <v>4416</v>
      </c>
      <c r="Q2690" t="s">
        <v>4417</v>
      </c>
    </row>
    <row r="2691" spans="2:17">
      <c r="B2691" t="s">
        <v>4418</v>
      </c>
      <c r="C2691" t="s">
        <v>673</v>
      </c>
      <c r="D2691">
        <v>8.5480849623687796E-4</v>
      </c>
      <c r="E2691" t="s">
        <v>94</v>
      </c>
      <c r="N2691" t="s">
        <v>4419</v>
      </c>
      <c r="Q2691" t="s">
        <v>1790</v>
      </c>
    </row>
    <row r="2692" spans="2:17">
      <c r="B2692" t="s">
        <v>718</v>
      </c>
      <c r="C2692" t="s">
        <v>654</v>
      </c>
      <c r="D2692">
        <v>1.61063049402889E-9</v>
      </c>
      <c r="E2692" t="s">
        <v>94</v>
      </c>
      <c r="H2692" t="s">
        <v>588</v>
      </c>
      <c r="I2692">
        <v>1.61063049402889E-9</v>
      </c>
      <c r="J2692">
        <v>1.2214027581601699</v>
      </c>
      <c r="O2692" t="s">
        <v>4374</v>
      </c>
      <c r="Q2692" t="s">
        <v>4375</v>
      </c>
    </row>
    <row r="2693" spans="2:17">
      <c r="B2693" t="s">
        <v>718</v>
      </c>
      <c r="C2693" t="s">
        <v>712</v>
      </c>
      <c r="D2693">
        <v>1.5192385107910699E-8</v>
      </c>
      <c r="E2693" t="s">
        <v>94</v>
      </c>
      <c r="H2693" t="s">
        <v>588</v>
      </c>
      <c r="I2693">
        <v>1.5192385107910699E-8</v>
      </c>
      <c r="J2693">
        <v>1.2214027581601699</v>
      </c>
      <c r="O2693" t="s">
        <v>3040</v>
      </c>
      <c r="Q2693" t="s">
        <v>4393</v>
      </c>
    </row>
    <row r="2694" spans="2:17">
      <c r="B2694" t="s">
        <v>718</v>
      </c>
      <c r="C2694" t="s">
        <v>887</v>
      </c>
      <c r="D2694">
        <v>1.9415940235328502E-9</v>
      </c>
      <c r="E2694" t="s">
        <v>94</v>
      </c>
      <c r="H2694" t="s">
        <v>588</v>
      </c>
      <c r="I2694">
        <v>1.9415940235328502E-9</v>
      </c>
      <c r="J2694">
        <v>2.6199935172615194</v>
      </c>
      <c r="O2694" t="s">
        <v>1157</v>
      </c>
      <c r="Q2694" t="s">
        <v>4380</v>
      </c>
    </row>
    <row r="2695" spans="2:17">
      <c r="B2695" t="s">
        <v>718</v>
      </c>
      <c r="C2695" t="s">
        <v>661</v>
      </c>
      <c r="D2695">
        <v>5.5429435423281705E-7</v>
      </c>
      <c r="E2695" t="s">
        <v>94</v>
      </c>
      <c r="H2695" t="s">
        <v>588</v>
      </c>
      <c r="I2695">
        <v>5.5429435423281705E-7</v>
      </c>
      <c r="J2695">
        <v>3.6691555414506221</v>
      </c>
      <c r="O2695" t="s">
        <v>1157</v>
      </c>
      <c r="Q2695" t="s">
        <v>4420</v>
      </c>
    </row>
    <row r="2696" spans="2:17">
      <c r="B2696" t="s">
        <v>4421</v>
      </c>
      <c r="C2696" t="s">
        <v>661</v>
      </c>
      <c r="D2696">
        <v>1.12957744174968E-6</v>
      </c>
      <c r="E2696" t="s">
        <v>890</v>
      </c>
      <c r="H2696" t="s">
        <v>588</v>
      </c>
      <c r="I2696">
        <v>1.12957744174968E-6</v>
      </c>
      <c r="J2696">
        <v>1.2214027581601699</v>
      </c>
      <c r="O2696" t="s">
        <v>956</v>
      </c>
      <c r="Q2696" t="s">
        <v>4422</v>
      </c>
    </row>
    <row r="2697" spans="2:17">
      <c r="B2697" t="s">
        <v>4421</v>
      </c>
      <c r="C2697" t="s">
        <v>658</v>
      </c>
      <c r="D2697">
        <v>4.3431649553797998E-7</v>
      </c>
      <c r="E2697" t="s">
        <v>890</v>
      </c>
      <c r="H2697" t="s">
        <v>588</v>
      </c>
      <c r="I2697">
        <v>4.3431649553797998E-7</v>
      </c>
      <c r="J2697">
        <v>1.7293101253499219</v>
      </c>
      <c r="O2697" t="s">
        <v>851</v>
      </c>
      <c r="Q2697" t="s">
        <v>4395</v>
      </c>
    </row>
    <row r="2698" spans="2:17">
      <c r="B2698" t="s">
        <v>4423</v>
      </c>
      <c r="C2698" t="s">
        <v>744</v>
      </c>
      <c r="D2698">
        <v>8.8370310370307304E-5</v>
      </c>
      <c r="E2698" t="s">
        <v>94</v>
      </c>
      <c r="H2698" t="s">
        <v>588</v>
      </c>
      <c r="I2698">
        <v>8.8370310370307304E-5</v>
      </c>
      <c r="J2698">
        <v>2.127576297904322</v>
      </c>
      <c r="N2698" t="s">
        <v>4424</v>
      </c>
      <c r="O2698" t="s">
        <v>798</v>
      </c>
      <c r="Q2698" t="s">
        <v>2961</v>
      </c>
    </row>
    <row r="2699" spans="2:17">
      <c r="B2699" t="s">
        <v>719</v>
      </c>
      <c r="C2699" t="s">
        <v>658</v>
      </c>
      <c r="D2699">
        <v>2.34292681586847E-7</v>
      </c>
      <c r="E2699" t="s">
        <v>94</v>
      </c>
      <c r="H2699" t="s">
        <v>588</v>
      </c>
      <c r="I2699">
        <v>2.34292681586847E-7</v>
      </c>
      <c r="J2699">
        <v>1.2214027581601699</v>
      </c>
      <c r="O2699" t="s">
        <v>871</v>
      </c>
      <c r="Q2699" t="s">
        <v>1679</v>
      </c>
    </row>
    <row r="2700" spans="2:17">
      <c r="B2700" t="s">
        <v>719</v>
      </c>
      <c r="C2700" t="s">
        <v>887</v>
      </c>
      <c r="D2700">
        <v>1.2504423669013499E-5</v>
      </c>
      <c r="E2700" t="s">
        <v>94</v>
      </c>
      <c r="H2700" t="s">
        <v>588</v>
      </c>
      <c r="I2700">
        <v>1.2504423669013499E-5</v>
      </c>
      <c r="J2700">
        <v>1.3752314347495442</v>
      </c>
      <c r="O2700" t="s">
        <v>1157</v>
      </c>
      <c r="Q2700" t="s">
        <v>4425</v>
      </c>
    </row>
    <row r="2701" spans="2:17">
      <c r="B2701" t="s">
        <v>719</v>
      </c>
      <c r="C2701" t="s">
        <v>661</v>
      </c>
      <c r="D2701">
        <v>4.2990709515584999E-6</v>
      </c>
      <c r="E2701" t="s">
        <v>94</v>
      </c>
      <c r="H2701" t="s">
        <v>588</v>
      </c>
      <c r="I2701">
        <v>4.2990709515584999E-6</v>
      </c>
      <c r="J2701">
        <v>1.7293101253499219</v>
      </c>
      <c r="O2701" t="s">
        <v>1678</v>
      </c>
      <c r="Q2701" t="s">
        <v>1679</v>
      </c>
    </row>
    <row r="2702" spans="2:17">
      <c r="B2702" t="s">
        <v>719</v>
      </c>
      <c r="C2702" t="s">
        <v>883</v>
      </c>
      <c r="D2702">
        <v>2.1519076368654199E-8</v>
      </c>
      <c r="E2702" t="s">
        <v>94</v>
      </c>
      <c r="H2702" t="s">
        <v>588</v>
      </c>
      <c r="I2702">
        <v>2.1519076368654199E-8</v>
      </c>
      <c r="J2702">
        <v>1.7293101253499219</v>
      </c>
      <c r="O2702" t="s">
        <v>2307</v>
      </c>
      <c r="Q2702" t="s">
        <v>4426</v>
      </c>
    </row>
    <row r="2703" spans="2:17">
      <c r="B2703" t="s">
        <v>719</v>
      </c>
      <c r="C2703" t="s">
        <v>654</v>
      </c>
      <c r="D2703">
        <v>2.19478708121723E-7</v>
      </c>
      <c r="E2703" t="s">
        <v>94</v>
      </c>
      <c r="H2703" t="s">
        <v>588</v>
      </c>
      <c r="I2703">
        <v>2.19478708121723E-7</v>
      </c>
      <c r="J2703">
        <v>1.2214027581601699</v>
      </c>
      <c r="O2703" t="s">
        <v>641</v>
      </c>
      <c r="Q2703" t="s">
        <v>1643</v>
      </c>
    </row>
    <row r="2704" spans="2:17">
      <c r="B2704" t="s">
        <v>4427</v>
      </c>
      <c r="C2704" t="s">
        <v>658</v>
      </c>
      <c r="D2704">
        <v>2.1154381429983699E-10</v>
      </c>
      <c r="E2704" t="s">
        <v>94</v>
      </c>
      <c r="H2704" t="s">
        <v>588</v>
      </c>
      <c r="I2704">
        <v>2.1154381429983699E-10</v>
      </c>
      <c r="J2704">
        <v>1.2214027581601699</v>
      </c>
      <c r="O2704" t="s">
        <v>871</v>
      </c>
      <c r="Q2704" t="s">
        <v>1679</v>
      </c>
    </row>
    <row r="2705" spans="2:17">
      <c r="B2705" t="s">
        <v>4427</v>
      </c>
      <c r="C2705" t="s">
        <v>654</v>
      </c>
      <c r="D2705">
        <v>4.9309084232841402E-9</v>
      </c>
      <c r="E2705" t="s">
        <v>94</v>
      </c>
      <c r="H2705" t="s">
        <v>588</v>
      </c>
      <c r="I2705">
        <v>4.9309084232841402E-9</v>
      </c>
      <c r="J2705">
        <v>1.5639483159353722</v>
      </c>
      <c r="O2705" t="s">
        <v>1798</v>
      </c>
      <c r="Q2705" t="s">
        <v>4428</v>
      </c>
    </row>
    <row r="2706" spans="2:17">
      <c r="B2706" t="s">
        <v>4427</v>
      </c>
      <c r="C2706" t="s">
        <v>887</v>
      </c>
      <c r="D2706">
        <v>5.2517944984564896E-7</v>
      </c>
      <c r="E2706" t="s">
        <v>94</v>
      </c>
      <c r="H2706" t="s">
        <v>588</v>
      </c>
      <c r="I2706">
        <v>5.2517944984564896E-7</v>
      </c>
      <c r="J2706">
        <v>1.9265750720549795</v>
      </c>
      <c r="O2706" t="s">
        <v>1798</v>
      </c>
      <c r="Q2706" t="s">
        <v>4429</v>
      </c>
    </row>
    <row r="2707" spans="2:17">
      <c r="B2707" t="s">
        <v>4430</v>
      </c>
      <c r="C2707" t="s">
        <v>887</v>
      </c>
      <c r="D2707">
        <v>7.9414291827025898E-14</v>
      </c>
      <c r="E2707" t="s">
        <v>94</v>
      </c>
      <c r="H2707" t="s">
        <v>588</v>
      </c>
      <c r="I2707">
        <v>7.9414291827025898E-14</v>
      </c>
      <c r="J2707">
        <v>1.3752314347495442</v>
      </c>
      <c r="O2707" t="s">
        <v>1157</v>
      </c>
      <c r="Q2707" t="s">
        <v>4425</v>
      </c>
    </row>
    <row r="2708" spans="2:17">
      <c r="B2708" t="s">
        <v>4430</v>
      </c>
      <c r="C2708" t="s">
        <v>654</v>
      </c>
      <c r="D2708">
        <v>1.1834179694837199E-15</v>
      </c>
      <c r="E2708" t="s">
        <v>94</v>
      </c>
      <c r="H2708" t="s">
        <v>588</v>
      </c>
      <c r="I2708">
        <v>1.1834179694837199E-15</v>
      </c>
      <c r="J2708">
        <v>1.5639483159353722</v>
      </c>
      <c r="O2708" t="s">
        <v>1798</v>
      </c>
      <c r="Q2708" t="s">
        <v>4428</v>
      </c>
    </row>
    <row r="2709" spans="2:17">
      <c r="B2709" t="s">
        <v>720</v>
      </c>
      <c r="C2709" t="s">
        <v>658</v>
      </c>
      <c r="D2709">
        <v>1.43555869373078E-12</v>
      </c>
      <c r="E2709" t="s">
        <v>94</v>
      </c>
      <c r="H2709" t="s">
        <v>588</v>
      </c>
      <c r="I2709">
        <v>1.43555869373078E-12</v>
      </c>
      <c r="J2709">
        <v>1.2214027581601699</v>
      </c>
      <c r="O2709" t="s">
        <v>871</v>
      </c>
      <c r="Q2709" t="s">
        <v>1679</v>
      </c>
    </row>
    <row r="2710" spans="2:17">
      <c r="B2710" t="s">
        <v>720</v>
      </c>
      <c r="C2710" t="s">
        <v>887</v>
      </c>
      <c r="D2710">
        <v>5.9581896851423402E-9</v>
      </c>
      <c r="E2710" t="s">
        <v>94</v>
      </c>
      <c r="H2710" t="s">
        <v>588</v>
      </c>
      <c r="I2710">
        <v>5.9581896851423402E-9</v>
      </c>
      <c r="J2710">
        <v>1.9448779379824532</v>
      </c>
      <c r="O2710" t="s">
        <v>1157</v>
      </c>
      <c r="Q2710" t="s">
        <v>4425</v>
      </c>
    </row>
    <row r="2711" spans="2:17">
      <c r="B2711" t="s">
        <v>720</v>
      </c>
      <c r="C2711" t="s">
        <v>654</v>
      </c>
      <c r="D2711">
        <v>1.32848067533312E-8</v>
      </c>
      <c r="E2711" t="s">
        <v>94</v>
      </c>
      <c r="H2711" t="s">
        <v>588</v>
      </c>
      <c r="I2711">
        <v>1.32848067533312E-8</v>
      </c>
      <c r="J2711">
        <v>1.7293101253499219</v>
      </c>
      <c r="O2711" t="s">
        <v>641</v>
      </c>
      <c r="Q2711" t="s">
        <v>1643</v>
      </c>
    </row>
    <row r="2712" spans="2:17">
      <c r="B2712" t="s">
        <v>721</v>
      </c>
      <c r="C2712" t="s">
        <v>712</v>
      </c>
      <c r="D2712">
        <v>2.3910533462813601E-10</v>
      </c>
      <c r="E2712" t="s">
        <v>94</v>
      </c>
      <c r="H2712" t="s">
        <v>588</v>
      </c>
      <c r="I2712">
        <v>2.3910533462813601E-10</v>
      </c>
      <c r="J2712">
        <v>1.2214027581601699</v>
      </c>
      <c r="O2712" t="s">
        <v>3040</v>
      </c>
      <c r="Q2712" t="s">
        <v>4393</v>
      </c>
    </row>
    <row r="2713" spans="2:17">
      <c r="B2713" t="s">
        <v>721</v>
      </c>
      <c r="C2713" t="s">
        <v>654</v>
      </c>
      <c r="D2713">
        <v>3.6736004372517101E-10</v>
      </c>
      <c r="E2713" t="s">
        <v>94</v>
      </c>
      <c r="H2713" t="s">
        <v>588</v>
      </c>
      <c r="I2713">
        <v>3.6736004372517101E-10</v>
      </c>
      <c r="J2713">
        <v>1.2214027581601699</v>
      </c>
      <c r="O2713" t="s">
        <v>641</v>
      </c>
      <c r="Q2713" t="s">
        <v>1643</v>
      </c>
    </row>
    <row r="2714" spans="2:17">
      <c r="B2714" t="s">
        <v>721</v>
      </c>
      <c r="C2714" t="s">
        <v>887</v>
      </c>
      <c r="D2714">
        <v>1.1807810535822099E-9</v>
      </c>
      <c r="E2714" t="s">
        <v>94</v>
      </c>
      <c r="H2714" t="s">
        <v>588</v>
      </c>
      <c r="I2714">
        <v>1.1807810535822099E-9</v>
      </c>
      <c r="J2714">
        <v>2.2394398661220611</v>
      </c>
      <c r="O2714" t="s">
        <v>4431</v>
      </c>
      <c r="Q2714" t="s">
        <v>4432</v>
      </c>
    </row>
    <row r="2715" spans="2:17">
      <c r="B2715" t="s">
        <v>4433</v>
      </c>
      <c r="C2715" t="s">
        <v>744</v>
      </c>
      <c r="D2715">
        <v>8.9002214065740197E-7</v>
      </c>
      <c r="E2715" t="s">
        <v>94</v>
      </c>
      <c r="H2715" t="s">
        <v>588</v>
      </c>
      <c r="I2715">
        <v>8.9002214065740197E-7</v>
      </c>
      <c r="J2715">
        <v>1.0247973619913604</v>
      </c>
      <c r="N2715" t="s">
        <v>4434</v>
      </c>
      <c r="O2715" t="s">
        <v>641</v>
      </c>
      <c r="Q2715" t="s">
        <v>1643</v>
      </c>
    </row>
    <row r="2716" spans="2:17">
      <c r="B2716" t="s">
        <v>4433</v>
      </c>
      <c r="C2716" t="s">
        <v>744</v>
      </c>
      <c r="D2716">
        <v>1.4452618149459599E-5</v>
      </c>
      <c r="E2716" t="s">
        <v>94</v>
      </c>
      <c r="H2716" t="s">
        <v>588</v>
      </c>
      <c r="I2716">
        <v>1.4452618149459599E-5</v>
      </c>
      <c r="J2716">
        <v>1.0247973619913604</v>
      </c>
      <c r="N2716" t="s">
        <v>4434</v>
      </c>
      <c r="O2716" t="s">
        <v>641</v>
      </c>
      <c r="Q2716" t="s">
        <v>1643</v>
      </c>
    </row>
    <row r="2717" spans="2:17">
      <c r="B2717" t="s">
        <v>4433</v>
      </c>
      <c r="C2717" t="s">
        <v>744</v>
      </c>
      <c r="D2717">
        <v>3.0148476158497E-5</v>
      </c>
      <c r="E2717" t="s">
        <v>94</v>
      </c>
      <c r="H2717" t="s">
        <v>588</v>
      </c>
      <c r="I2717">
        <v>3.0148476158497E-5</v>
      </c>
      <c r="J2717">
        <v>1.0247973619913604</v>
      </c>
      <c r="N2717" t="s">
        <v>4434</v>
      </c>
      <c r="O2717" t="s">
        <v>641</v>
      </c>
      <c r="Q2717" t="s">
        <v>1643</v>
      </c>
    </row>
    <row r="2718" spans="2:17">
      <c r="B2718" t="s">
        <v>4435</v>
      </c>
      <c r="C2718" t="s">
        <v>787</v>
      </c>
      <c r="D2718">
        <v>3.8996522995127403E-2</v>
      </c>
      <c r="E2718" t="s">
        <v>94</v>
      </c>
      <c r="H2718" t="s">
        <v>588</v>
      </c>
      <c r="I2718">
        <v>3.8996522995127403E-2</v>
      </c>
      <c r="J2718">
        <v>1</v>
      </c>
      <c r="N2718" t="s">
        <v>4436</v>
      </c>
      <c r="O2718" t="s">
        <v>1157</v>
      </c>
      <c r="Q2718" t="s">
        <v>4437</v>
      </c>
    </row>
    <row r="2719" spans="2:17">
      <c r="B2719" t="s">
        <v>4435</v>
      </c>
      <c r="C2719" t="s">
        <v>787</v>
      </c>
      <c r="D2719">
        <v>1.1801297754630201E-2</v>
      </c>
      <c r="E2719" t="s">
        <v>94</v>
      </c>
      <c r="H2719" t="s">
        <v>588</v>
      </c>
      <c r="I2719">
        <v>1.1801297754630201E-2</v>
      </c>
      <c r="J2719">
        <v>1.0247973619913604</v>
      </c>
      <c r="N2719" t="s">
        <v>4436</v>
      </c>
      <c r="O2719" t="s">
        <v>2272</v>
      </c>
      <c r="Q2719" t="s">
        <v>2277</v>
      </c>
    </row>
    <row r="2720" spans="2:17">
      <c r="B2720" t="s">
        <v>4435</v>
      </c>
      <c r="C2720" t="s">
        <v>787</v>
      </c>
      <c r="D2720">
        <v>1.32183060920037E-5</v>
      </c>
      <c r="E2720" t="s">
        <v>94</v>
      </c>
      <c r="H2720" t="s">
        <v>588</v>
      </c>
      <c r="I2720">
        <v>1.32183060920037E-5</v>
      </c>
      <c r="J2720">
        <v>1.0247973619913604</v>
      </c>
      <c r="N2720" t="s">
        <v>4438</v>
      </c>
      <c r="O2720" t="s">
        <v>1850</v>
      </c>
      <c r="Q2720" t="s">
        <v>4439</v>
      </c>
    </row>
    <row r="2721" spans="2:17">
      <c r="B2721" t="s">
        <v>4440</v>
      </c>
      <c r="C2721" t="s">
        <v>787</v>
      </c>
      <c r="D2721">
        <v>7.8632563057324395E-7</v>
      </c>
      <c r="E2721" t="s">
        <v>94</v>
      </c>
      <c r="H2721" t="s">
        <v>588</v>
      </c>
      <c r="I2721">
        <v>7.8632563057324395E-7</v>
      </c>
      <c r="J2721">
        <v>1.0247973619913604</v>
      </c>
      <c r="N2721" t="s">
        <v>4441</v>
      </c>
      <c r="O2721" t="s">
        <v>641</v>
      </c>
      <c r="Q2721" t="s">
        <v>1672</v>
      </c>
    </row>
    <row r="2722" spans="2:17">
      <c r="B2722" t="s">
        <v>4440</v>
      </c>
      <c r="C2722" t="s">
        <v>787</v>
      </c>
      <c r="D2722">
        <v>4.59916084183411E-7</v>
      </c>
      <c r="E2722" t="s">
        <v>94</v>
      </c>
      <c r="H2722" t="s">
        <v>588</v>
      </c>
      <c r="I2722">
        <v>4.59916084183411E-7</v>
      </c>
      <c r="J2722">
        <v>1.0247973619913604</v>
      </c>
      <c r="N2722" t="s">
        <v>4441</v>
      </c>
      <c r="O2722" t="s">
        <v>641</v>
      </c>
      <c r="Q2722" t="s">
        <v>1672</v>
      </c>
    </row>
    <row r="2723" spans="2:17">
      <c r="B2723" t="s">
        <v>4440</v>
      </c>
      <c r="C2723" t="s">
        <v>787</v>
      </c>
      <c r="D2723">
        <v>5.1774638310343503E-6</v>
      </c>
      <c r="E2723" t="s">
        <v>94</v>
      </c>
      <c r="H2723" t="s">
        <v>588</v>
      </c>
      <c r="I2723">
        <v>5.1774638310343503E-6</v>
      </c>
      <c r="J2723">
        <v>1.0247973619913604</v>
      </c>
      <c r="N2723" t="s">
        <v>4441</v>
      </c>
      <c r="O2723" t="s">
        <v>641</v>
      </c>
      <c r="Q2723" t="s">
        <v>1672</v>
      </c>
    </row>
    <row r="2724" spans="2:17">
      <c r="B2724" t="s">
        <v>4440</v>
      </c>
      <c r="C2724" t="s">
        <v>787</v>
      </c>
      <c r="D2724">
        <v>1.16841099780702E-7</v>
      </c>
      <c r="E2724" t="s">
        <v>94</v>
      </c>
      <c r="H2724" t="s">
        <v>588</v>
      </c>
      <c r="I2724">
        <v>1.16841099780702E-7</v>
      </c>
      <c r="J2724">
        <v>1.0247973619913604</v>
      </c>
      <c r="N2724" t="s">
        <v>4441</v>
      </c>
      <c r="O2724" t="s">
        <v>641</v>
      </c>
      <c r="Q2724" t="s">
        <v>1672</v>
      </c>
    </row>
    <row r="2725" spans="2:17">
      <c r="B2725" t="s">
        <v>722</v>
      </c>
      <c r="C2725" t="s">
        <v>661</v>
      </c>
      <c r="D2725">
        <v>6.2923012197545702E-4</v>
      </c>
      <c r="E2725" t="s">
        <v>94</v>
      </c>
      <c r="H2725" t="s">
        <v>588</v>
      </c>
      <c r="I2725">
        <v>6.2923012197545702E-4</v>
      </c>
      <c r="J2725">
        <v>1.2505791921887124</v>
      </c>
      <c r="O2725" t="s">
        <v>1675</v>
      </c>
      <c r="Q2725" t="s">
        <v>4442</v>
      </c>
    </row>
    <row r="2726" spans="2:17">
      <c r="B2726" t="s">
        <v>722</v>
      </c>
      <c r="C2726" t="s">
        <v>881</v>
      </c>
      <c r="D2726">
        <v>4.0821372545740003E-3</v>
      </c>
      <c r="E2726" t="s">
        <v>94</v>
      </c>
      <c r="H2726" t="s">
        <v>588</v>
      </c>
      <c r="I2726">
        <v>4.0821372545740003E-3</v>
      </c>
      <c r="J2726">
        <v>1.4049000000004648</v>
      </c>
      <c r="O2726" t="s">
        <v>1435</v>
      </c>
      <c r="Q2726" t="s">
        <v>4443</v>
      </c>
    </row>
    <row r="2727" spans="2:17">
      <c r="B2727" t="s">
        <v>722</v>
      </c>
      <c r="C2727" t="s">
        <v>712</v>
      </c>
      <c r="D2727">
        <v>5.6599263738829798E-5</v>
      </c>
      <c r="E2727" t="s">
        <v>94</v>
      </c>
      <c r="H2727" t="s">
        <v>588</v>
      </c>
      <c r="I2727">
        <v>5.6599263738829798E-5</v>
      </c>
      <c r="J2727">
        <v>1.2214027581601699</v>
      </c>
      <c r="O2727" t="s">
        <v>1150</v>
      </c>
      <c r="Q2727" t="s">
        <v>1530</v>
      </c>
    </row>
    <row r="2728" spans="2:17">
      <c r="B2728" t="s">
        <v>722</v>
      </c>
      <c r="C2728" t="s">
        <v>883</v>
      </c>
      <c r="D2728">
        <v>1.6923967402402001E-5</v>
      </c>
      <c r="E2728" t="s">
        <v>94</v>
      </c>
      <c r="H2728" t="s">
        <v>588</v>
      </c>
      <c r="I2728">
        <v>1.6923967402402001E-5</v>
      </c>
      <c r="J2728">
        <v>1.2214027581601699</v>
      </c>
      <c r="O2728" t="s">
        <v>641</v>
      </c>
      <c r="Q2728" t="s">
        <v>1643</v>
      </c>
    </row>
    <row r="2729" spans="2:17">
      <c r="B2729" t="s">
        <v>723</v>
      </c>
      <c r="C2729" t="s">
        <v>661</v>
      </c>
      <c r="D2729">
        <v>3.49267474069329E-6</v>
      </c>
      <c r="E2729" t="s">
        <v>94</v>
      </c>
      <c r="H2729" t="s">
        <v>588</v>
      </c>
      <c r="I2729">
        <v>3.49267474069329E-6</v>
      </c>
      <c r="J2729">
        <v>3.4468372448707654</v>
      </c>
      <c r="O2729" t="s">
        <v>1157</v>
      </c>
      <c r="Q2729" t="s">
        <v>4420</v>
      </c>
    </row>
    <row r="2730" spans="2:17">
      <c r="B2730" t="s">
        <v>723</v>
      </c>
      <c r="C2730" t="s">
        <v>887</v>
      </c>
      <c r="D2730">
        <v>7.5992746456408394E-8</v>
      </c>
      <c r="E2730" t="s">
        <v>94</v>
      </c>
      <c r="H2730" t="s">
        <v>588</v>
      </c>
      <c r="I2730">
        <v>7.5992746456408394E-8</v>
      </c>
      <c r="J2730">
        <v>2.2948383063747997</v>
      </c>
      <c r="O2730" t="s">
        <v>871</v>
      </c>
      <c r="Q2730" t="s">
        <v>4444</v>
      </c>
    </row>
    <row r="2731" spans="2:17">
      <c r="B2731" t="s">
        <v>723</v>
      </c>
      <c r="C2731" t="s">
        <v>654</v>
      </c>
      <c r="D2731">
        <v>6.3782800616252599E-8</v>
      </c>
      <c r="E2731" t="s">
        <v>94</v>
      </c>
      <c r="H2731" t="s">
        <v>588</v>
      </c>
      <c r="I2731">
        <v>6.3782800616252599E-8</v>
      </c>
      <c r="J2731">
        <v>2.2394398661220611</v>
      </c>
      <c r="O2731" t="s">
        <v>4374</v>
      </c>
      <c r="Q2731" t="s">
        <v>4375</v>
      </c>
    </row>
    <row r="2732" spans="2:17">
      <c r="B2732" t="s">
        <v>723</v>
      </c>
      <c r="C2732" t="s">
        <v>4401</v>
      </c>
      <c r="D2732">
        <v>2.4921508172074001E-9</v>
      </c>
      <c r="E2732" t="s">
        <v>94</v>
      </c>
      <c r="H2732" t="s">
        <v>588</v>
      </c>
      <c r="I2732">
        <v>2.4921508172074001E-9</v>
      </c>
      <c r="J2732">
        <v>1.2505791921887124</v>
      </c>
      <c r="O2732" t="s">
        <v>880</v>
      </c>
      <c r="Q2732" t="s">
        <v>4445</v>
      </c>
    </row>
    <row r="2733" spans="2:17">
      <c r="B2733" t="s">
        <v>723</v>
      </c>
      <c r="C2733" t="s">
        <v>883</v>
      </c>
      <c r="D2733">
        <v>9.4281913334355995E-5</v>
      </c>
      <c r="E2733" t="s">
        <v>94</v>
      </c>
      <c r="H2733" t="s">
        <v>588</v>
      </c>
      <c r="I2733">
        <v>9.4281913334355995E-5</v>
      </c>
      <c r="J2733">
        <v>1.2214027581601699</v>
      </c>
      <c r="O2733" t="s">
        <v>4446</v>
      </c>
      <c r="Q2733" t="s">
        <v>4447</v>
      </c>
    </row>
    <row r="2734" spans="2:17">
      <c r="B2734" t="s">
        <v>937</v>
      </c>
      <c r="C2734" t="s">
        <v>661</v>
      </c>
      <c r="D2734">
        <v>4.5720768829246604E-9</v>
      </c>
      <c r="E2734" t="s">
        <v>94</v>
      </c>
      <c r="Q2734" t="s">
        <v>1776</v>
      </c>
    </row>
    <row r="2735" spans="2:17">
      <c r="B2735" t="s">
        <v>4448</v>
      </c>
      <c r="C2735" t="s">
        <v>658</v>
      </c>
      <c r="D2735">
        <v>4.2309571524183898E-10</v>
      </c>
      <c r="E2735" t="s">
        <v>94</v>
      </c>
      <c r="H2735" t="s">
        <v>588</v>
      </c>
      <c r="I2735">
        <v>4.2309571524183898E-10</v>
      </c>
      <c r="J2735">
        <v>1.2214027581601699</v>
      </c>
      <c r="O2735" t="s">
        <v>871</v>
      </c>
      <c r="Q2735" t="s">
        <v>1679</v>
      </c>
    </row>
    <row r="2736" spans="2:17">
      <c r="B2736" t="s">
        <v>4448</v>
      </c>
      <c r="C2736" t="s">
        <v>887</v>
      </c>
      <c r="D2736">
        <v>6.6057610477234296E-7</v>
      </c>
      <c r="E2736" t="s">
        <v>94</v>
      </c>
      <c r="H2736" t="s">
        <v>588</v>
      </c>
      <c r="I2736">
        <v>6.6057610477234296E-7</v>
      </c>
      <c r="J2736">
        <v>2.6500047695539561</v>
      </c>
      <c r="O2736" t="s">
        <v>1157</v>
      </c>
      <c r="Q2736" t="s">
        <v>4380</v>
      </c>
    </row>
    <row r="2737" spans="2:17">
      <c r="B2737" t="s">
        <v>4448</v>
      </c>
      <c r="C2737" t="s">
        <v>654</v>
      </c>
      <c r="D2737">
        <v>1.0592948179126201E-8</v>
      </c>
      <c r="E2737" t="s">
        <v>94</v>
      </c>
      <c r="H2737" t="s">
        <v>588</v>
      </c>
      <c r="I2737">
        <v>1.0592948179126201E-8</v>
      </c>
      <c r="J2737">
        <v>2.4459343349170868</v>
      </c>
      <c r="O2737" t="s">
        <v>1798</v>
      </c>
      <c r="Q2737" t="s">
        <v>4428</v>
      </c>
    </row>
    <row r="2738" spans="2:17">
      <c r="B2738" t="s">
        <v>4449</v>
      </c>
      <c r="C2738" t="s">
        <v>654</v>
      </c>
      <c r="D2738">
        <v>1.8156468059266598E-8</v>
      </c>
      <c r="E2738" t="s">
        <v>94</v>
      </c>
      <c r="H2738" t="s">
        <v>588</v>
      </c>
      <c r="I2738">
        <v>1.8156468059266598E-8</v>
      </c>
      <c r="J2738">
        <v>1.2214027581601699</v>
      </c>
      <c r="O2738" t="s">
        <v>4374</v>
      </c>
      <c r="Q2738" t="s">
        <v>4375</v>
      </c>
    </row>
    <row r="2739" spans="2:17">
      <c r="B2739" t="s">
        <v>4449</v>
      </c>
      <c r="C2739" t="s">
        <v>887</v>
      </c>
      <c r="D2739">
        <v>4.05966043665681E-6</v>
      </c>
      <c r="E2739" t="s">
        <v>94</v>
      </c>
      <c r="H2739" t="s">
        <v>588</v>
      </c>
      <c r="I2739">
        <v>4.05966043665681E-6</v>
      </c>
      <c r="J2739">
        <v>1.2214027581601699</v>
      </c>
      <c r="O2739" t="s">
        <v>4376</v>
      </c>
      <c r="Q2739" t="s">
        <v>2110</v>
      </c>
    </row>
    <row r="2740" spans="2:17">
      <c r="B2740" t="s">
        <v>4449</v>
      </c>
      <c r="C2740" t="s">
        <v>658</v>
      </c>
      <c r="D2740">
        <v>8.1835130396497205E-7</v>
      </c>
      <c r="E2740" t="s">
        <v>94</v>
      </c>
      <c r="H2740" t="s">
        <v>588</v>
      </c>
      <c r="I2740">
        <v>8.1835130396497205E-7</v>
      </c>
      <c r="J2740">
        <v>1.2214027581601699</v>
      </c>
      <c r="O2740" t="s">
        <v>871</v>
      </c>
      <c r="Q2740" t="s">
        <v>1679</v>
      </c>
    </row>
    <row r="2741" spans="2:17">
      <c r="B2741" t="s">
        <v>724</v>
      </c>
      <c r="C2741" t="s">
        <v>654</v>
      </c>
      <c r="D2741">
        <v>7.2024652178793799E-9</v>
      </c>
      <c r="E2741" t="s">
        <v>94</v>
      </c>
      <c r="H2741" t="s">
        <v>588</v>
      </c>
      <c r="I2741">
        <v>7.2024652178793799E-9</v>
      </c>
      <c r="J2741">
        <v>2.2394398661220611</v>
      </c>
      <c r="O2741" t="s">
        <v>641</v>
      </c>
      <c r="Q2741" t="s">
        <v>1643</v>
      </c>
    </row>
    <row r="2742" spans="2:17">
      <c r="B2742" t="s">
        <v>724</v>
      </c>
      <c r="C2742" t="s">
        <v>4413</v>
      </c>
      <c r="D2742">
        <v>1.0994659182069899E-7</v>
      </c>
      <c r="E2742" t="s">
        <v>94</v>
      </c>
      <c r="Q2742" t="s">
        <v>4450</v>
      </c>
    </row>
    <row r="2743" spans="2:17">
      <c r="B2743" t="s">
        <v>724</v>
      </c>
      <c r="C2743" t="s">
        <v>4389</v>
      </c>
      <c r="D2743">
        <v>2.1027204441407401E-11</v>
      </c>
      <c r="E2743" t="s">
        <v>94</v>
      </c>
      <c r="H2743" t="s">
        <v>588</v>
      </c>
      <c r="I2743">
        <v>2.1027204441407401E-11</v>
      </c>
      <c r="J2743">
        <v>1.2214027581601699</v>
      </c>
      <c r="O2743" t="s">
        <v>641</v>
      </c>
      <c r="Q2743" t="s">
        <v>1643</v>
      </c>
    </row>
    <row r="2744" spans="2:17">
      <c r="B2744" t="s">
        <v>724</v>
      </c>
      <c r="C2744" t="s">
        <v>658</v>
      </c>
      <c r="D2744">
        <v>1.3580983355557901E-10</v>
      </c>
      <c r="E2744" t="s">
        <v>94</v>
      </c>
      <c r="H2744" t="s">
        <v>588</v>
      </c>
      <c r="I2744">
        <v>1.3580983355557901E-10</v>
      </c>
      <c r="J2744">
        <v>2.2394398661220611</v>
      </c>
      <c r="O2744" t="s">
        <v>1157</v>
      </c>
      <c r="Q2744" t="s">
        <v>1166</v>
      </c>
    </row>
    <row r="2745" spans="2:17">
      <c r="B2745" t="s">
        <v>724</v>
      </c>
      <c r="C2745" t="s">
        <v>887</v>
      </c>
      <c r="D2745">
        <v>1.06500038540512E-7</v>
      </c>
      <c r="E2745" t="s">
        <v>94</v>
      </c>
      <c r="H2745" t="s">
        <v>588</v>
      </c>
      <c r="I2745">
        <v>1.06500038540512E-7</v>
      </c>
      <c r="J2745">
        <v>3.1599780411111804</v>
      </c>
      <c r="O2745" t="s">
        <v>1157</v>
      </c>
      <c r="Q2745" t="s">
        <v>4380</v>
      </c>
    </row>
    <row r="2746" spans="2:17">
      <c r="B2746" t="s">
        <v>725</v>
      </c>
      <c r="C2746" t="s">
        <v>881</v>
      </c>
      <c r="D2746">
        <v>8.0820603168355099E-8</v>
      </c>
      <c r="E2746" t="s">
        <v>94</v>
      </c>
      <c r="H2746" t="s">
        <v>588</v>
      </c>
      <c r="I2746">
        <v>8.0820603168355099E-8</v>
      </c>
      <c r="J2746">
        <v>1.804199999999498</v>
      </c>
      <c r="O2746" t="s">
        <v>2024</v>
      </c>
      <c r="Q2746" t="s">
        <v>4451</v>
      </c>
    </row>
    <row r="2747" spans="2:17">
      <c r="B2747" t="s">
        <v>725</v>
      </c>
      <c r="C2747" t="s">
        <v>883</v>
      </c>
      <c r="D2747">
        <v>2.9014312570714301E-10</v>
      </c>
      <c r="E2747" t="s">
        <v>94</v>
      </c>
      <c r="H2747" t="s">
        <v>588</v>
      </c>
      <c r="I2747">
        <v>2.9014312570714301E-10</v>
      </c>
      <c r="J2747">
        <v>2.2394398661220611</v>
      </c>
      <c r="O2747" t="s">
        <v>641</v>
      </c>
      <c r="Q2747" t="s">
        <v>1643</v>
      </c>
    </row>
    <row r="2748" spans="2:17">
      <c r="B2748" t="s">
        <v>725</v>
      </c>
      <c r="C2748" t="s">
        <v>712</v>
      </c>
      <c r="D2748">
        <v>1.5547059459061999E-8</v>
      </c>
      <c r="E2748" t="s">
        <v>94</v>
      </c>
      <c r="H2748" t="s">
        <v>588</v>
      </c>
      <c r="I2748">
        <v>1.5547059459061999E-8</v>
      </c>
      <c r="J2748">
        <v>1.4139824580805163</v>
      </c>
      <c r="O2748" t="s">
        <v>798</v>
      </c>
      <c r="Q2748" t="s">
        <v>2961</v>
      </c>
    </row>
    <row r="2749" spans="2:17">
      <c r="B2749" t="s">
        <v>725</v>
      </c>
      <c r="C2749" t="s">
        <v>661</v>
      </c>
      <c r="D2749">
        <v>1.98468622673226E-8</v>
      </c>
      <c r="E2749" t="s">
        <v>94</v>
      </c>
      <c r="H2749" t="s">
        <v>588</v>
      </c>
      <c r="I2749">
        <v>1.98468622673226E-8</v>
      </c>
      <c r="J2749">
        <v>2.2394398661220611</v>
      </c>
      <c r="O2749" t="s">
        <v>641</v>
      </c>
      <c r="Q2749" t="s">
        <v>1643</v>
      </c>
    </row>
    <row r="2750" spans="2:17">
      <c r="B2750" t="s">
        <v>4452</v>
      </c>
      <c r="C2750" t="s">
        <v>658</v>
      </c>
      <c r="D2750">
        <v>4.1345343201003503E-8</v>
      </c>
      <c r="E2750" t="s">
        <v>94</v>
      </c>
      <c r="H2750" t="s">
        <v>588</v>
      </c>
      <c r="I2750">
        <v>4.1345343201003503E-8</v>
      </c>
      <c r="J2750">
        <v>1.2214027581601699</v>
      </c>
      <c r="O2750" t="s">
        <v>871</v>
      </c>
      <c r="Q2750" t="s">
        <v>1679</v>
      </c>
    </row>
    <row r="2751" spans="2:17">
      <c r="B2751" t="s">
        <v>4452</v>
      </c>
      <c r="C2751" t="s">
        <v>4389</v>
      </c>
      <c r="D2751">
        <v>6.0395700689856099E-11</v>
      </c>
      <c r="E2751" t="s">
        <v>94</v>
      </c>
      <c r="H2751" t="s">
        <v>588</v>
      </c>
      <c r="I2751">
        <v>6.0395700689856099E-11</v>
      </c>
      <c r="J2751">
        <v>1.2214027581601699</v>
      </c>
      <c r="O2751" t="s">
        <v>641</v>
      </c>
      <c r="Q2751" t="s">
        <v>1643</v>
      </c>
    </row>
    <row r="2752" spans="2:17">
      <c r="B2752" t="s">
        <v>4452</v>
      </c>
      <c r="C2752" t="s">
        <v>654</v>
      </c>
      <c r="D2752">
        <v>1.30432490291693E-6</v>
      </c>
      <c r="E2752" t="s">
        <v>94</v>
      </c>
      <c r="H2752" t="s">
        <v>588</v>
      </c>
      <c r="I2752">
        <v>1.30432490291693E-6</v>
      </c>
      <c r="J2752">
        <v>1.5639483159353722</v>
      </c>
      <c r="O2752" t="s">
        <v>1798</v>
      </c>
      <c r="Q2752" t="s">
        <v>4428</v>
      </c>
    </row>
    <row r="2753" spans="2:17">
      <c r="B2753" t="s">
        <v>4452</v>
      </c>
      <c r="C2753" t="s">
        <v>887</v>
      </c>
      <c r="D2753">
        <v>6.5355458047039697E-5</v>
      </c>
      <c r="E2753" t="s">
        <v>94</v>
      </c>
      <c r="H2753" t="s">
        <v>588</v>
      </c>
      <c r="I2753">
        <v>6.5355458047039697E-5</v>
      </c>
      <c r="J2753">
        <v>1.7400020126387092</v>
      </c>
      <c r="O2753" t="s">
        <v>1157</v>
      </c>
      <c r="Q2753" t="s">
        <v>4380</v>
      </c>
    </row>
    <row r="2754" spans="2:17">
      <c r="B2754" t="s">
        <v>884</v>
      </c>
      <c r="C2754" t="s">
        <v>661</v>
      </c>
      <c r="D2754">
        <v>8.4965532423213197E-4</v>
      </c>
      <c r="E2754" t="s">
        <v>94</v>
      </c>
      <c r="H2754" t="s">
        <v>588</v>
      </c>
      <c r="I2754">
        <v>8.4965532423213197E-4</v>
      </c>
      <c r="J2754">
        <v>1.2214027581601699</v>
      </c>
      <c r="O2754" t="s">
        <v>641</v>
      </c>
      <c r="Q2754" t="s">
        <v>1643</v>
      </c>
    </row>
    <row r="2755" spans="2:17">
      <c r="B2755" t="s">
        <v>884</v>
      </c>
      <c r="C2755" t="s">
        <v>883</v>
      </c>
      <c r="D2755">
        <v>9.3827460947853904E-3</v>
      </c>
      <c r="E2755" t="s">
        <v>94</v>
      </c>
      <c r="H2755" t="s">
        <v>588</v>
      </c>
      <c r="I2755">
        <v>9.3827460947853904E-3</v>
      </c>
      <c r="J2755">
        <v>1.2214027581601699</v>
      </c>
      <c r="O2755" t="s">
        <v>4446</v>
      </c>
      <c r="Q2755" t="s">
        <v>4453</v>
      </c>
    </row>
    <row r="2756" spans="2:17">
      <c r="B2756" t="s">
        <v>726</v>
      </c>
      <c r="C2756" t="s">
        <v>654</v>
      </c>
      <c r="D2756">
        <v>0.104577978728273</v>
      </c>
      <c r="E2756" t="s">
        <v>94</v>
      </c>
      <c r="H2756" t="s">
        <v>588</v>
      </c>
      <c r="I2756">
        <v>0.104577978728273</v>
      </c>
      <c r="J2756">
        <v>1.0247973619913604</v>
      </c>
      <c r="O2756" t="s">
        <v>641</v>
      </c>
      <c r="Q2756" t="s">
        <v>4454</v>
      </c>
    </row>
    <row r="2757" spans="2:17">
      <c r="B2757" t="s">
        <v>726</v>
      </c>
      <c r="C2757" t="s">
        <v>887</v>
      </c>
      <c r="D2757">
        <v>1.8728948190744701</v>
      </c>
      <c r="E2757" t="s">
        <v>94</v>
      </c>
      <c r="H2757" t="s">
        <v>588</v>
      </c>
      <c r="I2757">
        <v>1.8728948190744701</v>
      </c>
      <c r="J2757">
        <v>1.1957700606396171</v>
      </c>
      <c r="O2757" t="s">
        <v>1157</v>
      </c>
      <c r="Q2757" t="s">
        <v>4380</v>
      </c>
    </row>
    <row r="2758" spans="2:17">
      <c r="B2758" t="s">
        <v>726</v>
      </c>
      <c r="C2758" t="s">
        <v>658</v>
      </c>
      <c r="D2758">
        <v>2.1341406776651198E-2</v>
      </c>
      <c r="E2758" t="s">
        <v>94</v>
      </c>
      <c r="H2758" t="s">
        <v>588</v>
      </c>
      <c r="I2758">
        <v>2.1341406776651198E-2</v>
      </c>
      <c r="J2758">
        <v>1.0247973619913604</v>
      </c>
      <c r="O2758" t="s">
        <v>1157</v>
      </c>
      <c r="Q2758" t="s">
        <v>1531</v>
      </c>
    </row>
    <row r="2759" spans="2:17">
      <c r="B2759" t="s">
        <v>726</v>
      </c>
      <c r="C2759" t="s">
        <v>4455</v>
      </c>
      <c r="D2759">
        <v>1.2818983709543201E-3</v>
      </c>
      <c r="E2759" t="s">
        <v>94</v>
      </c>
      <c r="H2759" t="s">
        <v>588</v>
      </c>
      <c r="I2759">
        <v>1.2818983709543201E-3</v>
      </c>
      <c r="J2759">
        <v>1.0247973619913604</v>
      </c>
      <c r="O2759" t="s">
        <v>2485</v>
      </c>
      <c r="Q2759" t="s">
        <v>4456</v>
      </c>
    </row>
    <row r="2760" spans="2:17">
      <c r="B2760" t="s">
        <v>4457</v>
      </c>
      <c r="C2760" t="s">
        <v>658</v>
      </c>
      <c r="D2760">
        <v>1.1410648038947301E-3</v>
      </c>
      <c r="E2760" t="s">
        <v>94</v>
      </c>
      <c r="H2760" t="s">
        <v>4458</v>
      </c>
      <c r="I2760">
        <v>1.1410648038947301E-3</v>
      </c>
      <c r="J2760">
        <v>0.70710678118654757</v>
      </c>
      <c r="O2760" t="s">
        <v>4459</v>
      </c>
      <c r="Q2760" t="s">
        <v>4460</v>
      </c>
    </row>
    <row r="2761" spans="2:17">
      <c r="B2761" t="s">
        <v>727</v>
      </c>
      <c r="C2761" t="s">
        <v>887</v>
      </c>
      <c r="D2761">
        <v>1.1634143826065699</v>
      </c>
      <c r="E2761" t="s">
        <v>94</v>
      </c>
      <c r="H2761" t="s">
        <v>588</v>
      </c>
      <c r="I2761">
        <v>1.1634143826065699</v>
      </c>
      <c r="J2761">
        <v>1.1957700606396171</v>
      </c>
      <c r="O2761" t="s">
        <v>1157</v>
      </c>
      <c r="Q2761" t="s">
        <v>4380</v>
      </c>
    </row>
    <row r="2762" spans="2:17">
      <c r="B2762" t="s">
        <v>727</v>
      </c>
      <c r="C2762" t="s">
        <v>654</v>
      </c>
      <c r="D2762">
        <v>2.2239997347219799E-2</v>
      </c>
      <c r="E2762" t="s">
        <v>94</v>
      </c>
      <c r="H2762" t="s">
        <v>588</v>
      </c>
      <c r="I2762">
        <v>2.2239997347219799E-2</v>
      </c>
      <c r="J2762">
        <v>1.0247973619913604</v>
      </c>
      <c r="O2762" t="s">
        <v>641</v>
      </c>
      <c r="Q2762" t="s">
        <v>1643</v>
      </c>
    </row>
    <row r="2763" spans="2:17">
      <c r="B2763" t="s">
        <v>727</v>
      </c>
      <c r="C2763" t="s">
        <v>658</v>
      </c>
      <c r="D2763">
        <v>1.7877626200391399E-2</v>
      </c>
      <c r="E2763" t="s">
        <v>94</v>
      </c>
      <c r="H2763" t="s">
        <v>588</v>
      </c>
      <c r="I2763">
        <v>1.7877626200391399E-2</v>
      </c>
      <c r="J2763">
        <v>1.0247973619913604</v>
      </c>
      <c r="O2763" t="s">
        <v>1678</v>
      </c>
      <c r="Q2763" t="s">
        <v>1679</v>
      </c>
    </row>
    <row r="2764" spans="2:17">
      <c r="B2764" t="s">
        <v>817</v>
      </c>
      <c r="C2764" t="s">
        <v>887</v>
      </c>
      <c r="D2764">
        <v>2.6645360995735801E-9</v>
      </c>
      <c r="E2764" t="s">
        <v>94</v>
      </c>
      <c r="Q2764" t="s">
        <v>1776</v>
      </c>
    </row>
    <row r="2765" spans="2:17">
      <c r="B2765" t="s">
        <v>728</v>
      </c>
      <c r="C2765" t="s">
        <v>887</v>
      </c>
      <c r="D2765">
        <v>5.8838250186578605E-4</v>
      </c>
      <c r="E2765" t="s">
        <v>94</v>
      </c>
      <c r="H2765" t="s">
        <v>588</v>
      </c>
      <c r="I2765">
        <v>5.8838250186578605E-4</v>
      </c>
      <c r="J2765">
        <v>2.5108313805111129</v>
      </c>
      <c r="O2765" t="s">
        <v>1157</v>
      </c>
      <c r="Q2765" t="s">
        <v>4425</v>
      </c>
    </row>
    <row r="2766" spans="2:17">
      <c r="B2766" t="s">
        <v>728</v>
      </c>
      <c r="C2766" t="s">
        <v>654</v>
      </c>
      <c r="D2766">
        <v>9.2136285992683095E-5</v>
      </c>
      <c r="E2766" t="s">
        <v>94</v>
      </c>
      <c r="H2766" t="s">
        <v>588</v>
      </c>
      <c r="I2766">
        <v>9.2136285992683095E-5</v>
      </c>
      <c r="J2766">
        <v>2.2394398661220611</v>
      </c>
      <c r="O2766" t="s">
        <v>641</v>
      </c>
      <c r="Q2766" t="s">
        <v>1643</v>
      </c>
    </row>
    <row r="2767" spans="2:17">
      <c r="B2767" t="s">
        <v>728</v>
      </c>
      <c r="C2767" t="s">
        <v>658</v>
      </c>
      <c r="D2767">
        <v>1.32728097369157E-5</v>
      </c>
      <c r="E2767" t="s">
        <v>94</v>
      </c>
      <c r="H2767" t="s">
        <v>588</v>
      </c>
      <c r="I2767">
        <v>1.32728097369157E-5</v>
      </c>
      <c r="J2767">
        <v>2.2394398661220611</v>
      </c>
      <c r="O2767" t="s">
        <v>1157</v>
      </c>
      <c r="Q2767" t="s">
        <v>1166</v>
      </c>
    </row>
    <row r="2768" spans="2:17">
      <c r="B2768" t="s">
        <v>4461</v>
      </c>
      <c r="C2768" t="s">
        <v>887</v>
      </c>
      <c r="D2768">
        <v>1.39613938418775E-3</v>
      </c>
      <c r="E2768" t="s">
        <v>94</v>
      </c>
      <c r="H2768" t="s">
        <v>588</v>
      </c>
      <c r="I2768">
        <v>1.39613938418775E-3</v>
      </c>
      <c r="J2768">
        <v>2.5108313805111129</v>
      </c>
      <c r="O2768" t="s">
        <v>1157</v>
      </c>
      <c r="Q2768" t="s">
        <v>4425</v>
      </c>
    </row>
    <row r="2769" spans="2:17">
      <c r="B2769" t="s">
        <v>4461</v>
      </c>
      <c r="C2769" t="s">
        <v>658</v>
      </c>
      <c r="D2769">
        <v>4.89868811202459E-5</v>
      </c>
      <c r="E2769" t="s">
        <v>94</v>
      </c>
      <c r="H2769" t="s">
        <v>588</v>
      </c>
      <c r="I2769">
        <v>4.89868811202459E-5</v>
      </c>
      <c r="J2769">
        <v>2.2394398661220611</v>
      </c>
      <c r="O2769" t="s">
        <v>871</v>
      </c>
      <c r="Q2769" t="s">
        <v>1679</v>
      </c>
    </row>
    <row r="2770" spans="2:17">
      <c r="B2770" t="s">
        <v>4461</v>
      </c>
      <c r="C2770" t="s">
        <v>654</v>
      </c>
      <c r="D2770">
        <v>4.0886918091127198E-5</v>
      </c>
      <c r="E2770" t="s">
        <v>94</v>
      </c>
      <c r="H2770" t="s">
        <v>588</v>
      </c>
      <c r="I2770">
        <v>4.0886918091127198E-5</v>
      </c>
      <c r="J2770">
        <v>1.5639483159353722</v>
      </c>
      <c r="O2770" t="s">
        <v>1798</v>
      </c>
      <c r="Q2770" t="s">
        <v>4428</v>
      </c>
    </row>
    <row r="2771" spans="2:17">
      <c r="B2771" t="s">
        <v>4462</v>
      </c>
      <c r="C2771" t="s">
        <v>661</v>
      </c>
      <c r="D2771">
        <v>6.3153602207207597E-4</v>
      </c>
      <c r="E2771" t="s">
        <v>890</v>
      </c>
      <c r="H2771" t="s">
        <v>588</v>
      </c>
      <c r="I2771">
        <v>6.3153602207207597E-4</v>
      </c>
      <c r="J2771">
        <v>1.0247973619913604</v>
      </c>
      <c r="O2771" t="s">
        <v>1779</v>
      </c>
      <c r="Q2771" t="s">
        <v>1780</v>
      </c>
    </row>
    <row r="2772" spans="2:17">
      <c r="B2772" t="s">
        <v>4462</v>
      </c>
      <c r="C2772" t="s">
        <v>658</v>
      </c>
      <c r="D2772">
        <v>1.45868567852442E-2</v>
      </c>
      <c r="E2772" t="s">
        <v>890</v>
      </c>
      <c r="H2772" t="s">
        <v>588</v>
      </c>
      <c r="I2772">
        <v>1.45868567852442E-2</v>
      </c>
      <c r="J2772">
        <v>1.7293101253499219</v>
      </c>
      <c r="O2772" t="s">
        <v>1779</v>
      </c>
      <c r="Q2772" t="s">
        <v>1780</v>
      </c>
    </row>
    <row r="2773" spans="2:17">
      <c r="B2773" t="s">
        <v>4463</v>
      </c>
      <c r="C2773" t="s">
        <v>883</v>
      </c>
      <c r="D2773">
        <v>2.7809773000617601E-5</v>
      </c>
      <c r="E2773" t="s">
        <v>94</v>
      </c>
      <c r="H2773" t="s">
        <v>588</v>
      </c>
      <c r="I2773">
        <v>2.7809773000617601E-5</v>
      </c>
      <c r="J2773">
        <v>1.2214027581601699</v>
      </c>
      <c r="O2773" t="s">
        <v>4446</v>
      </c>
      <c r="Q2773" t="s">
        <v>4453</v>
      </c>
    </row>
    <row r="2774" spans="2:17">
      <c r="B2774" t="s">
        <v>4463</v>
      </c>
      <c r="C2774" t="s">
        <v>661</v>
      </c>
      <c r="D2774">
        <v>5.4929695507107997E-5</v>
      </c>
      <c r="E2774" t="s">
        <v>94</v>
      </c>
      <c r="H2774" t="s">
        <v>588</v>
      </c>
      <c r="I2774">
        <v>5.4929695507107997E-5</v>
      </c>
      <c r="J2774">
        <v>1.2214027581601699</v>
      </c>
      <c r="O2774" t="s">
        <v>2485</v>
      </c>
      <c r="Q2774" t="s">
        <v>4464</v>
      </c>
    </row>
    <row r="2775" spans="2:17">
      <c r="B2775" t="s">
        <v>4465</v>
      </c>
      <c r="C2775" t="s">
        <v>883</v>
      </c>
      <c r="D2775">
        <v>1.79053167881072E-6</v>
      </c>
      <c r="E2775" t="s">
        <v>94</v>
      </c>
      <c r="H2775" t="s">
        <v>588</v>
      </c>
      <c r="I2775">
        <v>1.79053167881072E-6</v>
      </c>
      <c r="J2775">
        <v>1.7293101253499219</v>
      </c>
      <c r="O2775" t="s">
        <v>1082</v>
      </c>
      <c r="Q2775" t="s">
        <v>4466</v>
      </c>
    </row>
    <row r="2776" spans="2:17">
      <c r="B2776" t="s">
        <v>4467</v>
      </c>
      <c r="C2776" t="s">
        <v>661</v>
      </c>
      <c r="D2776">
        <v>5.2505607335183098E-7</v>
      </c>
      <c r="E2776" t="s">
        <v>890</v>
      </c>
      <c r="H2776" t="s">
        <v>588</v>
      </c>
      <c r="I2776">
        <v>5.2505607335183098E-7</v>
      </c>
      <c r="J2776">
        <v>1.7293101253499219</v>
      </c>
      <c r="O2776" t="s">
        <v>851</v>
      </c>
      <c r="Q2776" t="s">
        <v>4395</v>
      </c>
    </row>
    <row r="2777" spans="2:17">
      <c r="B2777" t="s">
        <v>4467</v>
      </c>
      <c r="C2777" t="s">
        <v>658</v>
      </c>
      <c r="D2777">
        <v>1.05256079799397E-7</v>
      </c>
      <c r="E2777" t="s">
        <v>890</v>
      </c>
      <c r="H2777" t="s">
        <v>588</v>
      </c>
      <c r="I2777">
        <v>1.05256079799397E-7</v>
      </c>
      <c r="J2777">
        <v>1.2214027581601699</v>
      </c>
      <c r="O2777" t="s">
        <v>956</v>
      </c>
      <c r="Q2777" t="s">
        <v>4400</v>
      </c>
    </row>
    <row r="2778" spans="2:17">
      <c r="B2778" t="s">
        <v>4468</v>
      </c>
      <c r="C2778" t="s">
        <v>661</v>
      </c>
      <c r="D2778">
        <v>3.3859402011281599E-7</v>
      </c>
      <c r="E2778" t="s">
        <v>890</v>
      </c>
      <c r="H2778" t="s">
        <v>588</v>
      </c>
      <c r="I2778">
        <v>3.3859402011281599E-7</v>
      </c>
      <c r="J2778">
        <v>1.7293101253499219</v>
      </c>
      <c r="O2778" t="s">
        <v>851</v>
      </c>
      <c r="Q2778" t="s">
        <v>4395</v>
      </c>
    </row>
    <row r="2779" spans="2:17">
      <c r="B2779" t="s">
        <v>4469</v>
      </c>
      <c r="C2779" t="s">
        <v>661</v>
      </c>
      <c r="D2779">
        <v>3.5765246856423697E-5</v>
      </c>
      <c r="E2779" t="s">
        <v>890</v>
      </c>
      <c r="H2779" t="s">
        <v>588</v>
      </c>
      <c r="I2779">
        <v>3.5765246856423697E-5</v>
      </c>
      <c r="J2779">
        <v>1.0247973619913604</v>
      </c>
      <c r="O2779" t="s">
        <v>1779</v>
      </c>
      <c r="Q2779" t="s">
        <v>1780</v>
      </c>
    </row>
    <row r="2780" spans="2:17">
      <c r="B2780" t="s">
        <v>4469</v>
      </c>
      <c r="C2780" t="s">
        <v>658</v>
      </c>
      <c r="D2780">
        <v>5.0410894094610096E-9</v>
      </c>
      <c r="E2780" t="s">
        <v>890</v>
      </c>
      <c r="H2780" t="s">
        <v>588</v>
      </c>
      <c r="I2780">
        <v>5.0410894094610096E-9</v>
      </c>
      <c r="J2780">
        <v>1.2214027581601699</v>
      </c>
      <c r="O2780" t="s">
        <v>956</v>
      </c>
      <c r="Q2780" t="s">
        <v>4400</v>
      </c>
    </row>
    <row r="2781" spans="2:17">
      <c r="B2781" t="s">
        <v>4470</v>
      </c>
      <c r="C2781" t="s">
        <v>661</v>
      </c>
      <c r="D2781">
        <v>1.9739609886244099E-7</v>
      </c>
      <c r="E2781" t="s">
        <v>890</v>
      </c>
      <c r="H2781" t="s">
        <v>588</v>
      </c>
      <c r="I2781">
        <v>1.9739609886244099E-7</v>
      </c>
      <c r="J2781">
        <v>1.7293101253499219</v>
      </c>
      <c r="O2781" t="s">
        <v>851</v>
      </c>
      <c r="Q2781" t="s">
        <v>4395</v>
      </c>
    </row>
    <row r="2782" spans="2:17">
      <c r="B2782" t="s">
        <v>4471</v>
      </c>
      <c r="C2782" t="s">
        <v>658</v>
      </c>
      <c r="D2782">
        <v>9.2399563752453695E-8</v>
      </c>
      <c r="E2782" t="s">
        <v>890</v>
      </c>
      <c r="H2782" t="s">
        <v>588</v>
      </c>
      <c r="I2782">
        <v>9.2399563752453695E-8</v>
      </c>
      <c r="J2782">
        <v>1.7293101253499219</v>
      </c>
      <c r="O2782" t="s">
        <v>851</v>
      </c>
      <c r="Q2782" t="s">
        <v>4395</v>
      </c>
    </row>
    <row r="2783" spans="2:17">
      <c r="B2783" t="s">
        <v>4471</v>
      </c>
      <c r="C2783" t="s">
        <v>661</v>
      </c>
      <c r="D2783">
        <v>1.99845026690838E-4</v>
      </c>
      <c r="E2783" t="s">
        <v>890</v>
      </c>
      <c r="H2783" t="s">
        <v>588</v>
      </c>
      <c r="I2783">
        <v>1.99845026690838E-4</v>
      </c>
      <c r="J2783">
        <v>1.0247973619913604</v>
      </c>
      <c r="O2783" t="s">
        <v>1779</v>
      </c>
      <c r="Q2783" t="s">
        <v>1780</v>
      </c>
    </row>
    <row r="2784" spans="2:17">
      <c r="B2784" t="s">
        <v>938</v>
      </c>
      <c r="C2784" t="s">
        <v>661</v>
      </c>
      <c r="D2784">
        <v>4.2863360155880499E-6</v>
      </c>
      <c r="E2784" t="s">
        <v>94</v>
      </c>
      <c r="Q2784" t="s">
        <v>1776</v>
      </c>
    </row>
    <row r="2785" spans="2:17">
      <c r="B2785" t="s">
        <v>729</v>
      </c>
      <c r="C2785" t="s">
        <v>712</v>
      </c>
      <c r="D2785">
        <v>4.56961478781325E-5</v>
      </c>
      <c r="E2785" t="s">
        <v>94</v>
      </c>
      <c r="H2785" t="s">
        <v>588</v>
      </c>
      <c r="I2785">
        <v>4.56961478781325E-5</v>
      </c>
      <c r="J2785">
        <v>1.4918246976412703</v>
      </c>
      <c r="O2785" t="s">
        <v>798</v>
      </c>
      <c r="Q2785" t="s">
        <v>2961</v>
      </c>
    </row>
    <row r="2786" spans="2:17">
      <c r="B2786" t="s">
        <v>729</v>
      </c>
      <c r="C2786" t="s">
        <v>661</v>
      </c>
      <c r="D2786">
        <v>8.7572792958319993E-3</v>
      </c>
      <c r="E2786" t="s">
        <v>94</v>
      </c>
      <c r="H2786" t="s">
        <v>588</v>
      </c>
      <c r="I2786">
        <v>8.7572792958319993E-3</v>
      </c>
      <c r="J2786">
        <v>1.2214027581601699</v>
      </c>
      <c r="O2786" t="s">
        <v>641</v>
      </c>
      <c r="Q2786" t="s">
        <v>1643</v>
      </c>
    </row>
    <row r="2787" spans="2:17">
      <c r="B2787" t="s">
        <v>729</v>
      </c>
      <c r="C2787" t="s">
        <v>883</v>
      </c>
      <c r="D2787">
        <v>0.44466504364424603</v>
      </c>
      <c r="E2787" t="s">
        <v>94</v>
      </c>
      <c r="H2787" t="s">
        <v>588</v>
      </c>
      <c r="I2787">
        <v>0.44466504364424603</v>
      </c>
      <c r="J2787">
        <v>1.2214027581601699</v>
      </c>
      <c r="O2787" t="s">
        <v>4446</v>
      </c>
      <c r="Q2787" t="s">
        <v>4447</v>
      </c>
    </row>
    <row r="2788" spans="2:17">
      <c r="B2788" t="s">
        <v>4472</v>
      </c>
      <c r="C2788" t="s">
        <v>712</v>
      </c>
      <c r="D2788">
        <v>3.4214459746842299E-6</v>
      </c>
      <c r="E2788" t="s">
        <v>94</v>
      </c>
      <c r="H2788" t="s">
        <v>588</v>
      </c>
      <c r="I2788">
        <v>3.4214459746842299E-6</v>
      </c>
      <c r="J2788">
        <v>1.2214027581601699</v>
      </c>
      <c r="O2788" t="s">
        <v>4473</v>
      </c>
      <c r="Q2788" t="s">
        <v>4474</v>
      </c>
    </row>
    <row r="2789" spans="2:17">
      <c r="B2789" t="s">
        <v>939</v>
      </c>
      <c r="C2789" t="s">
        <v>661</v>
      </c>
      <c r="D2789">
        <v>9.6471268909414198E-6</v>
      </c>
      <c r="E2789" t="s">
        <v>94</v>
      </c>
      <c r="Q2789" t="s">
        <v>1776</v>
      </c>
    </row>
    <row r="2790" spans="2:17">
      <c r="B2790" t="s">
        <v>269</v>
      </c>
      <c r="C2790" t="s">
        <v>4455</v>
      </c>
      <c r="D2790">
        <v>4.3065070906948402E-10</v>
      </c>
      <c r="E2790" t="s">
        <v>94</v>
      </c>
      <c r="H2790" t="s">
        <v>588</v>
      </c>
      <c r="I2790">
        <v>4.3065070906948402E-10</v>
      </c>
      <c r="J2790">
        <v>1.2214027581601699</v>
      </c>
      <c r="O2790" t="s">
        <v>1752</v>
      </c>
      <c r="Q2790" t="s">
        <v>4475</v>
      </c>
    </row>
    <row r="2791" spans="2:17">
      <c r="B2791" t="s">
        <v>269</v>
      </c>
      <c r="C2791" t="s">
        <v>881</v>
      </c>
      <c r="D2791">
        <v>5.4558510498264598E-8</v>
      </c>
      <c r="E2791" t="s">
        <v>94</v>
      </c>
      <c r="H2791" t="s">
        <v>588</v>
      </c>
      <c r="I2791">
        <v>5.4558510498264598E-8</v>
      </c>
      <c r="J2791">
        <v>1.0247973619913604</v>
      </c>
      <c r="O2791" t="s">
        <v>2422</v>
      </c>
    </row>
    <row r="2792" spans="2:17">
      <c r="B2792" t="s">
        <v>269</v>
      </c>
      <c r="C2792" t="s">
        <v>658</v>
      </c>
      <c r="D2792">
        <v>1.2692952869765201E-9</v>
      </c>
      <c r="E2792" t="s">
        <v>94</v>
      </c>
      <c r="H2792" t="s">
        <v>588</v>
      </c>
      <c r="I2792">
        <v>1.2692952869765201E-9</v>
      </c>
      <c r="J2792">
        <v>1.2214027581601699</v>
      </c>
      <c r="O2792" t="s">
        <v>871</v>
      </c>
      <c r="Q2792" t="s">
        <v>1679</v>
      </c>
    </row>
    <row r="2793" spans="2:17">
      <c r="B2793" t="s">
        <v>269</v>
      </c>
      <c r="C2793" t="s">
        <v>661</v>
      </c>
      <c r="D2793">
        <v>3.8236432438041103E-7</v>
      </c>
      <c r="E2793" t="s">
        <v>94</v>
      </c>
      <c r="H2793" t="s">
        <v>588</v>
      </c>
      <c r="I2793">
        <v>3.8236432438041103E-7</v>
      </c>
      <c r="J2793">
        <v>1.2214027581601699</v>
      </c>
      <c r="O2793" t="s">
        <v>641</v>
      </c>
      <c r="Q2793" t="s">
        <v>1643</v>
      </c>
    </row>
    <row r="2794" spans="2:17">
      <c r="B2794" t="s">
        <v>269</v>
      </c>
      <c r="C2794" t="s">
        <v>712</v>
      </c>
      <c r="D2794">
        <v>2.5559984646238098E-6</v>
      </c>
      <c r="E2794" t="s">
        <v>94</v>
      </c>
      <c r="H2794" t="s">
        <v>588</v>
      </c>
      <c r="I2794">
        <v>2.5559984646238098E-6</v>
      </c>
      <c r="J2794">
        <v>1.0247973619913604</v>
      </c>
      <c r="O2794" t="s">
        <v>2028</v>
      </c>
    </row>
    <row r="2795" spans="2:17">
      <c r="B2795" t="s">
        <v>269</v>
      </c>
      <c r="C2795" t="s">
        <v>654</v>
      </c>
      <c r="D2795">
        <v>2.9658673478773002E-8</v>
      </c>
      <c r="E2795" t="s">
        <v>94</v>
      </c>
      <c r="H2795" t="s">
        <v>588</v>
      </c>
      <c r="I2795">
        <v>2.9658673478773002E-8</v>
      </c>
      <c r="J2795">
        <v>1.2214027581601699</v>
      </c>
      <c r="O2795" t="s">
        <v>1002</v>
      </c>
    </row>
    <row r="2796" spans="2:17">
      <c r="B2796" t="s">
        <v>269</v>
      </c>
      <c r="C2796" t="s">
        <v>887</v>
      </c>
      <c r="D2796">
        <v>3.5559180983351001E-6</v>
      </c>
      <c r="E2796" t="s">
        <v>94</v>
      </c>
      <c r="H2796" t="s">
        <v>588</v>
      </c>
      <c r="I2796">
        <v>3.5559180983351001E-6</v>
      </c>
      <c r="J2796">
        <v>1.9265750720549795</v>
      </c>
      <c r="O2796" t="s">
        <v>1798</v>
      </c>
      <c r="Q2796" t="s">
        <v>4429</v>
      </c>
    </row>
    <row r="2797" spans="2:17">
      <c r="B2797" t="s">
        <v>4476</v>
      </c>
      <c r="C2797" t="s">
        <v>4413</v>
      </c>
      <c r="D2797">
        <v>5.4621064905319902E-8</v>
      </c>
      <c r="E2797" t="s">
        <v>94</v>
      </c>
      <c r="H2797" t="s">
        <v>588</v>
      </c>
      <c r="I2797">
        <v>5.4621064905319902E-8</v>
      </c>
      <c r="J2797">
        <v>1.1051709180756477</v>
      </c>
      <c r="O2797" t="s">
        <v>834</v>
      </c>
      <c r="Q2797" t="s">
        <v>4477</v>
      </c>
    </row>
    <row r="2798" spans="2:17">
      <c r="B2798" t="s">
        <v>4478</v>
      </c>
      <c r="C2798" t="s">
        <v>4413</v>
      </c>
      <c r="D2798">
        <v>3.11795734437908E-7</v>
      </c>
      <c r="E2798" t="s">
        <v>94</v>
      </c>
      <c r="H2798" t="s">
        <v>588</v>
      </c>
      <c r="I2798">
        <v>3.11795734437908E-7</v>
      </c>
      <c r="J2798">
        <v>1.2090000000000638</v>
      </c>
      <c r="O2798" t="s">
        <v>589</v>
      </c>
      <c r="Q2798" t="s">
        <v>4414</v>
      </c>
    </row>
    <row r="2799" spans="2:17">
      <c r="B2799" t="s">
        <v>730</v>
      </c>
      <c r="C2799" t="s">
        <v>4389</v>
      </c>
      <c r="D2799">
        <v>9.0266973984066403E-14</v>
      </c>
      <c r="E2799" t="s">
        <v>94</v>
      </c>
      <c r="H2799" t="s">
        <v>588</v>
      </c>
      <c r="I2799">
        <v>9.0266973984066403E-14</v>
      </c>
      <c r="J2799">
        <v>1.2214027581601699</v>
      </c>
      <c r="O2799" t="s">
        <v>641</v>
      </c>
      <c r="Q2799" t="s">
        <v>1643</v>
      </c>
    </row>
    <row r="2800" spans="2:17">
      <c r="B2800" t="s">
        <v>730</v>
      </c>
      <c r="C2800" t="s">
        <v>654</v>
      </c>
      <c r="D2800">
        <v>2.1568957119156901E-8</v>
      </c>
      <c r="E2800" t="s">
        <v>94</v>
      </c>
      <c r="H2800" t="s">
        <v>588</v>
      </c>
      <c r="I2800">
        <v>2.1568957119156901E-8</v>
      </c>
      <c r="J2800">
        <v>2.2394398661220611</v>
      </c>
      <c r="O2800" t="s">
        <v>641</v>
      </c>
      <c r="Q2800" t="s">
        <v>1643</v>
      </c>
    </row>
    <row r="2801" spans="2:17">
      <c r="B2801" t="s">
        <v>730</v>
      </c>
      <c r="C2801" t="s">
        <v>4413</v>
      </c>
      <c r="D2801">
        <v>1.42669973898785E-6</v>
      </c>
      <c r="E2801" t="s">
        <v>94</v>
      </c>
      <c r="Q2801" t="s">
        <v>4479</v>
      </c>
    </row>
    <row r="2802" spans="2:17">
      <c r="B2802" t="s">
        <v>730</v>
      </c>
      <c r="C2802" t="s">
        <v>887</v>
      </c>
      <c r="D2802">
        <v>4.3597716968469799E-7</v>
      </c>
      <c r="E2802" t="s">
        <v>94</v>
      </c>
      <c r="H2802" t="s">
        <v>588</v>
      </c>
      <c r="I2802">
        <v>4.3597716968469799E-7</v>
      </c>
      <c r="J2802">
        <v>2.6500047695539561</v>
      </c>
      <c r="O2802" t="s">
        <v>1157</v>
      </c>
      <c r="Q2802" t="s">
        <v>4380</v>
      </c>
    </row>
    <row r="2803" spans="2:17">
      <c r="B2803" t="s">
        <v>730</v>
      </c>
      <c r="C2803" t="s">
        <v>658</v>
      </c>
      <c r="D2803">
        <v>8.6267741920946897E-11</v>
      </c>
      <c r="E2803" t="s">
        <v>94</v>
      </c>
      <c r="H2803" t="s">
        <v>588</v>
      </c>
      <c r="I2803">
        <v>8.6267741920946897E-11</v>
      </c>
      <c r="J2803">
        <v>2.2394398661220611</v>
      </c>
      <c r="O2803" t="s">
        <v>1678</v>
      </c>
      <c r="Q2803" t="s">
        <v>1679</v>
      </c>
    </row>
    <row r="2804" spans="2:17">
      <c r="B2804" t="s">
        <v>731</v>
      </c>
      <c r="C2804" t="s">
        <v>881</v>
      </c>
      <c r="D2804">
        <v>8.6171153950502297E-9</v>
      </c>
      <c r="E2804" t="s">
        <v>94</v>
      </c>
      <c r="H2804" t="s">
        <v>588</v>
      </c>
      <c r="I2804">
        <v>8.6171153950502297E-9</v>
      </c>
      <c r="J2804">
        <v>1.0247973619913604</v>
      </c>
      <c r="O2804" t="s">
        <v>2422</v>
      </c>
    </row>
    <row r="2805" spans="2:17">
      <c r="B2805" t="s">
        <v>731</v>
      </c>
      <c r="C2805" t="s">
        <v>661</v>
      </c>
      <c r="D2805">
        <v>3.5615531279363802E-7</v>
      </c>
      <c r="E2805" t="s">
        <v>94</v>
      </c>
      <c r="H2805" t="s">
        <v>588</v>
      </c>
      <c r="I2805">
        <v>3.5615531279363802E-7</v>
      </c>
      <c r="J2805">
        <v>2.2394398661220611</v>
      </c>
      <c r="O2805" t="s">
        <v>641</v>
      </c>
      <c r="Q2805" t="s">
        <v>1643</v>
      </c>
    </row>
    <row r="2806" spans="2:17">
      <c r="B2806" t="s">
        <v>731</v>
      </c>
      <c r="C2806" t="s">
        <v>887</v>
      </c>
      <c r="D2806">
        <v>6.9396085591881003E-9</v>
      </c>
      <c r="E2806" t="s">
        <v>94</v>
      </c>
      <c r="H2806" t="s">
        <v>588</v>
      </c>
      <c r="I2806">
        <v>6.9396085591881003E-9</v>
      </c>
      <c r="J2806">
        <v>1.9993463917594185</v>
      </c>
      <c r="O2806" t="s">
        <v>1798</v>
      </c>
      <c r="Q2806" t="s">
        <v>4429</v>
      </c>
    </row>
    <row r="2807" spans="2:17">
      <c r="B2807" t="s">
        <v>731</v>
      </c>
      <c r="C2807" t="s">
        <v>4401</v>
      </c>
      <c r="D2807">
        <v>1.40430461459328E-8</v>
      </c>
      <c r="E2807" t="s">
        <v>94</v>
      </c>
      <c r="H2807" t="s">
        <v>588</v>
      </c>
      <c r="I2807">
        <v>1.40430461459328E-8</v>
      </c>
      <c r="J2807">
        <v>1.2505791921887124</v>
      </c>
      <c r="O2807" t="s">
        <v>880</v>
      </c>
      <c r="Q2807" t="s">
        <v>4445</v>
      </c>
    </row>
    <row r="2808" spans="2:17">
      <c r="B2808" t="s">
        <v>731</v>
      </c>
      <c r="C2808" t="s">
        <v>658</v>
      </c>
      <c r="D2808">
        <v>2.53618057027344E-12</v>
      </c>
      <c r="E2808" t="s">
        <v>94</v>
      </c>
      <c r="H2808" t="s">
        <v>588</v>
      </c>
      <c r="I2808">
        <v>2.53618057027344E-12</v>
      </c>
      <c r="J2808">
        <v>2.2394398661220611</v>
      </c>
      <c r="O2808" t="s">
        <v>1678</v>
      </c>
      <c r="Q2808" t="s">
        <v>1679</v>
      </c>
    </row>
    <row r="2809" spans="2:17">
      <c r="B2809" t="s">
        <v>731</v>
      </c>
      <c r="C2809" t="s">
        <v>654</v>
      </c>
      <c r="D2809">
        <v>8.5395590657856196E-11</v>
      </c>
      <c r="E2809" t="s">
        <v>94</v>
      </c>
      <c r="H2809" t="s">
        <v>588</v>
      </c>
      <c r="I2809">
        <v>8.5395590657856196E-11</v>
      </c>
      <c r="J2809">
        <v>2.2394398661220611</v>
      </c>
      <c r="O2809" t="s">
        <v>641</v>
      </c>
      <c r="Q2809" t="s">
        <v>1643</v>
      </c>
    </row>
    <row r="2810" spans="2:17">
      <c r="B2810" t="s">
        <v>731</v>
      </c>
      <c r="C2810" t="s">
        <v>712</v>
      </c>
      <c r="D2810">
        <v>6.4292405835669899E-9</v>
      </c>
      <c r="E2810" t="s">
        <v>94</v>
      </c>
      <c r="H2810" t="s">
        <v>588</v>
      </c>
      <c r="I2810">
        <v>6.4292405835669899E-9</v>
      </c>
      <c r="J2810">
        <v>1.4139824580805163</v>
      </c>
      <c r="O2810" t="s">
        <v>798</v>
      </c>
      <c r="Q2810" t="s">
        <v>2961</v>
      </c>
    </row>
    <row r="2811" spans="2:17">
      <c r="B2811" t="s">
        <v>732</v>
      </c>
      <c r="C2811" t="s">
        <v>661</v>
      </c>
      <c r="D2811">
        <v>1.47155717226674E-5</v>
      </c>
      <c r="E2811" t="s">
        <v>94</v>
      </c>
      <c r="H2811" t="s">
        <v>588</v>
      </c>
      <c r="I2811">
        <v>1.47155717226674E-5</v>
      </c>
      <c r="J2811">
        <v>2.6722998512126512</v>
      </c>
      <c r="O2811" t="s">
        <v>1157</v>
      </c>
      <c r="Q2811" t="s">
        <v>4420</v>
      </c>
    </row>
    <row r="2812" spans="2:17">
      <c r="B2812" t="s">
        <v>732</v>
      </c>
      <c r="C2812" t="s">
        <v>712</v>
      </c>
      <c r="D2812">
        <v>6.5376740618503194E-8</v>
      </c>
      <c r="E2812" t="s">
        <v>94</v>
      </c>
      <c r="H2812" t="s">
        <v>588</v>
      </c>
      <c r="I2812">
        <v>6.5376740618503194E-8</v>
      </c>
      <c r="J2812">
        <v>1.4139824580805163</v>
      </c>
      <c r="O2812" t="s">
        <v>798</v>
      </c>
      <c r="Q2812" t="s">
        <v>2961</v>
      </c>
    </row>
    <row r="2813" spans="2:17">
      <c r="B2813" t="s">
        <v>732</v>
      </c>
      <c r="C2813" t="s">
        <v>883</v>
      </c>
      <c r="D2813">
        <v>3.30144580745319E-11</v>
      </c>
      <c r="E2813" t="s">
        <v>94</v>
      </c>
      <c r="H2813" t="s">
        <v>588</v>
      </c>
      <c r="I2813">
        <v>3.30144580745319E-11</v>
      </c>
      <c r="J2813">
        <v>1.2214027581601699</v>
      </c>
      <c r="O2813" t="s">
        <v>2307</v>
      </c>
      <c r="Q2813" t="s">
        <v>4480</v>
      </c>
    </row>
    <row r="2814" spans="2:17">
      <c r="B2814" t="s">
        <v>732</v>
      </c>
      <c r="C2814" t="s">
        <v>881</v>
      </c>
      <c r="D2814">
        <v>2.4133314910044799E-7</v>
      </c>
      <c r="E2814" t="s">
        <v>94</v>
      </c>
      <c r="H2814" t="s">
        <v>588</v>
      </c>
      <c r="I2814">
        <v>2.4133314910044799E-7</v>
      </c>
      <c r="J2814">
        <v>1.804199999999498</v>
      </c>
      <c r="O2814" t="s">
        <v>2024</v>
      </c>
      <c r="Q2814" t="s">
        <v>4451</v>
      </c>
    </row>
    <row r="2815" spans="2:17">
      <c r="B2815" t="s">
        <v>4481</v>
      </c>
      <c r="C2815" t="s">
        <v>658</v>
      </c>
      <c r="D2815">
        <v>6.7447909228435601E-9</v>
      </c>
      <c r="E2815" t="s">
        <v>890</v>
      </c>
      <c r="H2815" t="s">
        <v>588</v>
      </c>
      <c r="I2815">
        <v>6.7447909228435601E-9</v>
      </c>
      <c r="J2815">
        <v>1.2214027581601699</v>
      </c>
      <c r="O2815" t="s">
        <v>956</v>
      </c>
      <c r="Q2815" t="s">
        <v>4400</v>
      </c>
    </row>
    <row r="2816" spans="2:17">
      <c r="B2816" t="s">
        <v>4481</v>
      </c>
      <c r="C2816" t="s">
        <v>661</v>
      </c>
      <c r="D2816">
        <v>8.5895137031015106E-5</v>
      </c>
      <c r="E2816" t="s">
        <v>890</v>
      </c>
      <c r="H2816" t="s">
        <v>588</v>
      </c>
      <c r="I2816">
        <v>8.5895137031015106E-5</v>
      </c>
      <c r="J2816">
        <v>1.7293101253499219</v>
      </c>
      <c r="O2816" t="s">
        <v>851</v>
      </c>
      <c r="Q2816" t="s">
        <v>4395</v>
      </c>
    </row>
    <row r="2817" spans="2:17">
      <c r="B2817" t="s">
        <v>4482</v>
      </c>
      <c r="C2817" t="s">
        <v>654</v>
      </c>
      <c r="D2817">
        <v>3.2375150039897498E-14</v>
      </c>
      <c r="E2817" t="s">
        <v>94</v>
      </c>
      <c r="H2817" t="s">
        <v>588</v>
      </c>
      <c r="I2817">
        <v>3.2375150039897498E-14</v>
      </c>
      <c r="J2817">
        <v>1.7293101253499219</v>
      </c>
      <c r="O2817" t="s">
        <v>2069</v>
      </c>
      <c r="Q2817" t="s">
        <v>4483</v>
      </c>
    </row>
    <row r="2818" spans="2:17">
      <c r="B2818" t="s">
        <v>4484</v>
      </c>
      <c r="C2818" t="s">
        <v>744</v>
      </c>
      <c r="D2818">
        <v>3.5166001445003102E-5</v>
      </c>
      <c r="E2818" t="s">
        <v>94</v>
      </c>
      <c r="N2818" t="s">
        <v>4485</v>
      </c>
      <c r="Q2818" t="s">
        <v>1776</v>
      </c>
    </row>
    <row r="2819" spans="2:17">
      <c r="B2819" t="s">
        <v>733</v>
      </c>
      <c r="C2819" t="s">
        <v>654</v>
      </c>
      <c r="D2819">
        <v>3.3874025949806599E-9</v>
      </c>
      <c r="E2819" t="s">
        <v>94</v>
      </c>
      <c r="H2819" t="s">
        <v>588</v>
      </c>
      <c r="I2819">
        <v>3.3874025949806599E-9</v>
      </c>
      <c r="J2819">
        <v>2.2394398661220611</v>
      </c>
      <c r="O2819" t="s">
        <v>641</v>
      </c>
      <c r="Q2819" t="s">
        <v>1643</v>
      </c>
    </row>
    <row r="2820" spans="2:17">
      <c r="B2820" t="s">
        <v>733</v>
      </c>
      <c r="C2820" t="s">
        <v>887</v>
      </c>
      <c r="D2820">
        <v>1.05546955877785E-6</v>
      </c>
      <c r="E2820" t="s">
        <v>94</v>
      </c>
      <c r="H2820" t="s">
        <v>588</v>
      </c>
      <c r="I2820">
        <v>1.05546955877785E-6</v>
      </c>
      <c r="J2820">
        <v>3.4699711980438801</v>
      </c>
      <c r="O2820" t="s">
        <v>1157</v>
      </c>
      <c r="Q2820" t="s">
        <v>4380</v>
      </c>
    </row>
    <row r="2821" spans="2:17">
      <c r="B2821" t="s">
        <v>733</v>
      </c>
      <c r="C2821" t="s">
        <v>658</v>
      </c>
      <c r="D2821">
        <v>6.0578708866291305E-11</v>
      </c>
      <c r="E2821" t="s">
        <v>94</v>
      </c>
      <c r="H2821" t="s">
        <v>588</v>
      </c>
      <c r="I2821">
        <v>6.0578708866291305E-11</v>
      </c>
      <c r="J2821">
        <v>2.2394398661220611</v>
      </c>
      <c r="O2821" t="s">
        <v>1678</v>
      </c>
      <c r="Q2821" t="s">
        <v>1679</v>
      </c>
    </row>
    <row r="2822" spans="2:17">
      <c r="B2822" t="s">
        <v>733</v>
      </c>
      <c r="C2822" t="s">
        <v>661</v>
      </c>
      <c r="D2822">
        <v>8.4058205105059597E-9</v>
      </c>
      <c r="E2822" t="s">
        <v>94</v>
      </c>
      <c r="H2822" t="s">
        <v>588</v>
      </c>
      <c r="I2822">
        <v>8.4058205105059597E-9</v>
      </c>
      <c r="J2822">
        <v>2.2394398661220611</v>
      </c>
      <c r="O2822" t="s">
        <v>641</v>
      </c>
      <c r="Q2822" t="s">
        <v>1672</v>
      </c>
    </row>
    <row r="2823" spans="2:17">
      <c r="B2823" t="s">
        <v>733</v>
      </c>
      <c r="C2823" t="s">
        <v>712</v>
      </c>
      <c r="D2823">
        <v>3.51346157231477E-9</v>
      </c>
      <c r="E2823" t="s">
        <v>94</v>
      </c>
      <c r="H2823" t="s">
        <v>588</v>
      </c>
      <c r="I2823">
        <v>3.51346157231477E-9</v>
      </c>
      <c r="J2823">
        <v>2.2394398661220611</v>
      </c>
      <c r="O2823" t="s">
        <v>2192</v>
      </c>
      <c r="Q2823" t="s">
        <v>4486</v>
      </c>
    </row>
    <row r="2824" spans="2:17">
      <c r="B2824" t="s">
        <v>4487</v>
      </c>
      <c r="C2824" t="s">
        <v>661</v>
      </c>
      <c r="D2824">
        <v>6.2660968037472901E-6</v>
      </c>
      <c r="E2824" t="s">
        <v>890</v>
      </c>
      <c r="H2824" t="s">
        <v>588</v>
      </c>
      <c r="I2824">
        <v>6.2660968037472901E-6</v>
      </c>
      <c r="J2824">
        <v>1.7293101253499219</v>
      </c>
      <c r="O2824" t="s">
        <v>851</v>
      </c>
      <c r="Q2824" t="s">
        <v>4395</v>
      </c>
    </row>
    <row r="2825" spans="2:17">
      <c r="B2825" t="s">
        <v>4488</v>
      </c>
      <c r="C2825" t="s">
        <v>658</v>
      </c>
      <c r="D2825">
        <v>1.62349785433978E-8</v>
      </c>
      <c r="E2825" t="s">
        <v>890</v>
      </c>
      <c r="H2825" t="s">
        <v>588</v>
      </c>
      <c r="I2825">
        <v>1.62349785433978E-8</v>
      </c>
      <c r="J2825">
        <v>1.7293101253499219</v>
      </c>
      <c r="O2825" t="s">
        <v>851</v>
      </c>
      <c r="Q2825" t="s">
        <v>4395</v>
      </c>
    </row>
    <row r="2826" spans="2:17">
      <c r="B2826" t="s">
        <v>4488</v>
      </c>
      <c r="C2826" t="s">
        <v>661</v>
      </c>
      <c r="D2826">
        <v>8.1998340110316602E-4</v>
      </c>
      <c r="E2826" t="s">
        <v>890</v>
      </c>
      <c r="H2826" t="s">
        <v>588</v>
      </c>
      <c r="I2826">
        <v>8.1998340110316602E-4</v>
      </c>
      <c r="J2826">
        <v>1.7293101253499219</v>
      </c>
      <c r="O2826" t="s">
        <v>851</v>
      </c>
      <c r="Q2826" t="s">
        <v>4395</v>
      </c>
    </row>
    <row r="2827" spans="2:17">
      <c r="B2827" t="s">
        <v>4489</v>
      </c>
      <c r="C2827" t="s">
        <v>661</v>
      </c>
      <c r="D2827">
        <v>5.4265352186845604E-4</v>
      </c>
      <c r="E2827" t="s">
        <v>890</v>
      </c>
      <c r="H2827" t="s">
        <v>588</v>
      </c>
      <c r="I2827">
        <v>5.4265352186845604E-4</v>
      </c>
      <c r="J2827">
        <v>1.0247973619913604</v>
      </c>
      <c r="O2827" t="s">
        <v>1779</v>
      </c>
      <c r="Q2827" t="s">
        <v>1780</v>
      </c>
    </row>
    <row r="2828" spans="2:17">
      <c r="B2828" t="s">
        <v>4489</v>
      </c>
      <c r="C2828" t="s">
        <v>658</v>
      </c>
      <c r="D2828">
        <v>1.14557456800998E-7</v>
      </c>
      <c r="E2828" t="s">
        <v>890</v>
      </c>
      <c r="H2828" t="s">
        <v>588</v>
      </c>
      <c r="I2828">
        <v>1.14557456800998E-7</v>
      </c>
      <c r="J2828">
        <v>1.7293101253499219</v>
      </c>
      <c r="O2828" t="s">
        <v>851</v>
      </c>
      <c r="Q2828" t="s">
        <v>4395</v>
      </c>
    </row>
    <row r="2829" spans="2:17">
      <c r="B2829" t="s">
        <v>734</v>
      </c>
      <c r="C2829" t="s">
        <v>661</v>
      </c>
      <c r="D2829">
        <v>1.34248455797915E-3</v>
      </c>
      <c r="E2829" t="s">
        <v>94</v>
      </c>
      <c r="H2829" t="s">
        <v>588</v>
      </c>
      <c r="I2829">
        <v>1.34248455797915E-3</v>
      </c>
      <c r="J2829">
        <v>1.2505791921887124</v>
      </c>
      <c r="O2829" t="s">
        <v>1675</v>
      </c>
      <c r="Q2829" t="s">
        <v>4490</v>
      </c>
    </row>
    <row r="2830" spans="2:17">
      <c r="B2830" t="s">
        <v>734</v>
      </c>
      <c r="C2830" t="s">
        <v>883</v>
      </c>
      <c r="D2830">
        <v>1.6933231850147701E-5</v>
      </c>
      <c r="E2830" t="s">
        <v>94</v>
      </c>
      <c r="H2830" t="s">
        <v>588</v>
      </c>
      <c r="I2830">
        <v>1.6933231850147701E-5</v>
      </c>
      <c r="J2830">
        <v>1.2214027581601699</v>
      </c>
      <c r="O2830" t="s">
        <v>952</v>
      </c>
      <c r="Q2830" t="s">
        <v>4491</v>
      </c>
    </row>
    <row r="2831" spans="2:17">
      <c r="B2831" t="s">
        <v>734</v>
      </c>
      <c r="C2831" t="s">
        <v>712</v>
      </c>
      <c r="D2831">
        <v>9.2969898576387002E-5</v>
      </c>
      <c r="E2831" t="s">
        <v>94</v>
      </c>
      <c r="H2831" t="s">
        <v>588</v>
      </c>
      <c r="I2831">
        <v>9.2969898576387002E-5</v>
      </c>
      <c r="J2831">
        <v>1.2214027581601699</v>
      </c>
      <c r="O2831" t="s">
        <v>1532</v>
      </c>
      <c r="Q2831" t="s">
        <v>1530</v>
      </c>
    </row>
    <row r="2832" spans="2:17">
      <c r="B2832" t="s">
        <v>734</v>
      </c>
      <c r="C2832" t="s">
        <v>881</v>
      </c>
      <c r="D2832">
        <v>8.1783389897353408E-3</v>
      </c>
      <c r="E2832" t="s">
        <v>94</v>
      </c>
      <c r="Q2832" t="s">
        <v>4492</v>
      </c>
    </row>
    <row r="2833" spans="2:17">
      <c r="B2833" t="s">
        <v>735</v>
      </c>
      <c r="C2833" t="s">
        <v>4401</v>
      </c>
      <c r="D2833">
        <v>8.7912791784078303E-9</v>
      </c>
      <c r="E2833" t="s">
        <v>94</v>
      </c>
      <c r="H2833" t="s">
        <v>588</v>
      </c>
      <c r="I2833">
        <v>8.7912791784078303E-9</v>
      </c>
      <c r="J2833">
        <v>1.2505791921887124</v>
      </c>
      <c r="O2833" t="s">
        <v>880</v>
      </c>
      <c r="Q2833" t="s">
        <v>4445</v>
      </c>
    </row>
    <row r="2834" spans="2:17">
      <c r="B2834" t="s">
        <v>735</v>
      </c>
      <c r="C2834" t="s">
        <v>4389</v>
      </c>
      <c r="D2834">
        <v>5.4436771160980203E-9</v>
      </c>
      <c r="E2834" t="s">
        <v>94</v>
      </c>
      <c r="H2834" t="s">
        <v>588</v>
      </c>
      <c r="I2834">
        <v>5.4436771160980203E-9</v>
      </c>
      <c r="J2834">
        <v>1.2214027581601699</v>
      </c>
      <c r="O2834" t="s">
        <v>641</v>
      </c>
      <c r="Q2834" t="s">
        <v>1643</v>
      </c>
    </row>
    <row r="2835" spans="2:17">
      <c r="B2835" t="s">
        <v>735</v>
      </c>
      <c r="C2835" t="s">
        <v>4413</v>
      </c>
      <c r="D2835">
        <v>4.0406186730701396E-6</v>
      </c>
      <c r="E2835" t="s">
        <v>94</v>
      </c>
      <c r="Q2835" t="s">
        <v>4493</v>
      </c>
    </row>
    <row r="2836" spans="2:17">
      <c r="B2836" t="s">
        <v>735</v>
      </c>
      <c r="C2836" t="s">
        <v>887</v>
      </c>
      <c r="D2836">
        <v>2.1070038142211099E-6</v>
      </c>
      <c r="E2836" t="s">
        <v>94</v>
      </c>
      <c r="H2836" t="s">
        <v>588</v>
      </c>
      <c r="I2836">
        <v>2.1070038142211099E-6</v>
      </c>
      <c r="J2836">
        <v>2.3200064397788576</v>
      </c>
      <c r="O2836" t="s">
        <v>1157</v>
      </c>
      <c r="Q2836" t="s">
        <v>4380</v>
      </c>
    </row>
    <row r="2837" spans="2:17">
      <c r="B2837" t="s">
        <v>735</v>
      </c>
      <c r="C2837" t="s">
        <v>654</v>
      </c>
      <c r="D2837">
        <v>1.6258221645394699E-7</v>
      </c>
      <c r="E2837" t="s">
        <v>94</v>
      </c>
      <c r="H2837" t="s">
        <v>588</v>
      </c>
      <c r="I2837">
        <v>1.6258221645394699E-7</v>
      </c>
      <c r="J2837">
        <v>2.2394398661220611</v>
      </c>
      <c r="O2837" t="s">
        <v>641</v>
      </c>
      <c r="Q2837" t="s">
        <v>1643</v>
      </c>
    </row>
    <row r="2838" spans="2:17">
      <c r="B2838" t="s">
        <v>735</v>
      </c>
      <c r="C2838" t="s">
        <v>658</v>
      </c>
      <c r="D2838">
        <v>1.81756117929429E-9</v>
      </c>
      <c r="E2838" t="s">
        <v>94</v>
      </c>
      <c r="H2838" t="s">
        <v>588</v>
      </c>
      <c r="I2838">
        <v>1.81756117929429E-9</v>
      </c>
      <c r="J2838">
        <v>2.2394398661220611</v>
      </c>
      <c r="O2838" t="s">
        <v>1157</v>
      </c>
      <c r="Q2838" t="s">
        <v>1166</v>
      </c>
    </row>
    <row r="2839" spans="2:17">
      <c r="B2839" t="s">
        <v>1533</v>
      </c>
      <c r="C2839" t="s">
        <v>667</v>
      </c>
      <c r="D2839">
        <v>8.2493198908468694E-6</v>
      </c>
      <c r="E2839" t="s">
        <v>94</v>
      </c>
      <c r="H2839" t="s">
        <v>588</v>
      </c>
      <c r="I2839">
        <v>8.2493198908468694E-6</v>
      </c>
      <c r="J2839">
        <v>1.0247973619913604</v>
      </c>
      <c r="N2839" t="s">
        <v>1534</v>
      </c>
      <c r="O2839" t="s">
        <v>641</v>
      </c>
      <c r="Q2839" t="s">
        <v>1672</v>
      </c>
    </row>
    <row r="2840" spans="2:17">
      <c r="B2840" t="s">
        <v>1536</v>
      </c>
      <c r="C2840" t="s">
        <v>667</v>
      </c>
      <c r="D2840">
        <v>4.7546618789155102E-4</v>
      </c>
      <c r="E2840" t="s">
        <v>94</v>
      </c>
      <c r="H2840" t="s">
        <v>588</v>
      </c>
      <c r="I2840">
        <v>4.7546618789155102E-4</v>
      </c>
      <c r="J2840">
        <v>1.1051709180756477</v>
      </c>
      <c r="N2840" t="s">
        <v>1537</v>
      </c>
      <c r="O2840" t="s">
        <v>2267</v>
      </c>
      <c r="Q2840" t="s">
        <v>4494</v>
      </c>
    </row>
    <row r="2841" spans="2:17">
      <c r="B2841" t="s">
        <v>736</v>
      </c>
      <c r="C2841" t="s">
        <v>661</v>
      </c>
      <c r="D2841">
        <v>3.5845269931020102E-7</v>
      </c>
      <c r="E2841" t="s">
        <v>94</v>
      </c>
      <c r="H2841" t="s">
        <v>588</v>
      </c>
      <c r="I2841">
        <v>3.5845269931020102E-7</v>
      </c>
      <c r="J2841">
        <v>2.2533180987712971</v>
      </c>
      <c r="O2841" t="s">
        <v>1675</v>
      </c>
      <c r="Q2841" t="s">
        <v>4490</v>
      </c>
    </row>
    <row r="2842" spans="2:17">
      <c r="B2842" t="s">
        <v>736</v>
      </c>
      <c r="C2842" t="s">
        <v>883</v>
      </c>
      <c r="D2842">
        <v>1.6200855935616E-9</v>
      </c>
      <c r="E2842" t="s">
        <v>94</v>
      </c>
      <c r="H2842" t="s">
        <v>588</v>
      </c>
      <c r="I2842">
        <v>1.6200855935616E-9</v>
      </c>
      <c r="J2842">
        <v>2.2394398661220611</v>
      </c>
      <c r="O2842" t="s">
        <v>641</v>
      </c>
      <c r="Q2842" t="s">
        <v>1643</v>
      </c>
    </row>
    <row r="2843" spans="2:17">
      <c r="B2843" t="s">
        <v>736</v>
      </c>
      <c r="C2843" t="s">
        <v>712</v>
      </c>
      <c r="D2843">
        <v>9.1918381125913706E-8</v>
      </c>
      <c r="E2843" t="s">
        <v>94</v>
      </c>
      <c r="H2843" t="s">
        <v>588</v>
      </c>
      <c r="I2843">
        <v>9.1918381125913706E-8</v>
      </c>
      <c r="J2843">
        <v>2.3224321505744521</v>
      </c>
      <c r="O2843" t="s">
        <v>798</v>
      </c>
      <c r="Q2843" t="s">
        <v>2961</v>
      </c>
    </row>
    <row r="2844" spans="2:17">
      <c r="B2844" t="s">
        <v>736</v>
      </c>
      <c r="C2844" t="s">
        <v>881</v>
      </c>
      <c r="D2844">
        <v>1.5815382596097799E-7</v>
      </c>
      <c r="E2844" t="s">
        <v>94</v>
      </c>
      <c r="H2844" t="s">
        <v>588</v>
      </c>
      <c r="I2844">
        <v>1.5815382596097799E-7</v>
      </c>
      <c r="J2844">
        <v>1.804199999999498</v>
      </c>
      <c r="O2844" t="s">
        <v>2024</v>
      </c>
      <c r="Q2844" t="s">
        <v>4451</v>
      </c>
    </row>
    <row r="2845" spans="2:17">
      <c r="B2845" t="s">
        <v>737</v>
      </c>
      <c r="C2845" t="s">
        <v>887</v>
      </c>
      <c r="D2845">
        <v>2.4211596304403499E-7</v>
      </c>
      <c r="E2845" t="s">
        <v>94</v>
      </c>
      <c r="H2845" t="s">
        <v>588</v>
      </c>
      <c r="I2845">
        <v>2.4211596304403499E-7</v>
      </c>
      <c r="J2845">
        <v>3.1023691624563283</v>
      </c>
      <c r="O2845" t="s">
        <v>1157</v>
      </c>
      <c r="Q2845" t="s">
        <v>4390</v>
      </c>
    </row>
    <row r="2846" spans="2:17">
      <c r="B2846" t="s">
        <v>737</v>
      </c>
      <c r="C2846" t="s">
        <v>881</v>
      </c>
      <c r="D2846">
        <v>1.59509249316868E-8</v>
      </c>
      <c r="E2846" t="s">
        <v>94</v>
      </c>
      <c r="H2846" t="s">
        <v>588</v>
      </c>
      <c r="I2846">
        <v>1.59509249316868E-8</v>
      </c>
      <c r="J2846">
        <v>1.0247973619913604</v>
      </c>
      <c r="O2846" t="s">
        <v>2422</v>
      </c>
    </row>
    <row r="2847" spans="2:17">
      <c r="B2847" t="s">
        <v>737</v>
      </c>
      <c r="C2847" t="s">
        <v>712</v>
      </c>
      <c r="D2847">
        <v>9.798288637709971E-10</v>
      </c>
      <c r="E2847" t="s">
        <v>94</v>
      </c>
      <c r="H2847" t="s">
        <v>588</v>
      </c>
      <c r="I2847">
        <v>9.798288637709971E-10</v>
      </c>
      <c r="J2847">
        <v>1.0247973619913604</v>
      </c>
      <c r="O2847" t="s">
        <v>2422</v>
      </c>
    </row>
    <row r="2848" spans="2:17">
      <c r="B2848" t="s">
        <v>737</v>
      </c>
      <c r="C2848" t="s">
        <v>883</v>
      </c>
      <c r="D2848">
        <v>2.4025210010541798E-12</v>
      </c>
      <c r="E2848" t="s">
        <v>94</v>
      </c>
      <c r="H2848" t="s">
        <v>588</v>
      </c>
      <c r="I2848">
        <v>2.4025210010541798E-12</v>
      </c>
      <c r="J2848">
        <v>1.2214027581601699</v>
      </c>
      <c r="O2848" t="s">
        <v>641</v>
      </c>
      <c r="Q2848" t="s">
        <v>1672</v>
      </c>
    </row>
    <row r="2849" spans="2:17">
      <c r="B2849" t="s">
        <v>737</v>
      </c>
      <c r="C2849" t="s">
        <v>661</v>
      </c>
      <c r="D2849">
        <v>2.4201045507808102E-7</v>
      </c>
      <c r="E2849" t="s">
        <v>94</v>
      </c>
      <c r="H2849" t="s">
        <v>588</v>
      </c>
      <c r="I2849">
        <v>2.4201045507808102E-7</v>
      </c>
      <c r="J2849">
        <v>1.2214027581601699</v>
      </c>
      <c r="O2849" t="s">
        <v>641</v>
      </c>
      <c r="Q2849" t="s">
        <v>1643</v>
      </c>
    </row>
    <row r="2850" spans="2:17">
      <c r="B2850" t="s">
        <v>4495</v>
      </c>
      <c r="C2850" t="s">
        <v>4413</v>
      </c>
      <c r="D2850">
        <v>2.0147975447616001E-6</v>
      </c>
      <c r="E2850" t="s">
        <v>94</v>
      </c>
      <c r="H2850" t="s">
        <v>588</v>
      </c>
      <c r="I2850">
        <v>2.0147975447616001E-6</v>
      </c>
      <c r="J2850">
        <v>1.2090000000000638</v>
      </c>
      <c r="O2850" t="s">
        <v>2024</v>
      </c>
      <c r="Q2850" t="s">
        <v>4414</v>
      </c>
    </row>
    <row r="2851" spans="2:17">
      <c r="B2851" t="s">
        <v>4496</v>
      </c>
      <c r="C2851" t="s">
        <v>670</v>
      </c>
      <c r="D2851">
        <v>1.2064995459491601E-6</v>
      </c>
      <c r="E2851" t="s">
        <v>94</v>
      </c>
      <c r="N2851" t="s">
        <v>4497</v>
      </c>
      <c r="Q2851" t="s">
        <v>1776</v>
      </c>
    </row>
    <row r="2852" spans="2:17">
      <c r="B2852" t="s">
        <v>4498</v>
      </c>
      <c r="C2852" t="s">
        <v>787</v>
      </c>
      <c r="D2852">
        <v>5.4432403337509698E-3</v>
      </c>
      <c r="E2852" t="s">
        <v>94</v>
      </c>
      <c r="H2852" t="s">
        <v>588</v>
      </c>
      <c r="I2852">
        <v>5.4432403337509698E-3</v>
      </c>
      <c r="J2852">
        <v>1.151909910168909</v>
      </c>
      <c r="N2852" t="s">
        <v>4499</v>
      </c>
      <c r="O2852" t="s">
        <v>4500</v>
      </c>
      <c r="Q2852" t="s">
        <v>3230</v>
      </c>
    </row>
    <row r="2853" spans="2:17">
      <c r="B2853" t="s">
        <v>4498</v>
      </c>
      <c r="C2853" t="s">
        <v>787</v>
      </c>
      <c r="D2853">
        <v>4.6204024953418299E-5</v>
      </c>
      <c r="E2853" t="s">
        <v>94</v>
      </c>
      <c r="H2853" t="s">
        <v>588</v>
      </c>
      <c r="I2853">
        <v>4.6204024953418299E-5</v>
      </c>
      <c r="J2853">
        <v>1.151909910168909</v>
      </c>
      <c r="N2853" t="s">
        <v>4499</v>
      </c>
      <c r="O2853" t="s">
        <v>4500</v>
      </c>
      <c r="Q2853" t="s">
        <v>3230</v>
      </c>
    </row>
    <row r="2854" spans="2:17">
      <c r="B2854" t="s">
        <v>4501</v>
      </c>
      <c r="C2854" t="s">
        <v>654</v>
      </c>
      <c r="D2854">
        <v>1.6502731347770799E-13</v>
      </c>
      <c r="E2854" t="s">
        <v>94</v>
      </c>
      <c r="H2854" t="s">
        <v>588</v>
      </c>
      <c r="I2854">
        <v>1.6502731347770799E-13</v>
      </c>
      <c r="J2854">
        <v>1.7293101253499219</v>
      </c>
      <c r="O2854" t="s">
        <v>2069</v>
      </c>
      <c r="Q2854" t="s">
        <v>4502</v>
      </c>
    </row>
    <row r="2855" spans="2:17">
      <c r="B2855" t="s">
        <v>4503</v>
      </c>
      <c r="C2855" t="s">
        <v>4413</v>
      </c>
      <c r="D2855">
        <v>7.9633629790274303E-8</v>
      </c>
      <c r="E2855" t="s">
        <v>94</v>
      </c>
      <c r="H2855" t="s">
        <v>588</v>
      </c>
      <c r="I2855">
        <v>7.9633629790274303E-8</v>
      </c>
      <c r="J2855">
        <v>1.0953832869787052</v>
      </c>
      <c r="O2855" t="s">
        <v>834</v>
      </c>
      <c r="Q2855" t="s">
        <v>4477</v>
      </c>
    </row>
    <row r="2856" spans="2:17">
      <c r="B2856" t="s">
        <v>4504</v>
      </c>
      <c r="C2856" t="s">
        <v>787</v>
      </c>
      <c r="D2856">
        <v>1.4851357431735299E-5</v>
      </c>
      <c r="E2856" t="s">
        <v>94</v>
      </c>
      <c r="H2856" t="s">
        <v>588</v>
      </c>
      <c r="I2856">
        <v>1.4851357431735299E-5</v>
      </c>
      <c r="J2856">
        <v>1.0247973619913604</v>
      </c>
      <c r="N2856" t="s">
        <v>4505</v>
      </c>
      <c r="O2856" t="s">
        <v>2004</v>
      </c>
      <c r="Q2856" t="s">
        <v>2005</v>
      </c>
    </row>
    <row r="2857" spans="2:17">
      <c r="B2857" t="s">
        <v>738</v>
      </c>
      <c r="C2857" t="s">
        <v>658</v>
      </c>
      <c r="D2857">
        <v>6.5840014254004694E-5</v>
      </c>
      <c r="E2857" t="s">
        <v>94</v>
      </c>
      <c r="H2857" t="s">
        <v>588</v>
      </c>
      <c r="I2857">
        <v>6.5840014254004694E-5</v>
      </c>
      <c r="J2857">
        <v>1.2214027581601699</v>
      </c>
      <c r="O2857" t="s">
        <v>1678</v>
      </c>
      <c r="Q2857" t="s">
        <v>1679</v>
      </c>
    </row>
    <row r="2858" spans="2:17">
      <c r="B2858" t="s">
        <v>738</v>
      </c>
      <c r="C2858" t="s">
        <v>4455</v>
      </c>
      <c r="D2858">
        <v>4.4794004031585E-9</v>
      </c>
      <c r="E2858" t="s">
        <v>94</v>
      </c>
      <c r="H2858" t="s">
        <v>588</v>
      </c>
      <c r="I2858">
        <v>4.4794004031585E-9</v>
      </c>
      <c r="J2858">
        <v>1.0247973619913604</v>
      </c>
      <c r="O2858" t="s">
        <v>2485</v>
      </c>
      <c r="Q2858" t="s">
        <v>4506</v>
      </c>
    </row>
    <row r="2859" spans="2:17">
      <c r="B2859" t="s">
        <v>738</v>
      </c>
      <c r="C2859" t="s">
        <v>654</v>
      </c>
      <c r="D2859">
        <v>4.2258945461462802E-7</v>
      </c>
      <c r="E2859" t="s">
        <v>94</v>
      </c>
      <c r="H2859" t="s">
        <v>588</v>
      </c>
      <c r="I2859">
        <v>4.2258945461462802E-7</v>
      </c>
      <c r="J2859">
        <v>1.5639483159353722</v>
      </c>
      <c r="O2859" t="s">
        <v>1798</v>
      </c>
      <c r="Q2859" t="s">
        <v>4428</v>
      </c>
    </row>
    <row r="2860" spans="2:17">
      <c r="B2860" t="s">
        <v>738</v>
      </c>
      <c r="C2860" t="s">
        <v>887</v>
      </c>
      <c r="D2860">
        <v>1.3027717727103399E-4</v>
      </c>
      <c r="E2860" t="s">
        <v>94</v>
      </c>
      <c r="H2860" t="s">
        <v>588</v>
      </c>
      <c r="I2860">
        <v>1.3027717727103399E-4</v>
      </c>
      <c r="J2860">
        <v>3.1023691624563283</v>
      </c>
      <c r="O2860" t="s">
        <v>1157</v>
      </c>
      <c r="Q2860" t="s">
        <v>4390</v>
      </c>
    </row>
    <row r="2861" spans="2:17">
      <c r="B2861" t="s">
        <v>739</v>
      </c>
      <c r="C2861" t="s">
        <v>887</v>
      </c>
      <c r="D2861">
        <v>1.4794013082876901E-12</v>
      </c>
      <c r="E2861" t="s">
        <v>94</v>
      </c>
      <c r="H2861" t="s">
        <v>588</v>
      </c>
      <c r="I2861">
        <v>1.4794013082876901E-12</v>
      </c>
      <c r="J2861">
        <v>1.9448779379824532</v>
      </c>
      <c r="O2861" t="s">
        <v>1157</v>
      </c>
      <c r="Q2861" t="s">
        <v>4425</v>
      </c>
    </row>
    <row r="2862" spans="2:17">
      <c r="B2862" t="s">
        <v>739</v>
      </c>
      <c r="C2862" t="s">
        <v>654</v>
      </c>
      <c r="D2862">
        <v>3.74132313086018E-14</v>
      </c>
      <c r="E2862" t="s">
        <v>94</v>
      </c>
      <c r="H2862" t="s">
        <v>588</v>
      </c>
      <c r="I2862">
        <v>3.74132313086018E-14</v>
      </c>
      <c r="J2862">
        <v>1.2214027581601699</v>
      </c>
      <c r="O2862" t="s">
        <v>641</v>
      </c>
      <c r="Q2862" t="s">
        <v>1643</v>
      </c>
    </row>
    <row r="2863" spans="2:17">
      <c r="B2863" t="s">
        <v>739</v>
      </c>
      <c r="C2863" t="s">
        <v>658</v>
      </c>
      <c r="D2863">
        <v>2.7447118862794599E-15</v>
      </c>
      <c r="E2863" t="s">
        <v>94</v>
      </c>
      <c r="H2863" t="s">
        <v>588</v>
      </c>
      <c r="I2863">
        <v>2.7447118862794599E-15</v>
      </c>
      <c r="J2863">
        <v>1.2214027581601699</v>
      </c>
      <c r="O2863" t="s">
        <v>1157</v>
      </c>
      <c r="Q2863" t="s">
        <v>4507</v>
      </c>
    </row>
    <row r="2864" spans="2:17">
      <c r="B2864" t="s">
        <v>4508</v>
      </c>
      <c r="C2864" t="s">
        <v>881</v>
      </c>
      <c r="D2864">
        <v>1.03245639993947E-4</v>
      </c>
      <c r="E2864" t="s">
        <v>94</v>
      </c>
      <c r="H2864" t="s">
        <v>588</v>
      </c>
      <c r="I2864">
        <v>1.03245639993947E-4</v>
      </c>
      <c r="J2864">
        <v>1.0247973619913604</v>
      </c>
      <c r="O2864" t="s">
        <v>2422</v>
      </c>
    </row>
    <row r="2865" spans="2:17">
      <c r="B2865" t="s">
        <v>4508</v>
      </c>
      <c r="C2865" t="s">
        <v>661</v>
      </c>
      <c r="D2865">
        <v>8.7233690959960902E-5</v>
      </c>
      <c r="E2865" t="s">
        <v>94</v>
      </c>
      <c r="H2865" t="s">
        <v>588</v>
      </c>
      <c r="I2865">
        <v>8.7233690959960902E-5</v>
      </c>
      <c r="J2865">
        <v>1.2214027581601699</v>
      </c>
      <c r="O2865" t="s">
        <v>641</v>
      </c>
      <c r="Q2865" t="s">
        <v>1643</v>
      </c>
    </row>
    <row r="2866" spans="2:17">
      <c r="B2866" t="s">
        <v>4508</v>
      </c>
      <c r="C2866" t="s">
        <v>712</v>
      </c>
      <c r="D2866">
        <v>1.4609555928424099E-5</v>
      </c>
      <c r="E2866" t="s">
        <v>94</v>
      </c>
      <c r="H2866" t="s">
        <v>588</v>
      </c>
      <c r="I2866">
        <v>1.4609555928424099E-5</v>
      </c>
      <c r="J2866">
        <v>1.0247973619913604</v>
      </c>
      <c r="O2866" t="s">
        <v>2422</v>
      </c>
    </row>
    <row r="2867" spans="2:17">
      <c r="B2867" t="s">
        <v>740</v>
      </c>
      <c r="C2867" t="s">
        <v>881</v>
      </c>
      <c r="D2867">
        <v>3.01881475548191E-3</v>
      </c>
      <c r="E2867" t="s">
        <v>94</v>
      </c>
      <c r="Q2867" t="s">
        <v>4492</v>
      </c>
    </row>
    <row r="2868" spans="2:17">
      <c r="B2868" t="s">
        <v>740</v>
      </c>
      <c r="C2868" t="s">
        <v>883</v>
      </c>
      <c r="D2868">
        <v>5.0352017609807203E-6</v>
      </c>
      <c r="E2868" t="s">
        <v>94</v>
      </c>
      <c r="H2868" t="s">
        <v>588</v>
      </c>
      <c r="I2868">
        <v>5.0352017609807203E-6</v>
      </c>
      <c r="J2868">
        <v>1.2214027581601699</v>
      </c>
      <c r="O2868" t="s">
        <v>952</v>
      </c>
      <c r="Q2868" t="s">
        <v>4509</v>
      </c>
    </row>
    <row r="2869" spans="2:17">
      <c r="B2869" t="s">
        <v>740</v>
      </c>
      <c r="C2869" t="s">
        <v>661</v>
      </c>
      <c r="D2869">
        <v>5.1703963160369595E-4</v>
      </c>
      <c r="E2869" t="s">
        <v>94</v>
      </c>
      <c r="H2869" t="s">
        <v>588</v>
      </c>
      <c r="I2869">
        <v>5.1703963160369595E-4</v>
      </c>
      <c r="J2869">
        <v>1.2505791921887124</v>
      </c>
      <c r="O2869" t="s">
        <v>1675</v>
      </c>
      <c r="Q2869" t="s">
        <v>1539</v>
      </c>
    </row>
    <row r="2870" spans="2:17">
      <c r="B2870" t="s">
        <v>740</v>
      </c>
      <c r="C2870" t="s">
        <v>712</v>
      </c>
      <c r="D2870">
        <v>3.0534434420856699E-5</v>
      </c>
      <c r="E2870" t="s">
        <v>94</v>
      </c>
      <c r="H2870" t="s">
        <v>588</v>
      </c>
      <c r="I2870">
        <v>3.0534434420856699E-5</v>
      </c>
      <c r="J2870">
        <v>1.2214027581601699</v>
      </c>
      <c r="O2870" t="s">
        <v>1532</v>
      </c>
      <c r="Q2870" t="s">
        <v>1540</v>
      </c>
    </row>
    <row r="2871" spans="2:17">
      <c r="B2871" t="s">
        <v>4510</v>
      </c>
      <c r="C2871" t="s">
        <v>787</v>
      </c>
      <c r="D2871">
        <v>3.2432929556653301E-8</v>
      </c>
      <c r="E2871" t="s">
        <v>94</v>
      </c>
      <c r="H2871" t="s">
        <v>588</v>
      </c>
      <c r="I2871">
        <v>3.2432929556653301E-8</v>
      </c>
      <c r="J2871">
        <v>2.94958765506908</v>
      </c>
      <c r="N2871" t="s">
        <v>4511</v>
      </c>
      <c r="O2871" t="s">
        <v>1082</v>
      </c>
      <c r="Q2871" t="s">
        <v>979</v>
      </c>
    </row>
    <row r="2872" spans="2:17">
      <c r="B2872" t="s">
        <v>4510</v>
      </c>
      <c r="C2872" t="s">
        <v>787</v>
      </c>
      <c r="D2872">
        <v>2.55908797938844E-5</v>
      </c>
      <c r="E2872" t="s">
        <v>94</v>
      </c>
      <c r="H2872" t="s">
        <v>588</v>
      </c>
      <c r="I2872">
        <v>2.55908797938844E-5</v>
      </c>
      <c r="J2872">
        <v>2.94958765506908</v>
      </c>
      <c r="N2872" t="s">
        <v>4511</v>
      </c>
      <c r="O2872" t="s">
        <v>798</v>
      </c>
      <c r="Q2872" t="s">
        <v>979</v>
      </c>
    </row>
    <row r="2873" spans="2:17">
      <c r="B2873" t="s">
        <v>4510</v>
      </c>
      <c r="C2873" t="s">
        <v>787</v>
      </c>
      <c r="D2873">
        <v>5.4357434459404198E-5</v>
      </c>
      <c r="E2873" t="s">
        <v>94</v>
      </c>
      <c r="H2873" t="s">
        <v>588</v>
      </c>
      <c r="I2873">
        <v>5.4357434459404198E-5</v>
      </c>
      <c r="J2873">
        <v>2.94958765506908</v>
      </c>
      <c r="N2873" t="s">
        <v>4511</v>
      </c>
      <c r="O2873" t="s">
        <v>1082</v>
      </c>
      <c r="Q2873" t="s">
        <v>979</v>
      </c>
    </row>
    <row r="2874" spans="2:17">
      <c r="B2874" t="s">
        <v>4512</v>
      </c>
      <c r="C2874" t="s">
        <v>667</v>
      </c>
      <c r="D2874">
        <v>1.9293457463679799E-4</v>
      </c>
      <c r="E2874" t="s">
        <v>94</v>
      </c>
      <c r="H2874" t="s">
        <v>588</v>
      </c>
      <c r="I2874">
        <v>1.9293457463679799E-4</v>
      </c>
      <c r="J2874">
        <v>1.0247973619913604</v>
      </c>
      <c r="N2874" t="s">
        <v>4513</v>
      </c>
      <c r="O2874" t="s">
        <v>952</v>
      </c>
      <c r="Q2874" t="s">
        <v>4514</v>
      </c>
    </row>
    <row r="2875" spans="2:17">
      <c r="B2875" t="s">
        <v>4515</v>
      </c>
      <c r="C2875" t="s">
        <v>670</v>
      </c>
      <c r="D2875">
        <v>2.1718447307686101E-5</v>
      </c>
      <c r="E2875" t="s">
        <v>94</v>
      </c>
      <c r="H2875" t="s">
        <v>588</v>
      </c>
      <c r="I2875">
        <v>2.1718447307686101E-5</v>
      </c>
      <c r="J2875">
        <v>1</v>
      </c>
      <c r="N2875" t="s">
        <v>4516</v>
      </c>
      <c r="O2875" t="s">
        <v>798</v>
      </c>
      <c r="Q2875" t="s">
        <v>4517</v>
      </c>
    </row>
    <row r="2876" spans="2:17">
      <c r="B2876" t="s">
        <v>824</v>
      </c>
      <c r="C2876" t="s">
        <v>654</v>
      </c>
      <c r="D2876">
        <v>8.5405235272855195E-8</v>
      </c>
      <c r="E2876" t="s">
        <v>94</v>
      </c>
      <c r="H2876" t="s">
        <v>588</v>
      </c>
      <c r="I2876">
        <v>8.5405235272855195E-8</v>
      </c>
      <c r="J2876">
        <v>1.2214027581601699</v>
      </c>
      <c r="O2876" t="s">
        <v>4374</v>
      </c>
      <c r="Q2876" t="s">
        <v>4375</v>
      </c>
    </row>
    <row r="2877" spans="2:17">
      <c r="B2877" t="s">
        <v>824</v>
      </c>
      <c r="C2877" t="s">
        <v>658</v>
      </c>
      <c r="D2877">
        <v>6.2066432537140904E-6</v>
      </c>
      <c r="E2877" t="s">
        <v>94</v>
      </c>
      <c r="H2877" t="s">
        <v>588</v>
      </c>
      <c r="I2877">
        <v>6.2066432537140904E-6</v>
      </c>
      <c r="J2877">
        <v>1</v>
      </c>
      <c r="O2877" t="s">
        <v>1157</v>
      </c>
      <c r="Q2877" t="s">
        <v>4518</v>
      </c>
    </row>
    <row r="2878" spans="2:17">
      <c r="B2878" t="s">
        <v>824</v>
      </c>
      <c r="C2878" t="s">
        <v>887</v>
      </c>
      <c r="D2878">
        <v>1.02006706058292E-7</v>
      </c>
      <c r="E2878" t="s">
        <v>94</v>
      </c>
      <c r="H2878" t="s">
        <v>588</v>
      </c>
      <c r="I2878">
        <v>1.02006706058292E-7</v>
      </c>
      <c r="J2878">
        <v>1.3498588075760032</v>
      </c>
      <c r="O2878" t="s">
        <v>871</v>
      </c>
      <c r="Q2878" t="s">
        <v>4444</v>
      </c>
    </row>
    <row r="2879" spans="2:17">
      <c r="B2879" t="s">
        <v>4519</v>
      </c>
      <c r="C2879" t="s">
        <v>887</v>
      </c>
      <c r="D2879">
        <v>2.29727792865815E-8</v>
      </c>
      <c r="E2879" t="s">
        <v>94</v>
      </c>
      <c r="H2879" t="s">
        <v>588</v>
      </c>
      <c r="I2879">
        <v>2.29727792865815E-8</v>
      </c>
      <c r="J2879">
        <v>1.3932825070863788</v>
      </c>
      <c r="O2879" t="s">
        <v>4520</v>
      </c>
      <c r="Q2879" t="s">
        <v>4521</v>
      </c>
    </row>
    <row r="2880" spans="2:17">
      <c r="B2880" t="s">
        <v>4519</v>
      </c>
      <c r="C2880" t="s">
        <v>658</v>
      </c>
      <c r="D2880">
        <v>1.0328090939206899E-8</v>
      </c>
      <c r="E2880" t="s">
        <v>94</v>
      </c>
      <c r="H2880" t="s">
        <v>588</v>
      </c>
      <c r="I2880">
        <v>1.0328090939206899E-8</v>
      </c>
      <c r="J2880">
        <v>1.4139824580805163</v>
      </c>
      <c r="O2880" t="s">
        <v>798</v>
      </c>
      <c r="Q2880" t="s">
        <v>3413</v>
      </c>
    </row>
    <row r="2881" spans="2:17">
      <c r="B2881" t="s">
        <v>4522</v>
      </c>
      <c r="C2881" t="s">
        <v>887</v>
      </c>
      <c r="D2881">
        <v>4.6022895191729798E-7</v>
      </c>
      <c r="E2881" t="s">
        <v>94</v>
      </c>
      <c r="H2881" t="s">
        <v>588</v>
      </c>
      <c r="I2881">
        <v>4.6022895191729798E-7</v>
      </c>
      <c r="J2881">
        <v>1.4139824580805163</v>
      </c>
      <c r="O2881" t="s">
        <v>4523</v>
      </c>
      <c r="Q2881" t="s">
        <v>4524</v>
      </c>
    </row>
    <row r="2882" spans="2:17">
      <c r="B2882" t="s">
        <v>4525</v>
      </c>
      <c r="C2882" t="s">
        <v>887</v>
      </c>
      <c r="D2882">
        <v>2.10788318453353E-5</v>
      </c>
      <c r="E2882" t="s">
        <v>94</v>
      </c>
      <c r="Q2882" t="s">
        <v>1776</v>
      </c>
    </row>
    <row r="2883" spans="2:17">
      <c r="B2883" t="s">
        <v>4525</v>
      </c>
      <c r="C2883" t="s">
        <v>654</v>
      </c>
      <c r="D2883">
        <v>1.92607122230967E-10</v>
      </c>
      <c r="E2883" t="s">
        <v>94</v>
      </c>
      <c r="H2883" t="s">
        <v>588</v>
      </c>
      <c r="I2883">
        <v>1.92607122230967E-10</v>
      </c>
      <c r="J2883">
        <v>1.4341253160944203</v>
      </c>
      <c r="O2883" t="s">
        <v>921</v>
      </c>
    </row>
    <row r="2884" spans="2:17">
      <c r="B2884" t="s">
        <v>4525</v>
      </c>
      <c r="C2884" t="s">
        <v>661</v>
      </c>
      <c r="D2884">
        <v>6.06738850533183E-8</v>
      </c>
      <c r="E2884" t="s">
        <v>94</v>
      </c>
      <c r="Q2884" t="s">
        <v>1776</v>
      </c>
    </row>
    <row r="2885" spans="2:17">
      <c r="B2885" t="s">
        <v>825</v>
      </c>
      <c r="C2885" t="s">
        <v>658</v>
      </c>
      <c r="D2885">
        <v>6.4335512984804403E-6</v>
      </c>
      <c r="E2885" t="s">
        <v>94</v>
      </c>
      <c r="H2885" t="s">
        <v>588</v>
      </c>
      <c r="I2885">
        <v>6.4335512984804403E-6</v>
      </c>
      <c r="J2885">
        <v>1.2214027581601699</v>
      </c>
      <c r="O2885" t="s">
        <v>1678</v>
      </c>
      <c r="Q2885" t="s">
        <v>1679</v>
      </c>
    </row>
    <row r="2886" spans="2:17">
      <c r="B2886" t="s">
        <v>825</v>
      </c>
      <c r="C2886" t="s">
        <v>887</v>
      </c>
      <c r="D2886">
        <v>1.3289444505816801E-5</v>
      </c>
      <c r="E2886" t="s">
        <v>94</v>
      </c>
      <c r="H2886" t="s">
        <v>588</v>
      </c>
      <c r="I2886">
        <v>1.3289444505816801E-5</v>
      </c>
      <c r="J2886">
        <v>1.2214027581601699</v>
      </c>
      <c r="O2886" t="s">
        <v>4376</v>
      </c>
      <c r="Q2886" t="s">
        <v>2110</v>
      </c>
    </row>
    <row r="2887" spans="2:17">
      <c r="B2887" t="s">
        <v>825</v>
      </c>
      <c r="C2887" t="s">
        <v>654</v>
      </c>
      <c r="D2887">
        <v>3.6443265036207502E-10</v>
      </c>
      <c r="E2887" t="s">
        <v>94</v>
      </c>
      <c r="H2887" t="s">
        <v>588</v>
      </c>
      <c r="I2887">
        <v>3.6443265036207502E-10</v>
      </c>
      <c r="J2887">
        <v>1.2214027581601699</v>
      </c>
      <c r="O2887" t="s">
        <v>4374</v>
      </c>
      <c r="Q2887" t="s">
        <v>4375</v>
      </c>
    </row>
    <row r="2888" spans="2:17">
      <c r="B2888" t="s">
        <v>4526</v>
      </c>
      <c r="C2888" t="s">
        <v>887</v>
      </c>
      <c r="D2888">
        <v>1.0994769902493599E-6</v>
      </c>
      <c r="E2888" t="s">
        <v>94</v>
      </c>
      <c r="H2888" t="s">
        <v>588</v>
      </c>
      <c r="I2888">
        <v>1.0994769902493599E-6</v>
      </c>
      <c r="J2888">
        <v>1.2505791921887124</v>
      </c>
      <c r="O2888" t="s">
        <v>4527</v>
      </c>
      <c r="Q2888" t="s">
        <v>4528</v>
      </c>
    </row>
    <row r="2889" spans="2:17">
      <c r="B2889" t="s">
        <v>4526</v>
      </c>
      <c r="C2889" t="s">
        <v>654</v>
      </c>
      <c r="D2889">
        <v>1.7081047054570999E-7</v>
      </c>
      <c r="E2889" t="s">
        <v>94</v>
      </c>
      <c r="H2889" t="s">
        <v>588</v>
      </c>
      <c r="I2889">
        <v>1.7081047054570999E-7</v>
      </c>
      <c r="J2889">
        <v>1.2214027581601699</v>
      </c>
      <c r="O2889" t="s">
        <v>4374</v>
      </c>
      <c r="Q2889" t="s">
        <v>4375</v>
      </c>
    </row>
    <row r="2890" spans="2:17">
      <c r="B2890" t="s">
        <v>4529</v>
      </c>
      <c r="C2890" t="s">
        <v>712</v>
      </c>
      <c r="D2890">
        <v>1.7678138228832499E-10</v>
      </c>
      <c r="E2890" t="s">
        <v>94</v>
      </c>
      <c r="H2890" t="s">
        <v>588</v>
      </c>
      <c r="I2890">
        <v>1.7678138228832499E-10</v>
      </c>
      <c r="J2890">
        <v>1.7293101253499219</v>
      </c>
      <c r="O2890" t="s">
        <v>2192</v>
      </c>
      <c r="Q2890" t="s">
        <v>4486</v>
      </c>
    </row>
    <row r="2891" spans="2:17">
      <c r="B2891" t="s">
        <v>4529</v>
      </c>
      <c r="C2891" t="s">
        <v>887</v>
      </c>
      <c r="D2891">
        <v>1.0742023151523301E-5</v>
      </c>
      <c r="E2891" t="s">
        <v>94</v>
      </c>
      <c r="Q2891" t="s">
        <v>1776</v>
      </c>
    </row>
    <row r="2892" spans="2:17">
      <c r="B2892" t="s">
        <v>4529</v>
      </c>
      <c r="C2892" t="s">
        <v>661</v>
      </c>
      <c r="D2892">
        <v>8.0025889876421496E-8</v>
      </c>
      <c r="E2892" t="s">
        <v>94</v>
      </c>
      <c r="Q2892" t="s">
        <v>1776</v>
      </c>
    </row>
    <row r="2893" spans="2:17">
      <c r="B2893" t="s">
        <v>4529</v>
      </c>
      <c r="C2893" t="s">
        <v>654</v>
      </c>
      <c r="D2893">
        <v>3.0418381856085503E-7</v>
      </c>
      <c r="E2893" t="s">
        <v>94</v>
      </c>
      <c r="H2893" t="s">
        <v>588</v>
      </c>
      <c r="I2893">
        <v>3.0418381856085503E-7</v>
      </c>
      <c r="J2893">
        <v>1.4139824580805163</v>
      </c>
      <c r="O2893" t="s">
        <v>2192</v>
      </c>
      <c r="Q2893" t="s">
        <v>4486</v>
      </c>
    </row>
    <row r="2894" spans="2:17">
      <c r="B2894" t="s">
        <v>4530</v>
      </c>
      <c r="C2894" t="s">
        <v>4413</v>
      </c>
      <c r="D2894">
        <v>4.1355965586440302E-7</v>
      </c>
      <c r="E2894" t="s">
        <v>94</v>
      </c>
      <c r="H2894" t="s">
        <v>588</v>
      </c>
      <c r="I2894">
        <v>4.1355965586440302E-7</v>
      </c>
      <c r="J2894">
        <v>1.1051709180756477</v>
      </c>
      <c r="O2894" t="s">
        <v>834</v>
      </c>
      <c r="Q2894" t="s">
        <v>4477</v>
      </c>
    </row>
    <row r="2895" spans="2:17">
      <c r="B2895" t="s">
        <v>4531</v>
      </c>
      <c r="C2895" t="s">
        <v>887</v>
      </c>
      <c r="D2895">
        <v>1.8457642963489099E-9</v>
      </c>
      <c r="E2895" t="s">
        <v>94</v>
      </c>
      <c r="H2895" t="s">
        <v>588</v>
      </c>
      <c r="I2895">
        <v>1.8457642963489099E-9</v>
      </c>
      <c r="J2895">
        <v>1.4139824580805163</v>
      </c>
      <c r="O2895" t="s">
        <v>1054</v>
      </c>
      <c r="Q2895" t="s">
        <v>2018</v>
      </c>
    </row>
    <row r="2896" spans="2:17">
      <c r="B2896" t="s">
        <v>4532</v>
      </c>
      <c r="C2896" t="s">
        <v>654</v>
      </c>
      <c r="D2896">
        <v>2.84684096892201E-8</v>
      </c>
      <c r="E2896" t="s">
        <v>94</v>
      </c>
      <c r="H2896" t="s">
        <v>588</v>
      </c>
      <c r="I2896">
        <v>2.84684096892201E-8</v>
      </c>
      <c r="J2896">
        <v>1.2214027581601699</v>
      </c>
      <c r="O2896" t="s">
        <v>4374</v>
      </c>
      <c r="Q2896" t="s">
        <v>4375</v>
      </c>
    </row>
    <row r="2897" spans="2:17">
      <c r="B2897" t="s">
        <v>4532</v>
      </c>
      <c r="C2897" t="s">
        <v>887</v>
      </c>
      <c r="D2897">
        <v>3.4000946864065798E-8</v>
      </c>
      <c r="E2897" t="s">
        <v>94</v>
      </c>
      <c r="H2897" t="s">
        <v>588</v>
      </c>
      <c r="I2897">
        <v>3.4000946864065798E-8</v>
      </c>
      <c r="J2897">
        <v>1.3498588075760032</v>
      </c>
      <c r="O2897" t="s">
        <v>871</v>
      </c>
      <c r="Q2897" t="s">
        <v>4444</v>
      </c>
    </row>
    <row r="2898" spans="2:17">
      <c r="B2898" t="s">
        <v>4533</v>
      </c>
      <c r="C2898" t="s">
        <v>4413</v>
      </c>
      <c r="D2898">
        <v>1.17044922716501E-7</v>
      </c>
      <c r="E2898" t="s">
        <v>94</v>
      </c>
      <c r="H2898" t="s">
        <v>588</v>
      </c>
      <c r="I2898">
        <v>1.17044922716501E-7</v>
      </c>
      <c r="J2898">
        <v>1.1051709180756477</v>
      </c>
      <c r="O2898" t="s">
        <v>834</v>
      </c>
      <c r="Q2898" t="s">
        <v>4477</v>
      </c>
    </row>
    <row r="2899" spans="2:17">
      <c r="B2899" t="s">
        <v>1085</v>
      </c>
      <c r="C2899" t="s">
        <v>744</v>
      </c>
      <c r="D2899">
        <v>5.0314690786455805E-4</v>
      </c>
      <c r="E2899" t="s">
        <v>94</v>
      </c>
      <c r="H2899" t="s">
        <v>588</v>
      </c>
      <c r="I2899">
        <v>5.0314690786455805E-4</v>
      </c>
      <c r="J2899">
        <v>1.0247973619913604</v>
      </c>
      <c r="N2899" t="s">
        <v>1086</v>
      </c>
      <c r="O2899" t="s">
        <v>1002</v>
      </c>
      <c r="Q2899" t="s">
        <v>4534</v>
      </c>
    </row>
    <row r="2900" spans="2:17">
      <c r="B2900" t="s">
        <v>4535</v>
      </c>
      <c r="C2900" t="s">
        <v>654</v>
      </c>
      <c r="D2900">
        <v>2.70461430421799E-12</v>
      </c>
      <c r="E2900" t="s">
        <v>94</v>
      </c>
      <c r="H2900" t="s">
        <v>588</v>
      </c>
      <c r="I2900">
        <v>2.70461430421799E-12</v>
      </c>
      <c r="J2900">
        <v>1.7293101253499219</v>
      </c>
      <c r="O2900" t="s">
        <v>2069</v>
      </c>
      <c r="Q2900" t="s">
        <v>4528</v>
      </c>
    </row>
    <row r="2901" spans="2:17">
      <c r="B2901" t="s">
        <v>4536</v>
      </c>
      <c r="C2901" t="s">
        <v>654</v>
      </c>
      <c r="D2901">
        <v>2.4524892419603802E-12</v>
      </c>
      <c r="E2901" t="s">
        <v>94</v>
      </c>
      <c r="H2901" t="s">
        <v>588</v>
      </c>
      <c r="I2901">
        <v>2.4524892419603802E-12</v>
      </c>
      <c r="J2901">
        <v>1.7293101253499219</v>
      </c>
      <c r="O2901" t="s">
        <v>2069</v>
      </c>
      <c r="Q2901" t="s">
        <v>4528</v>
      </c>
    </row>
    <row r="2902" spans="2:17">
      <c r="B2902" t="s">
        <v>741</v>
      </c>
      <c r="C2902" t="s">
        <v>661</v>
      </c>
      <c r="D2902">
        <v>5.5165772426352002E-6</v>
      </c>
      <c r="E2902" t="s">
        <v>94</v>
      </c>
      <c r="H2902" t="s">
        <v>588</v>
      </c>
      <c r="I2902">
        <v>5.5165772426352002E-6</v>
      </c>
      <c r="J2902">
        <v>2.2533180987712971</v>
      </c>
      <c r="O2902" t="s">
        <v>1675</v>
      </c>
      <c r="Q2902" t="s">
        <v>4490</v>
      </c>
    </row>
    <row r="2903" spans="2:17">
      <c r="B2903" t="s">
        <v>741</v>
      </c>
      <c r="C2903" t="s">
        <v>4401</v>
      </c>
      <c r="D2903">
        <v>9.5262610993535196E-9</v>
      </c>
      <c r="E2903" t="s">
        <v>94</v>
      </c>
      <c r="H2903" t="s">
        <v>588</v>
      </c>
      <c r="I2903">
        <v>9.5262610993535196E-9</v>
      </c>
      <c r="J2903">
        <v>1.2505791921887124</v>
      </c>
      <c r="O2903" t="s">
        <v>880</v>
      </c>
      <c r="Q2903" t="s">
        <v>4445</v>
      </c>
    </row>
    <row r="2904" spans="2:17">
      <c r="B2904" t="s">
        <v>741</v>
      </c>
      <c r="C2904" t="s">
        <v>4389</v>
      </c>
      <c r="D2904">
        <v>3.21049232273052E-9</v>
      </c>
      <c r="E2904" t="s">
        <v>94</v>
      </c>
      <c r="H2904" t="s">
        <v>588</v>
      </c>
      <c r="I2904">
        <v>3.21049232273052E-9</v>
      </c>
      <c r="J2904">
        <v>1.2214027581601699</v>
      </c>
      <c r="O2904" t="s">
        <v>641</v>
      </c>
      <c r="Q2904" t="s">
        <v>1643</v>
      </c>
    </row>
    <row r="2905" spans="2:17">
      <c r="B2905" t="s">
        <v>741</v>
      </c>
      <c r="C2905" t="s">
        <v>881</v>
      </c>
      <c r="D2905">
        <v>8.0750109074173607E-8</v>
      </c>
      <c r="E2905" t="s">
        <v>94</v>
      </c>
      <c r="H2905" t="s">
        <v>588</v>
      </c>
      <c r="I2905">
        <v>8.0750109074173607E-8</v>
      </c>
      <c r="J2905">
        <v>1.0247973619913604</v>
      </c>
      <c r="O2905" t="s">
        <v>2422</v>
      </c>
    </row>
    <row r="2906" spans="2:17">
      <c r="B2906" t="s">
        <v>741</v>
      </c>
      <c r="C2906" t="s">
        <v>883</v>
      </c>
      <c r="D2906">
        <v>2.3065767828477201E-5</v>
      </c>
      <c r="E2906" t="s">
        <v>94</v>
      </c>
      <c r="H2906" t="s">
        <v>588</v>
      </c>
      <c r="I2906">
        <v>2.3065767828477201E-5</v>
      </c>
      <c r="J2906">
        <v>1.2214027581601699</v>
      </c>
      <c r="O2906" t="s">
        <v>641</v>
      </c>
      <c r="Q2906" t="s">
        <v>1643</v>
      </c>
    </row>
    <row r="2907" spans="2:17">
      <c r="B2907" t="s">
        <v>741</v>
      </c>
      <c r="C2907" t="s">
        <v>712</v>
      </c>
      <c r="D2907">
        <v>9.7982886377099701E-9</v>
      </c>
      <c r="E2907" t="s">
        <v>94</v>
      </c>
      <c r="H2907" t="s">
        <v>588</v>
      </c>
      <c r="I2907">
        <v>9.7982886377099701E-9</v>
      </c>
      <c r="J2907">
        <v>1.0247973619913604</v>
      </c>
      <c r="O2907" t="s">
        <v>2422</v>
      </c>
    </row>
    <row r="2908" spans="2:17">
      <c r="B2908" t="s">
        <v>886</v>
      </c>
      <c r="C2908" t="s">
        <v>654</v>
      </c>
      <c r="D2908">
        <v>2.19308678824199E-7</v>
      </c>
      <c r="E2908" t="s">
        <v>94</v>
      </c>
      <c r="H2908" t="s">
        <v>588</v>
      </c>
      <c r="I2908">
        <v>2.19308678824199E-7</v>
      </c>
      <c r="J2908">
        <v>1.2214027581601699</v>
      </c>
      <c r="O2908" t="s">
        <v>641</v>
      </c>
      <c r="Q2908" t="s">
        <v>1643</v>
      </c>
    </row>
    <row r="2909" spans="2:17">
      <c r="B2909" t="s">
        <v>886</v>
      </c>
      <c r="C2909" t="s">
        <v>887</v>
      </c>
      <c r="D2909">
        <v>5.6136542249354097E-7</v>
      </c>
      <c r="E2909" t="s">
        <v>94</v>
      </c>
      <c r="H2909" t="s">
        <v>588</v>
      </c>
      <c r="I2909">
        <v>5.6136542249354097E-7</v>
      </c>
      <c r="J2909">
        <v>1.9265750720549795</v>
      </c>
      <c r="O2909" t="s">
        <v>1798</v>
      </c>
      <c r="Q2909" t="s">
        <v>4429</v>
      </c>
    </row>
    <row r="2910" spans="2:17">
      <c r="B2910" t="s">
        <v>886</v>
      </c>
      <c r="C2910" t="s">
        <v>658</v>
      </c>
      <c r="D2910">
        <v>3.5257843313078398E-10</v>
      </c>
      <c r="E2910" t="s">
        <v>94</v>
      </c>
      <c r="H2910" t="s">
        <v>588</v>
      </c>
      <c r="I2910">
        <v>3.5257843313078398E-10</v>
      </c>
      <c r="J2910">
        <v>1.2214027581601699</v>
      </c>
      <c r="O2910" t="s">
        <v>871</v>
      </c>
      <c r="Q2910" t="s">
        <v>1679</v>
      </c>
    </row>
    <row r="2911" spans="2:17">
      <c r="B2911" t="s">
        <v>4537</v>
      </c>
      <c r="C2911" t="s">
        <v>4413</v>
      </c>
      <c r="D2911">
        <v>1.9908407447568599E-7</v>
      </c>
      <c r="E2911" t="s">
        <v>94</v>
      </c>
      <c r="H2911" t="s">
        <v>588</v>
      </c>
      <c r="I2911">
        <v>1.9908407447568599E-7</v>
      </c>
      <c r="J2911">
        <v>1.0953832869787052</v>
      </c>
      <c r="O2911" t="s">
        <v>834</v>
      </c>
      <c r="Q2911" t="s">
        <v>4477</v>
      </c>
    </row>
    <row r="2912" spans="2:17">
      <c r="B2912" t="s">
        <v>973</v>
      </c>
      <c r="C2912" t="s">
        <v>744</v>
      </c>
      <c r="D2912">
        <v>1.6050448849879099E-5</v>
      </c>
      <c r="E2912" t="s">
        <v>94</v>
      </c>
      <c r="H2912" t="s">
        <v>588</v>
      </c>
      <c r="I2912">
        <v>1.6050448849879099E-5</v>
      </c>
      <c r="J2912">
        <v>1.0247973619913604</v>
      </c>
      <c r="N2912" t="s">
        <v>974</v>
      </c>
      <c r="O2912" t="s">
        <v>1779</v>
      </c>
      <c r="Q2912" t="s">
        <v>1780</v>
      </c>
    </row>
    <row r="2913" spans="2:17">
      <c r="B2913" t="s">
        <v>973</v>
      </c>
      <c r="C2913" t="s">
        <v>744</v>
      </c>
      <c r="D2913">
        <v>5.5568543040269701E-5</v>
      </c>
      <c r="E2913" t="s">
        <v>94</v>
      </c>
      <c r="H2913" t="s">
        <v>588</v>
      </c>
      <c r="I2913">
        <v>5.5568543040269701E-5</v>
      </c>
      <c r="J2913">
        <v>1.4139824580805163</v>
      </c>
      <c r="N2913" t="s">
        <v>974</v>
      </c>
      <c r="O2913" t="s">
        <v>1700</v>
      </c>
      <c r="Q2913" t="s">
        <v>4538</v>
      </c>
    </row>
    <row r="2914" spans="2:17">
      <c r="B2914" t="s">
        <v>973</v>
      </c>
      <c r="C2914" t="s">
        <v>744</v>
      </c>
      <c r="D2914">
        <v>5.6985608461799899E-6</v>
      </c>
      <c r="E2914" t="s">
        <v>94</v>
      </c>
      <c r="H2914" t="s">
        <v>588</v>
      </c>
      <c r="I2914">
        <v>5.6985608461799899E-6</v>
      </c>
      <c r="J2914">
        <v>1.0247973619913604</v>
      </c>
      <c r="N2914" t="s">
        <v>974</v>
      </c>
      <c r="O2914" t="s">
        <v>1779</v>
      </c>
      <c r="Q2914" t="s">
        <v>1780</v>
      </c>
    </row>
    <row r="2915" spans="2:17">
      <c r="B2915" t="s">
        <v>742</v>
      </c>
      <c r="C2915" t="s">
        <v>658</v>
      </c>
      <c r="D2915">
        <v>4.5203521672908798E-7</v>
      </c>
      <c r="E2915" t="s">
        <v>94</v>
      </c>
      <c r="H2915" t="s">
        <v>588</v>
      </c>
      <c r="I2915">
        <v>4.5203521672908798E-7</v>
      </c>
      <c r="J2915">
        <v>1.2214027581601699</v>
      </c>
      <c r="O2915" t="s">
        <v>1678</v>
      </c>
      <c r="Q2915" t="s">
        <v>1679</v>
      </c>
    </row>
    <row r="2916" spans="2:17">
      <c r="B2916" t="s">
        <v>742</v>
      </c>
      <c r="C2916" t="s">
        <v>661</v>
      </c>
      <c r="D2916">
        <v>2.85937017604734E-9</v>
      </c>
      <c r="E2916" t="s">
        <v>94</v>
      </c>
      <c r="H2916" t="s">
        <v>588</v>
      </c>
      <c r="I2916">
        <v>2.85937017604734E-9</v>
      </c>
      <c r="J2916">
        <v>1.7293101253499219</v>
      </c>
      <c r="O2916" t="s">
        <v>1678</v>
      </c>
      <c r="Q2916" t="s">
        <v>1679</v>
      </c>
    </row>
    <row r="2917" spans="2:17">
      <c r="B2917" t="s">
        <v>742</v>
      </c>
      <c r="C2917" t="s">
        <v>654</v>
      </c>
      <c r="D2917">
        <v>3.4963069866996001E-6</v>
      </c>
      <c r="E2917" t="s">
        <v>94</v>
      </c>
      <c r="H2917" t="s">
        <v>588</v>
      </c>
      <c r="I2917">
        <v>3.4963069866996001E-6</v>
      </c>
      <c r="J2917">
        <v>1.2214027581601699</v>
      </c>
      <c r="O2917" t="s">
        <v>641</v>
      </c>
      <c r="Q2917" t="s">
        <v>1643</v>
      </c>
    </row>
    <row r="2918" spans="2:17">
      <c r="B2918" t="s">
        <v>742</v>
      </c>
      <c r="C2918" t="s">
        <v>887</v>
      </c>
      <c r="D2918">
        <v>1.8989570228222399E-5</v>
      </c>
      <c r="E2918" t="s">
        <v>94</v>
      </c>
      <c r="H2918" t="s">
        <v>588</v>
      </c>
      <c r="I2918">
        <v>1.8989570228222399E-5</v>
      </c>
      <c r="J2918">
        <v>1.9265750720549795</v>
      </c>
      <c r="O2918" t="s">
        <v>1798</v>
      </c>
      <c r="Q2918" t="s">
        <v>4371</v>
      </c>
    </row>
    <row r="2919" spans="2:17">
      <c r="B2919" t="s">
        <v>4539</v>
      </c>
      <c r="C2919" t="s">
        <v>4413</v>
      </c>
      <c r="D2919">
        <v>1.9741618564882401E-8</v>
      </c>
      <c r="E2919" t="s">
        <v>94</v>
      </c>
      <c r="H2919" t="s">
        <v>588</v>
      </c>
      <c r="I2919">
        <v>1.9741618564882401E-8</v>
      </c>
      <c r="J2919">
        <v>1.1051709180756477</v>
      </c>
      <c r="O2919" t="s">
        <v>834</v>
      </c>
      <c r="Q2919" t="s">
        <v>4477</v>
      </c>
    </row>
    <row r="2920" spans="2:17">
      <c r="B2920" t="s">
        <v>4540</v>
      </c>
      <c r="C2920" t="s">
        <v>670</v>
      </c>
      <c r="D2920">
        <v>1.7016446686927201E-3</v>
      </c>
      <c r="E2920" t="s">
        <v>94</v>
      </c>
      <c r="H2920" t="s">
        <v>588</v>
      </c>
      <c r="I2920">
        <v>1.7016446686927201E-3</v>
      </c>
      <c r="J2920">
        <v>1.1051709180756477</v>
      </c>
      <c r="N2920" t="s">
        <v>4541</v>
      </c>
      <c r="O2920" t="s">
        <v>2780</v>
      </c>
      <c r="Q2920" t="s">
        <v>811</v>
      </c>
    </row>
    <row r="2921" spans="2:17">
      <c r="B2921" t="s">
        <v>4542</v>
      </c>
      <c r="C2921" t="s">
        <v>4413</v>
      </c>
      <c r="D2921">
        <v>2.1285812152410698E-6</v>
      </c>
      <c r="E2921" t="s">
        <v>94</v>
      </c>
      <c r="H2921" t="s">
        <v>588</v>
      </c>
      <c r="I2921">
        <v>2.1285812152410698E-6</v>
      </c>
      <c r="J2921">
        <v>1.2090000000000638</v>
      </c>
      <c r="O2921" t="s">
        <v>589</v>
      </c>
      <c r="Q2921" t="s">
        <v>4414</v>
      </c>
    </row>
    <row r="2922" spans="2:17">
      <c r="B2922" t="s">
        <v>4543</v>
      </c>
      <c r="C2922" t="s">
        <v>744</v>
      </c>
      <c r="D2922">
        <v>1.8881826936072E-4</v>
      </c>
      <c r="E2922" t="s">
        <v>94</v>
      </c>
      <c r="H2922" t="s">
        <v>588</v>
      </c>
      <c r="I2922">
        <v>1.8881826936072E-4</v>
      </c>
      <c r="J2922">
        <v>1.0247973619913604</v>
      </c>
      <c r="N2922" t="s">
        <v>4544</v>
      </c>
      <c r="O2922" t="s">
        <v>2004</v>
      </c>
      <c r="Q2922" t="s">
        <v>4545</v>
      </c>
    </row>
    <row r="2923" spans="2:17">
      <c r="B2923" t="s">
        <v>4546</v>
      </c>
      <c r="C2923" t="s">
        <v>2202</v>
      </c>
      <c r="D2923">
        <v>4.8994129015065301E-6</v>
      </c>
      <c r="E2923" t="s">
        <v>94</v>
      </c>
      <c r="H2923" t="s">
        <v>588</v>
      </c>
      <c r="I2923">
        <v>4.8994129015065301E-6</v>
      </c>
      <c r="J2923">
        <v>1.2214027581601699</v>
      </c>
      <c r="N2923" t="s">
        <v>4547</v>
      </c>
      <c r="O2923" t="s">
        <v>873</v>
      </c>
      <c r="Q2923" t="s">
        <v>4375</v>
      </c>
    </row>
    <row r="2924" spans="2:17">
      <c r="B2924" t="s">
        <v>743</v>
      </c>
      <c r="C2924" t="s">
        <v>744</v>
      </c>
      <c r="D2924">
        <v>6.3532875376684896E-3</v>
      </c>
      <c r="E2924" t="s">
        <v>94</v>
      </c>
      <c r="H2924" t="s">
        <v>588</v>
      </c>
      <c r="I2924">
        <v>6.3532875376684896E-3</v>
      </c>
      <c r="J2924">
        <v>1.0247973619913604</v>
      </c>
      <c r="N2924" t="s">
        <v>745</v>
      </c>
      <c r="O2924" t="s">
        <v>641</v>
      </c>
      <c r="Q2924" t="s">
        <v>1643</v>
      </c>
    </row>
    <row r="2925" spans="2:17">
      <c r="B2925" t="s">
        <v>743</v>
      </c>
      <c r="C2925" t="s">
        <v>744</v>
      </c>
      <c r="D2925">
        <v>1.78982006865727E-5</v>
      </c>
      <c r="E2925" t="s">
        <v>94</v>
      </c>
      <c r="H2925" t="s">
        <v>588</v>
      </c>
      <c r="I2925">
        <v>1.78982006865727E-5</v>
      </c>
      <c r="J2925">
        <v>1.0247973619913604</v>
      </c>
      <c r="N2925" t="s">
        <v>745</v>
      </c>
      <c r="O2925" t="s">
        <v>641</v>
      </c>
      <c r="Q2925" t="s">
        <v>1643</v>
      </c>
    </row>
    <row r="2926" spans="2:17">
      <c r="B2926" t="s">
        <v>743</v>
      </c>
      <c r="C2926" t="s">
        <v>744</v>
      </c>
      <c r="D2926">
        <v>1.81687581817404E-4</v>
      </c>
      <c r="E2926" t="s">
        <v>94</v>
      </c>
      <c r="H2926" t="s">
        <v>588</v>
      </c>
      <c r="I2926">
        <v>1.81687581817404E-4</v>
      </c>
      <c r="J2926">
        <v>1.0247973619913604</v>
      </c>
      <c r="N2926" t="s">
        <v>745</v>
      </c>
      <c r="O2926" t="s">
        <v>641</v>
      </c>
      <c r="Q2926" t="s">
        <v>1643</v>
      </c>
    </row>
    <row r="2927" spans="2:17">
      <c r="B2927" t="s">
        <v>746</v>
      </c>
      <c r="C2927" t="s">
        <v>744</v>
      </c>
      <c r="D2927">
        <v>2.9519287015195402E-4</v>
      </c>
      <c r="E2927" t="s">
        <v>94</v>
      </c>
      <c r="H2927" t="s">
        <v>588</v>
      </c>
      <c r="I2927">
        <v>2.9519287015195402E-4</v>
      </c>
      <c r="J2927">
        <v>1.0247973619913604</v>
      </c>
      <c r="N2927" t="s">
        <v>747</v>
      </c>
      <c r="O2927" t="s">
        <v>641</v>
      </c>
      <c r="Q2927" t="s">
        <v>1643</v>
      </c>
    </row>
    <row r="2928" spans="2:17">
      <c r="B2928" t="s">
        <v>746</v>
      </c>
      <c r="C2928" t="s">
        <v>744</v>
      </c>
      <c r="D2928">
        <v>1.3319193880206699E-4</v>
      </c>
      <c r="E2928" t="s">
        <v>94</v>
      </c>
      <c r="H2928" t="s">
        <v>588</v>
      </c>
      <c r="I2928">
        <v>1.3319193880206699E-4</v>
      </c>
      <c r="J2928">
        <v>1.0247973619913604</v>
      </c>
      <c r="N2928" t="s">
        <v>747</v>
      </c>
      <c r="O2928" t="s">
        <v>1002</v>
      </c>
    </row>
    <row r="2929" spans="2:17">
      <c r="B2929" t="s">
        <v>4548</v>
      </c>
      <c r="C2929" t="s">
        <v>1613</v>
      </c>
      <c r="D2929">
        <v>1.2264136277499099E-8</v>
      </c>
      <c r="E2929" t="s">
        <v>640</v>
      </c>
      <c r="H2929" t="s">
        <v>588</v>
      </c>
      <c r="I2929">
        <v>1.2264136277499099E-8</v>
      </c>
      <c r="J2929">
        <v>1.1051709180756477</v>
      </c>
      <c r="N2929" t="s">
        <v>4549</v>
      </c>
      <c r="O2929" t="s">
        <v>1628</v>
      </c>
      <c r="Q2929" t="s">
        <v>979</v>
      </c>
    </row>
    <row r="2930" spans="2:17">
      <c r="B2930" t="s">
        <v>4548</v>
      </c>
      <c r="C2930" t="s">
        <v>1613</v>
      </c>
      <c r="D2930">
        <v>1.22590614636814E-8</v>
      </c>
      <c r="E2930" t="s">
        <v>640</v>
      </c>
      <c r="H2930" t="s">
        <v>588</v>
      </c>
      <c r="I2930">
        <v>1.22590614636814E-8</v>
      </c>
      <c r="J2930">
        <v>1.1051709180756477</v>
      </c>
      <c r="N2930" t="s">
        <v>4549</v>
      </c>
      <c r="O2930" t="s">
        <v>4550</v>
      </c>
      <c r="Q2930" t="s">
        <v>979</v>
      </c>
    </row>
    <row r="2931" spans="2:17">
      <c r="B2931" t="s">
        <v>748</v>
      </c>
      <c r="C2931" t="s">
        <v>658</v>
      </c>
      <c r="D2931">
        <v>8.3295455383455997E-7</v>
      </c>
      <c r="E2931" t="s">
        <v>607</v>
      </c>
      <c r="H2931" t="s">
        <v>588</v>
      </c>
      <c r="I2931">
        <v>8.3295455383455997E-7</v>
      </c>
      <c r="J2931">
        <v>1.3223000000000458</v>
      </c>
      <c r="O2931" t="s">
        <v>2792</v>
      </c>
      <c r="Q2931" t="s">
        <v>4551</v>
      </c>
    </row>
    <row r="2932" spans="2:17">
      <c r="B2932" t="s">
        <v>748</v>
      </c>
      <c r="C2932" t="s">
        <v>654</v>
      </c>
      <c r="D2932">
        <v>1.3605729495787E-2</v>
      </c>
      <c r="E2932" t="s">
        <v>607</v>
      </c>
      <c r="H2932" t="s">
        <v>588</v>
      </c>
      <c r="I2932">
        <v>1.3605729495787E-2</v>
      </c>
      <c r="J2932">
        <v>1</v>
      </c>
      <c r="O2932" t="s">
        <v>1157</v>
      </c>
      <c r="Q2932" t="s">
        <v>4552</v>
      </c>
    </row>
    <row r="2933" spans="2:17">
      <c r="B2933" t="s">
        <v>4553</v>
      </c>
      <c r="C2933" t="s">
        <v>658</v>
      </c>
      <c r="D2933">
        <v>1.0268195882074299E-9</v>
      </c>
      <c r="E2933" t="s">
        <v>94</v>
      </c>
      <c r="H2933" t="s">
        <v>588</v>
      </c>
      <c r="I2933">
        <v>1.0268195882074299E-9</v>
      </c>
      <c r="J2933">
        <v>2.2255409284924679</v>
      </c>
      <c r="O2933" t="s">
        <v>4554</v>
      </c>
      <c r="Q2933" t="s">
        <v>4555</v>
      </c>
    </row>
    <row r="2934" spans="2:17">
      <c r="B2934" t="s">
        <v>4553</v>
      </c>
      <c r="C2934" t="s">
        <v>654</v>
      </c>
      <c r="D2934">
        <v>1.7007290411859601E-7</v>
      </c>
      <c r="E2934" t="s">
        <v>94</v>
      </c>
      <c r="H2934" t="s">
        <v>588</v>
      </c>
      <c r="I2934">
        <v>1.7007290411859601E-7</v>
      </c>
      <c r="J2934">
        <v>1.2214027581601699</v>
      </c>
      <c r="O2934" t="s">
        <v>1756</v>
      </c>
      <c r="Q2934" t="s">
        <v>4518</v>
      </c>
    </row>
    <row r="2935" spans="2:17">
      <c r="B2935" t="s">
        <v>4556</v>
      </c>
      <c r="C2935" t="s">
        <v>887</v>
      </c>
      <c r="D2935">
        <v>2.45460572237242E-7</v>
      </c>
      <c r="E2935" t="s">
        <v>94</v>
      </c>
      <c r="H2935" t="s">
        <v>588</v>
      </c>
      <c r="I2935">
        <v>2.45460572237242E-7</v>
      </c>
      <c r="J2935">
        <v>1.0247973619913604</v>
      </c>
      <c r="O2935" t="s">
        <v>4290</v>
      </c>
      <c r="Q2935" t="s">
        <v>4557</v>
      </c>
    </row>
    <row r="2936" spans="2:17">
      <c r="B2936" t="s">
        <v>4558</v>
      </c>
      <c r="C2936" t="s">
        <v>4413</v>
      </c>
      <c r="D2936">
        <v>4.03536386446959E-7</v>
      </c>
      <c r="E2936" t="s">
        <v>94</v>
      </c>
      <c r="H2936" t="s">
        <v>588</v>
      </c>
      <c r="I2936">
        <v>4.03536386446959E-7</v>
      </c>
      <c r="J2936">
        <v>1.2090000000000638</v>
      </c>
      <c r="O2936" t="s">
        <v>589</v>
      </c>
      <c r="Q2936" t="s">
        <v>4414</v>
      </c>
    </row>
    <row r="2937" spans="2:17">
      <c r="B2937" t="s">
        <v>4559</v>
      </c>
      <c r="C2937" t="s">
        <v>887</v>
      </c>
      <c r="D2937">
        <v>1.12607874437802E-5</v>
      </c>
      <c r="E2937" t="s">
        <v>94</v>
      </c>
      <c r="H2937" t="s">
        <v>588</v>
      </c>
      <c r="I2937">
        <v>1.12607874437802E-5</v>
      </c>
      <c r="J2937">
        <v>1.2214027581601699</v>
      </c>
      <c r="O2937" t="s">
        <v>4560</v>
      </c>
      <c r="Q2937" t="s">
        <v>2439</v>
      </c>
    </row>
    <row r="2938" spans="2:17">
      <c r="B2938" t="s">
        <v>4561</v>
      </c>
      <c r="C2938" t="s">
        <v>887</v>
      </c>
      <c r="D2938">
        <v>9.1855649066706501E-8</v>
      </c>
      <c r="E2938" t="s">
        <v>94</v>
      </c>
      <c r="Q2938" t="s">
        <v>1776</v>
      </c>
    </row>
    <row r="2939" spans="2:17">
      <c r="B2939" t="s">
        <v>4562</v>
      </c>
      <c r="C2939" t="s">
        <v>658</v>
      </c>
      <c r="D2939">
        <v>7.4490305062107304E-7</v>
      </c>
      <c r="E2939" t="s">
        <v>94</v>
      </c>
      <c r="H2939" t="s">
        <v>588</v>
      </c>
      <c r="I2939">
        <v>7.4490305062107304E-7</v>
      </c>
      <c r="J2939">
        <v>1.2214027581601699</v>
      </c>
      <c r="O2939" t="s">
        <v>871</v>
      </c>
      <c r="Q2939" t="s">
        <v>1679</v>
      </c>
    </row>
    <row r="2940" spans="2:17">
      <c r="B2940" t="s">
        <v>4562</v>
      </c>
      <c r="C2940" t="s">
        <v>654</v>
      </c>
      <c r="D2940">
        <v>1.8849815248311699E-7</v>
      </c>
      <c r="E2940" t="s">
        <v>94</v>
      </c>
      <c r="H2940" t="s">
        <v>588</v>
      </c>
      <c r="I2940">
        <v>1.8849815248311699E-7</v>
      </c>
      <c r="J2940">
        <v>1.5639483159353722</v>
      </c>
      <c r="O2940" t="s">
        <v>1798</v>
      </c>
      <c r="Q2940" t="s">
        <v>4428</v>
      </c>
    </row>
    <row r="2941" spans="2:17">
      <c r="B2941" t="s">
        <v>4562</v>
      </c>
      <c r="C2941" t="s">
        <v>4455</v>
      </c>
      <c r="D2941">
        <v>4.7371738544433103E-9</v>
      </c>
      <c r="E2941" t="s">
        <v>94</v>
      </c>
      <c r="H2941" t="s">
        <v>588</v>
      </c>
      <c r="I2941">
        <v>4.7371738544433103E-9</v>
      </c>
      <c r="J2941">
        <v>1.4139824580805163</v>
      </c>
      <c r="O2941" t="s">
        <v>1752</v>
      </c>
      <c r="Q2941" t="s">
        <v>4475</v>
      </c>
    </row>
    <row r="2942" spans="2:17">
      <c r="B2942" t="s">
        <v>4562</v>
      </c>
      <c r="C2942" t="s">
        <v>887</v>
      </c>
      <c r="D2942">
        <v>5.56432274208399E-5</v>
      </c>
      <c r="E2942" t="s">
        <v>94</v>
      </c>
      <c r="H2942" t="s">
        <v>588</v>
      </c>
      <c r="I2942">
        <v>5.56432274208399E-5</v>
      </c>
      <c r="J2942">
        <v>1.9265750720549795</v>
      </c>
      <c r="O2942" t="s">
        <v>1798</v>
      </c>
      <c r="Q2942" t="s">
        <v>4429</v>
      </c>
    </row>
    <row r="2943" spans="2:17">
      <c r="B2943" t="s">
        <v>4563</v>
      </c>
      <c r="C2943" t="s">
        <v>887</v>
      </c>
      <c r="D2943">
        <v>3.5706292182238697E-5</v>
      </c>
      <c r="E2943" t="s">
        <v>94</v>
      </c>
      <c r="H2943" t="s">
        <v>588</v>
      </c>
      <c r="I2943">
        <v>3.5706292182238697E-5</v>
      </c>
      <c r="J2943">
        <v>1.9265750720549795</v>
      </c>
      <c r="O2943" t="s">
        <v>1798</v>
      </c>
      <c r="Q2943" t="s">
        <v>4429</v>
      </c>
    </row>
    <row r="2944" spans="2:17">
      <c r="B2944" t="s">
        <v>4563</v>
      </c>
      <c r="C2944" t="s">
        <v>658</v>
      </c>
      <c r="D2944">
        <v>2.19150518714106E-8</v>
      </c>
      <c r="E2944" t="s">
        <v>94</v>
      </c>
      <c r="H2944" t="s">
        <v>588</v>
      </c>
      <c r="I2944">
        <v>2.19150518714106E-8</v>
      </c>
      <c r="J2944">
        <v>1.2214027581601699</v>
      </c>
      <c r="O2944" t="s">
        <v>871</v>
      </c>
      <c r="Q2944" t="s">
        <v>1679</v>
      </c>
    </row>
    <row r="2945" spans="2:17">
      <c r="B2945" t="s">
        <v>4563</v>
      </c>
      <c r="C2945" t="s">
        <v>654</v>
      </c>
      <c r="D2945">
        <v>5.7064098606559901E-7</v>
      </c>
      <c r="E2945" t="s">
        <v>94</v>
      </c>
      <c r="H2945" t="s">
        <v>588</v>
      </c>
      <c r="I2945">
        <v>5.7064098606559901E-7</v>
      </c>
      <c r="J2945">
        <v>1.5639483159353722</v>
      </c>
      <c r="O2945" t="s">
        <v>1798</v>
      </c>
      <c r="Q2945" t="s">
        <v>4428</v>
      </c>
    </row>
    <row r="2946" spans="2:17">
      <c r="B2946" t="s">
        <v>4563</v>
      </c>
      <c r="C2946" t="s">
        <v>712</v>
      </c>
      <c r="D2946">
        <v>9.2705401834701407E-13</v>
      </c>
      <c r="E2946" t="s">
        <v>94</v>
      </c>
      <c r="H2946" t="s">
        <v>588</v>
      </c>
      <c r="I2946">
        <v>9.2705401834701407E-13</v>
      </c>
      <c r="J2946">
        <v>1.7450381821146503</v>
      </c>
      <c r="O2946" t="s">
        <v>882</v>
      </c>
    </row>
    <row r="2947" spans="2:17">
      <c r="B2947" t="s">
        <v>4564</v>
      </c>
      <c r="C2947" t="s">
        <v>661</v>
      </c>
      <c r="D2947">
        <v>8.1348104266656005E-8</v>
      </c>
      <c r="E2947" t="s">
        <v>94</v>
      </c>
      <c r="H2947" t="s">
        <v>588</v>
      </c>
      <c r="I2947">
        <v>8.1348104266656005E-8</v>
      </c>
      <c r="J2947">
        <v>1.7450381821146503</v>
      </c>
      <c r="O2947" t="s">
        <v>855</v>
      </c>
    </row>
    <row r="2948" spans="2:17">
      <c r="B2948" t="s">
        <v>4564</v>
      </c>
      <c r="C2948" t="s">
        <v>658</v>
      </c>
      <c r="D2948">
        <v>3.8499714752836401E-7</v>
      </c>
      <c r="E2948" t="s">
        <v>94</v>
      </c>
      <c r="H2948" t="s">
        <v>588</v>
      </c>
      <c r="I2948">
        <v>3.8499714752836401E-7</v>
      </c>
      <c r="J2948">
        <v>1.2214027581601699</v>
      </c>
      <c r="O2948" t="s">
        <v>871</v>
      </c>
      <c r="Q2948" t="s">
        <v>1679</v>
      </c>
    </row>
    <row r="2949" spans="2:17">
      <c r="B2949" t="s">
        <v>4564</v>
      </c>
      <c r="C2949" t="s">
        <v>887</v>
      </c>
      <c r="D2949">
        <v>3.68510156808662E-6</v>
      </c>
      <c r="E2949" t="s">
        <v>94</v>
      </c>
      <c r="H2949" t="s">
        <v>588</v>
      </c>
      <c r="I2949">
        <v>3.68510156808662E-6</v>
      </c>
      <c r="J2949">
        <v>1.7293101253499219</v>
      </c>
      <c r="O2949" t="s">
        <v>4376</v>
      </c>
      <c r="Q2949" t="s">
        <v>2110</v>
      </c>
    </row>
    <row r="2950" spans="2:17">
      <c r="B2950" t="s">
        <v>4564</v>
      </c>
      <c r="C2950" t="s">
        <v>654</v>
      </c>
      <c r="D2950">
        <v>9.5982052687476589E-7</v>
      </c>
      <c r="E2950" t="s">
        <v>94</v>
      </c>
      <c r="H2950" t="s">
        <v>588</v>
      </c>
      <c r="I2950">
        <v>9.5982052687476589E-7</v>
      </c>
      <c r="J2950">
        <v>1.2214027581601699</v>
      </c>
      <c r="O2950" t="s">
        <v>4374</v>
      </c>
      <c r="Q2950" t="s">
        <v>4375</v>
      </c>
    </row>
    <row r="2951" spans="2:17">
      <c r="B2951" t="s">
        <v>4565</v>
      </c>
      <c r="C2951" t="s">
        <v>887</v>
      </c>
      <c r="D2951">
        <v>2.4631012726611999E-5</v>
      </c>
      <c r="E2951" t="s">
        <v>94</v>
      </c>
      <c r="H2951" t="s">
        <v>588</v>
      </c>
      <c r="I2951">
        <v>2.4631012726611999E-5</v>
      </c>
      <c r="J2951">
        <v>1.2505791921887124</v>
      </c>
      <c r="O2951" t="s">
        <v>1708</v>
      </c>
      <c r="Q2951" t="s">
        <v>2018</v>
      </c>
    </row>
    <row r="2952" spans="2:17">
      <c r="B2952" t="s">
        <v>749</v>
      </c>
      <c r="C2952" t="s">
        <v>712</v>
      </c>
      <c r="D2952">
        <v>1.1852726756842099E-6</v>
      </c>
      <c r="E2952" t="s">
        <v>94</v>
      </c>
      <c r="H2952" t="s">
        <v>588</v>
      </c>
      <c r="I2952">
        <v>1.1852726756842099E-6</v>
      </c>
      <c r="J2952">
        <v>1.3028773061287173</v>
      </c>
      <c r="O2952" t="s">
        <v>798</v>
      </c>
      <c r="Q2952" t="s">
        <v>2961</v>
      </c>
    </row>
    <row r="2953" spans="2:17">
      <c r="B2953" t="s">
        <v>749</v>
      </c>
      <c r="C2953" t="s">
        <v>661</v>
      </c>
      <c r="D2953">
        <v>3.37802691266846E-5</v>
      </c>
      <c r="E2953" t="s">
        <v>94</v>
      </c>
      <c r="H2953" t="s">
        <v>588</v>
      </c>
      <c r="I2953">
        <v>3.37802691266846E-5</v>
      </c>
      <c r="J2953">
        <v>1.0247973619913604</v>
      </c>
      <c r="O2953" t="s">
        <v>1779</v>
      </c>
      <c r="Q2953" t="s">
        <v>1780</v>
      </c>
    </row>
    <row r="2954" spans="2:17">
      <c r="B2954" t="s">
        <v>749</v>
      </c>
      <c r="C2954" t="s">
        <v>658</v>
      </c>
      <c r="D2954">
        <v>2.2867768923926098E-9</v>
      </c>
      <c r="E2954" t="s">
        <v>94</v>
      </c>
      <c r="H2954" t="s">
        <v>588</v>
      </c>
      <c r="I2954">
        <v>2.2867768923926098E-9</v>
      </c>
      <c r="J2954">
        <v>1.2214027581601699</v>
      </c>
      <c r="O2954" t="s">
        <v>641</v>
      </c>
      <c r="Q2954" t="s">
        <v>1672</v>
      </c>
    </row>
    <row r="2955" spans="2:17">
      <c r="B2955" t="s">
        <v>749</v>
      </c>
      <c r="C2955" t="s">
        <v>4401</v>
      </c>
      <c r="D2955">
        <v>1.0595745751969099E-6</v>
      </c>
      <c r="E2955" t="s">
        <v>94</v>
      </c>
      <c r="H2955" t="s">
        <v>588</v>
      </c>
      <c r="I2955">
        <v>1.0595745751969099E-6</v>
      </c>
      <c r="J2955">
        <v>1.2214027581601699</v>
      </c>
      <c r="O2955" t="s">
        <v>641</v>
      </c>
      <c r="Q2955" t="s">
        <v>1643</v>
      </c>
    </row>
    <row r="2956" spans="2:17">
      <c r="B2956" t="s">
        <v>940</v>
      </c>
      <c r="C2956" t="s">
        <v>887</v>
      </c>
      <c r="D2956">
        <v>1.8220277976792399E-4</v>
      </c>
      <c r="E2956" t="s">
        <v>94</v>
      </c>
      <c r="Q2956" t="s">
        <v>1776</v>
      </c>
    </row>
    <row r="2957" spans="2:17">
      <c r="B2957" t="s">
        <v>940</v>
      </c>
      <c r="C2957" t="s">
        <v>654</v>
      </c>
      <c r="D2957">
        <v>2.6067537776928798E-10</v>
      </c>
      <c r="E2957" t="s">
        <v>94</v>
      </c>
      <c r="H2957" t="s">
        <v>588</v>
      </c>
      <c r="I2957">
        <v>2.6067537776928798E-10</v>
      </c>
      <c r="J2957">
        <v>1.2214027581601699</v>
      </c>
      <c r="O2957" t="s">
        <v>1756</v>
      </c>
      <c r="Q2957" t="s">
        <v>4518</v>
      </c>
    </row>
    <row r="2958" spans="2:17">
      <c r="B2958" t="s">
        <v>4566</v>
      </c>
      <c r="C2958" t="s">
        <v>883</v>
      </c>
      <c r="D2958">
        <v>3.0044729145359602E-3</v>
      </c>
      <c r="E2958" t="s">
        <v>94</v>
      </c>
      <c r="H2958" t="s">
        <v>588</v>
      </c>
      <c r="I2958">
        <v>3.0044729145359602E-3</v>
      </c>
      <c r="J2958">
        <v>1.2214027581601699</v>
      </c>
      <c r="O2958" t="s">
        <v>4446</v>
      </c>
      <c r="Q2958" t="s">
        <v>4453</v>
      </c>
    </row>
    <row r="2959" spans="2:17">
      <c r="B2959" t="s">
        <v>4567</v>
      </c>
      <c r="C2959" t="s">
        <v>654</v>
      </c>
      <c r="D2959">
        <v>1.72964332604158E-6</v>
      </c>
      <c r="E2959" t="s">
        <v>94</v>
      </c>
      <c r="H2959" t="s">
        <v>588</v>
      </c>
      <c r="I2959">
        <v>1.72964332604158E-6</v>
      </c>
      <c r="J2959">
        <v>1.2214027581601699</v>
      </c>
      <c r="O2959" t="s">
        <v>1002</v>
      </c>
    </row>
    <row r="2960" spans="2:17">
      <c r="B2960" t="s">
        <v>4567</v>
      </c>
      <c r="C2960" t="s">
        <v>658</v>
      </c>
      <c r="D2960">
        <v>8.2322372412730899E-8</v>
      </c>
      <c r="E2960" t="s">
        <v>94</v>
      </c>
      <c r="H2960" t="s">
        <v>588</v>
      </c>
      <c r="I2960">
        <v>8.2322372412730899E-8</v>
      </c>
      <c r="J2960">
        <v>1.2214027581601699</v>
      </c>
      <c r="O2960" t="s">
        <v>1678</v>
      </c>
      <c r="Q2960" t="s">
        <v>1679</v>
      </c>
    </row>
    <row r="2961" spans="2:17">
      <c r="B2961" t="s">
        <v>4567</v>
      </c>
      <c r="C2961" t="s">
        <v>4455</v>
      </c>
      <c r="D2961">
        <v>7.24399294764398E-9</v>
      </c>
      <c r="E2961" t="s">
        <v>94</v>
      </c>
      <c r="H2961" t="s">
        <v>588</v>
      </c>
      <c r="I2961">
        <v>7.24399294764398E-9</v>
      </c>
      <c r="J2961">
        <v>1.2214027581601699</v>
      </c>
      <c r="O2961" t="s">
        <v>1752</v>
      </c>
      <c r="Q2961" t="s">
        <v>1753</v>
      </c>
    </row>
    <row r="2962" spans="2:17">
      <c r="B2962" t="s">
        <v>4567</v>
      </c>
      <c r="C2962" t="s">
        <v>887</v>
      </c>
      <c r="D2962">
        <v>1.1928081057118599E-5</v>
      </c>
      <c r="E2962" t="s">
        <v>94</v>
      </c>
      <c r="H2962" t="s">
        <v>588</v>
      </c>
      <c r="I2962">
        <v>1.1928081057118599E-5</v>
      </c>
      <c r="J2962">
        <v>1.9417628825457849</v>
      </c>
      <c r="O2962" t="s">
        <v>1157</v>
      </c>
      <c r="Q2962" t="s">
        <v>4380</v>
      </c>
    </row>
    <row r="2963" spans="2:17">
      <c r="B2963" t="s">
        <v>243</v>
      </c>
      <c r="C2963" t="s">
        <v>4455</v>
      </c>
      <c r="D2963">
        <v>1.0185899802389301E-9</v>
      </c>
      <c r="E2963" t="s">
        <v>94</v>
      </c>
      <c r="H2963" t="s">
        <v>588</v>
      </c>
      <c r="I2963">
        <v>1.0185899802389301E-9</v>
      </c>
      <c r="J2963">
        <v>1.2214027581601699</v>
      </c>
      <c r="O2963" t="s">
        <v>1752</v>
      </c>
      <c r="Q2963" t="s">
        <v>1753</v>
      </c>
    </row>
    <row r="2964" spans="2:17">
      <c r="B2964" t="s">
        <v>243</v>
      </c>
      <c r="C2964" t="s">
        <v>654</v>
      </c>
      <c r="D2964">
        <v>2.24219508404787E-8</v>
      </c>
      <c r="E2964" t="s">
        <v>94</v>
      </c>
      <c r="H2964" t="s">
        <v>588</v>
      </c>
      <c r="I2964">
        <v>2.24219508404787E-8</v>
      </c>
      <c r="J2964">
        <v>1.2214027581601699</v>
      </c>
      <c r="O2964" t="s">
        <v>1002</v>
      </c>
    </row>
    <row r="2965" spans="2:17">
      <c r="B2965" t="s">
        <v>243</v>
      </c>
      <c r="C2965" t="s">
        <v>887</v>
      </c>
      <c r="D2965">
        <v>1.7454630389800999E-6</v>
      </c>
      <c r="E2965" t="s">
        <v>94</v>
      </c>
      <c r="H2965" t="s">
        <v>588</v>
      </c>
      <c r="I2965">
        <v>1.7454630389800999E-6</v>
      </c>
      <c r="J2965">
        <v>2.4468640909145409</v>
      </c>
      <c r="O2965" t="s">
        <v>1157</v>
      </c>
      <c r="Q2965" t="s">
        <v>4380</v>
      </c>
    </row>
    <row r="2966" spans="2:17">
      <c r="B2966" t="s">
        <v>243</v>
      </c>
      <c r="C2966" t="s">
        <v>658</v>
      </c>
      <c r="D2966">
        <v>4.7281522555984303E-10</v>
      </c>
      <c r="E2966" t="s">
        <v>94</v>
      </c>
      <c r="H2966" t="s">
        <v>588</v>
      </c>
      <c r="I2966">
        <v>4.7281522555984303E-10</v>
      </c>
      <c r="J2966">
        <v>1.2214027581601699</v>
      </c>
      <c r="O2966" t="s">
        <v>871</v>
      </c>
      <c r="Q2966" t="s">
        <v>1679</v>
      </c>
    </row>
    <row r="2967" spans="2:17">
      <c r="B2967" t="s">
        <v>4568</v>
      </c>
      <c r="C2967" t="s">
        <v>887</v>
      </c>
      <c r="D2967">
        <v>3.8667235895463098E-8</v>
      </c>
      <c r="E2967" t="s">
        <v>94</v>
      </c>
      <c r="H2967" t="s">
        <v>588</v>
      </c>
      <c r="I2967">
        <v>3.8667235895463098E-8</v>
      </c>
      <c r="J2967">
        <v>1.4341253160944203</v>
      </c>
      <c r="O2967" t="s">
        <v>798</v>
      </c>
      <c r="Q2967" t="s">
        <v>2143</v>
      </c>
    </row>
    <row r="2968" spans="2:17">
      <c r="B2968" t="s">
        <v>4568</v>
      </c>
      <c r="C2968" t="s">
        <v>661</v>
      </c>
      <c r="D2968">
        <v>1.7136711676156499E-6</v>
      </c>
      <c r="E2968" t="s">
        <v>94</v>
      </c>
      <c r="H2968" t="s">
        <v>588</v>
      </c>
      <c r="I2968">
        <v>1.7136711676156499E-6</v>
      </c>
      <c r="J2968">
        <v>1.7450381821146503</v>
      </c>
      <c r="O2968" t="s">
        <v>841</v>
      </c>
      <c r="Q2968" t="s">
        <v>1795</v>
      </c>
    </row>
    <row r="2969" spans="2:17">
      <c r="B2969" t="s">
        <v>750</v>
      </c>
      <c r="C2969" t="s">
        <v>654</v>
      </c>
      <c r="D2969">
        <v>2.0658515922525601E-7</v>
      </c>
      <c r="E2969" t="s">
        <v>94</v>
      </c>
      <c r="H2969" t="s">
        <v>588</v>
      </c>
      <c r="I2969">
        <v>2.0658515922525601E-7</v>
      </c>
      <c r="J2969">
        <v>1.2214027581601699</v>
      </c>
      <c r="O2969" t="s">
        <v>1002</v>
      </c>
      <c r="Q2969" t="s">
        <v>1444</v>
      </c>
    </row>
    <row r="2970" spans="2:17">
      <c r="B2970" t="s">
        <v>750</v>
      </c>
      <c r="C2970" t="s">
        <v>4455</v>
      </c>
      <c r="D2970">
        <v>4.00246268338111E-7</v>
      </c>
      <c r="E2970" t="s">
        <v>94</v>
      </c>
      <c r="H2970" t="s">
        <v>588</v>
      </c>
      <c r="I2970">
        <v>4.00246268338111E-7</v>
      </c>
      <c r="J2970">
        <v>1</v>
      </c>
      <c r="O2970" t="s">
        <v>1157</v>
      </c>
      <c r="Q2970" t="s">
        <v>4518</v>
      </c>
    </row>
    <row r="2971" spans="2:17">
      <c r="B2971" t="s">
        <v>750</v>
      </c>
      <c r="C2971" t="s">
        <v>887</v>
      </c>
      <c r="D2971">
        <v>9.3226402986121896E-7</v>
      </c>
      <c r="E2971" t="s">
        <v>94</v>
      </c>
      <c r="H2971" t="s">
        <v>588</v>
      </c>
      <c r="I2971">
        <v>9.3226402986121896E-7</v>
      </c>
      <c r="J2971">
        <v>1.2505791921887124</v>
      </c>
      <c r="O2971" t="s">
        <v>612</v>
      </c>
    </row>
    <row r="2972" spans="2:17">
      <c r="B2972" t="s">
        <v>750</v>
      </c>
      <c r="C2972" t="s">
        <v>658</v>
      </c>
      <c r="D2972">
        <v>9.823488564895161E-7</v>
      </c>
      <c r="E2972" t="s">
        <v>94</v>
      </c>
      <c r="H2972" t="s">
        <v>588</v>
      </c>
      <c r="I2972">
        <v>9.823488564895161E-7</v>
      </c>
      <c r="J2972">
        <v>1.2214027581601699</v>
      </c>
      <c r="O2972" t="s">
        <v>1678</v>
      </c>
      <c r="Q2972" t="s">
        <v>1679</v>
      </c>
    </row>
    <row r="2973" spans="2:17">
      <c r="B2973" t="s">
        <v>750</v>
      </c>
      <c r="C2973" t="s">
        <v>661</v>
      </c>
      <c r="D2973">
        <v>1.3563324165181E-8</v>
      </c>
      <c r="E2973" t="s">
        <v>94</v>
      </c>
      <c r="H2973" t="s">
        <v>588</v>
      </c>
      <c r="I2973">
        <v>1.3563324165181E-8</v>
      </c>
      <c r="J2973">
        <v>1.2214027581601699</v>
      </c>
      <c r="O2973" t="s">
        <v>1678</v>
      </c>
      <c r="Q2973" t="s">
        <v>1679</v>
      </c>
    </row>
    <row r="2974" spans="2:17">
      <c r="B2974" t="s">
        <v>4569</v>
      </c>
      <c r="C2974" t="s">
        <v>658</v>
      </c>
      <c r="D2974">
        <v>1.7909142161990899E-2</v>
      </c>
      <c r="E2974" t="s">
        <v>890</v>
      </c>
      <c r="H2974" t="s">
        <v>588</v>
      </c>
      <c r="I2974">
        <v>1.7909142161990899E-2</v>
      </c>
      <c r="J2974">
        <v>1.2214027581601699</v>
      </c>
      <c r="O2974" t="s">
        <v>1082</v>
      </c>
      <c r="Q2974" t="s">
        <v>4570</v>
      </c>
    </row>
    <row r="2975" spans="2:17">
      <c r="B2975" t="s">
        <v>4569</v>
      </c>
      <c r="C2975" t="s">
        <v>661</v>
      </c>
      <c r="D2975">
        <v>30.399750704298199</v>
      </c>
      <c r="E2975" t="s">
        <v>890</v>
      </c>
      <c r="H2975" t="s">
        <v>588</v>
      </c>
      <c r="I2975">
        <v>30.399750704298199</v>
      </c>
      <c r="J2975">
        <v>1.0247973619913604</v>
      </c>
      <c r="O2975" t="s">
        <v>1779</v>
      </c>
      <c r="Q2975" t="s">
        <v>1780</v>
      </c>
    </row>
    <row r="2976" spans="2:17">
      <c r="B2976" t="s">
        <v>4571</v>
      </c>
      <c r="C2976" t="s">
        <v>883</v>
      </c>
      <c r="D2976">
        <v>7.3063863002631502E-6</v>
      </c>
      <c r="E2976" t="s">
        <v>94</v>
      </c>
      <c r="H2976" t="s">
        <v>588</v>
      </c>
      <c r="I2976">
        <v>7.3063863002631502E-6</v>
      </c>
      <c r="J2976">
        <v>1.2214027581601699</v>
      </c>
      <c r="O2976" t="s">
        <v>4572</v>
      </c>
      <c r="Q2976" t="s">
        <v>4432</v>
      </c>
    </row>
    <row r="2977" spans="2:17">
      <c r="B2977" t="s">
        <v>4571</v>
      </c>
      <c r="C2977" t="s">
        <v>661</v>
      </c>
      <c r="D2977">
        <v>7.45735389972388E-6</v>
      </c>
      <c r="E2977" t="s">
        <v>94</v>
      </c>
      <c r="H2977" t="s">
        <v>588</v>
      </c>
      <c r="I2977">
        <v>7.45735389972388E-6</v>
      </c>
      <c r="J2977">
        <v>1.2505791921887124</v>
      </c>
      <c r="O2977" t="s">
        <v>4572</v>
      </c>
      <c r="Q2977" t="s">
        <v>4432</v>
      </c>
    </row>
    <row r="2978" spans="2:17">
      <c r="B2978" t="s">
        <v>4573</v>
      </c>
      <c r="C2978" t="s">
        <v>654</v>
      </c>
      <c r="D2978">
        <v>6.4750300079794995E-14</v>
      </c>
      <c r="E2978" t="s">
        <v>94</v>
      </c>
      <c r="H2978" t="s">
        <v>588</v>
      </c>
      <c r="I2978">
        <v>6.4750300079794995E-14</v>
      </c>
      <c r="J2978">
        <v>1.7293101253499219</v>
      </c>
      <c r="O2978" t="s">
        <v>2069</v>
      </c>
      <c r="Q2978" t="s">
        <v>4502</v>
      </c>
    </row>
    <row r="2979" spans="2:17">
      <c r="B2979" t="s">
        <v>649</v>
      </c>
      <c r="C2979" t="s">
        <v>650</v>
      </c>
      <c r="D2979">
        <v>5.7673583706557797E-4</v>
      </c>
      <c r="E2979" t="s">
        <v>94</v>
      </c>
      <c r="H2979" t="s">
        <v>588</v>
      </c>
      <c r="I2979">
        <v>5.7673583706557797E-4</v>
      </c>
      <c r="J2979">
        <v>1.0247973619913604</v>
      </c>
      <c r="N2979" t="s">
        <v>651</v>
      </c>
      <c r="O2979" t="s">
        <v>641</v>
      </c>
      <c r="Q2979" t="s">
        <v>1643</v>
      </c>
    </row>
    <row r="2980" spans="2:17">
      <c r="B2980" t="s">
        <v>649</v>
      </c>
      <c r="C2980" t="s">
        <v>650</v>
      </c>
      <c r="D2980">
        <v>3.14790794834189E-6</v>
      </c>
      <c r="E2980" t="s">
        <v>94</v>
      </c>
      <c r="H2980" t="s">
        <v>588</v>
      </c>
      <c r="I2980">
        <v>3.14790794834189E-6</v>
      </c>
      <c r="J2980">
        <v>1.0247973619913604</v>
      </c>
      <c r="N2980" t="s">
        <v>651</v>
      </c>
      <c r="O2980" t="s">
        <v>641</v>
      </c>
      <c r="Q2980" t="s">
        <v>1643</v>
      </c>
    </row>
    <row r="2981" spans="2:17">
      <c r="B2981" t="s">
        <v>649</v>
      </c>
      <c r="C2981" t="s">
        <v>650</v>
      </c>
      <c r="D2981">
        <v>2.71119537543782E-8</v>
      </c>
      <c r="E2981" t="s">
        <v>94</v>
      </c>
      <c r="H2981" t="s">
        <v>588</v>
      </c>
      <c r="I2981">
        <v>2.71119537543782E-8</v>
      </c>
      <c r="J2981">
        <v>1.0247973619913604</v>
      </c>
      <c r="N2981" t="s">
        <v>651</v>
      </c>
      <c r="O2981" t="s">
        <v>641</v>
      </c>
      <c r="Q2981" t="s">
        <v>1643</v>
      </c>
    </row>
    <row r="2982" spans="2:17">
      <c r="B2982" t="s">
        <v>977</v>
      </c>
      <c r="C2982" t="s">
        <v>787</v>
      </c>
      <c r="D2982">
        <v>7.0538950329735997E-3</v>
      </c>
      <c r="E2982" t="s">
        <v>94</v>
      </c>
      <c r="H2982" t="s">
        <v>588</v>
      </c>
      <c r="I2982">
        <v>7.0538950329735997E-3</v>
      </c>
      <c r="J2982">
        <v>1.0247973619913604</v>
      </c>
      <c r="N2982" t="s">
        <v>978</v>
      </c>
      <c r="O2982" t="s">
        <v>2069</v>
      </c>
      <c r="Q2982" t="s">
        <v>4574</v>
      </c>
    </row>
    <row r="2983" spans="2:17">
      <c r="B2983" t="s">
        <v>977</v>
      </c>
      <c r="C2983" t="s">
        <v>787</v>
      </c>
      <c r="D2983">
        <v>5.6130929816996704E-3</v>
      </c>
      <c r="E2983" t="s">
        <v>94</v>
      </c>
      <c r="H2983" t="s">
        <v>588</v>
      </c>
      <c r="I2983">
        <v>5.6130929816996704E-3</v>
      </c>
      <c r="J2983">
        <v>1.0247973619913604</v>
      </c>
      <c r="N2983" t="s">
        <v>978</v>
      </c>
      <c r="O2983" t="s">
        <v>1827</v>
      </c>
      <c r="Q2983" t="s">
        <v>4575</v>
      </c>
    </row>
    <row r="2984" spans="2:17">
      <c r="B2984" t="s">
        <v>4576</v>
      </c>
      <c r="C2984" t="s">
        <v>654</v>
      </c>
      <c r="D2984">
        <v>2.7063522615470602E-10</v>
      </c>
      <c r="E2984" t="s">
        <v>94</v>
      </c>
      <c r="H2984" t="s">
        <v>588</v>
      </c>
      <c r="I2984">
        <v>2.7063522615470602E-10</v>
      </c>
      <c r="J2984">
        <v>1.2214027581601699</v>
      </c>
      <c r="O2984" t="s">
        <v>4374</v>
      </c>
      <c r="Q2984" t="s">
        <v>4375</v>
      </c>
    </row>
    <row r="2985" spans="2:17">
      <c r="B2985" t="s">
        <v>4576</v>
      </c>
      <c r="C2985" t="s">
        <v>887</v>
      </c>
      <c r="D2985">
        <v>3.2436270088601299E-10</v>
      </c>
      <c r="E2985" t="s">
        <v>94</v>
      </c>
      <c r="H2985" t="s">
        <v>588</v>
      </c>
      <c r="I2985">
        <v>3.2436270088601299E-10</v>
      </c>
      <c r="J2985">
        <v>4.0300221040323674</v>
      </c>
      <c r="O2985" t="s">
        <v>1157</v>
      </c>
      <c r="Q2985" t="s">
        <v>4380</v>
      </c>
    </row>
    <row r="2986" spans="2:17">
      <c r="B2986" t="s">
        <v>4577</v>
      </c>
      <c r="C2986" t="s">
        <v>661</v>
      </c>
      <c r="D2986">
        <v>1.10877105822409E-3</v>
      </c>
      <c r="E2986" t="s">
        <v>890</v>
      </c>
      <c r="H2986" t="s">
        <v>588</v>
      </c>
      <c r="I2986">
        <v>1.10877105822409E-3</v>
      </c>
      <c r="J2986">
        <v>1.0247973619913604</v>
      </c>
      <c r="O2986" t="s">
        <v>1779</v>
      </c>
      <c r="Q2986" t="s">
        <v>1780</v>
      </c>
    </row>
    <row r="2987" spans="2:17">
      <c r="B2987" t="s">
        <v>4577</v>
      </c>
      <c r="C2987" t="s">
        <v>658</v>
      </c>
      <c r="D2987">
        <v>5.2257096461473301E-4</v>
      </c>
      <c r="E2987" t="s">
        <v>890</v>
      </c>
      <c r="H2987" t="s">
        <v>588</v>
      </c>
      <c r="I2987">
        <v>5.2257096461473301E-4</v>
      </c>
      <c r="J2987">
        <v>1.0247973619913604</v>
      </c>
      <c r="O2987" t="s">
        <v>1779</v>
      </c>
      <c r="Q2987" t="s">
        <v>1780</v>
      </c>
    </row>
    <row r="2988" spans="2:17">
      <c r="B2988" t="s">
        <v>4578</v>
      </c>
      <c r="C2988" t="s">
        <v>658</v>
      </c>
      <c r="D2988">
        <v>1.2785085406748099E-6</v>
      </c>
      <c r="E2988" t="s">
        <v>890</v>
      </c>
      <c r="H2988" t="s">
        <v>588</v>
      </c>
      <c r="I2988">
        <v>1.2785085406748099E-6</v>
      </c>
      <c r="J2988">
        <v>1.7293101253499219</v>
      </c>
      <c r="O2988" t="s">
        <v>851</v>
      </c>
      <c r="Q2988" t="s">
        <v>4395</v>
      </c>
    </row>
    <row r="2989" spans="2:17">
      <c r="B2989" t="s">
        <v>4578</v>
      </c>
      <c r="C2989" t="s">
        <v>661</v>
      </c>
      <c r="D2989">
        <v>8.8269145904297398E-7</v>
      </c>
      <c r="E2989" t="s">
        <v>890</v>
      </c>
      <c r="H2989" t="s">
        <v>588</v>
      </c>
      <c r="I2989">
        <v>8.8269145904297398E-7</v>
      </c>
      <c r="J2989">
        <v>1.7293101253499219</v>
      </c>
      <c r="O2989" t="s">
        <v>851</v>
      </c>
      <c r="Q2989" t="s">
        <v>4395</v>
      </c>
    </row>
    <row r="2990" spans="2:17">
      <c r="B2990" t="s">
        <v>4579</v>
      </c>
      <c r="C2990" t="s">
        <v>654</v>
      </c>
      <c r="D2990">
        <v>3.2037955376168298E-7</v>
      </c>
      <c r="E2990" t="s">
        <v>94</v>
      </c>
      <c r="H2990" t="s">
        <v>588</v>
      </c>
      <c r="I2990">
        <v>3.2037955376168298E-7</v>
      </c>
      <c r="J2990">
        <v>2.9768664233097617</v>
      </c>
      <c r="O2990" t="s">
        <v>798</v>
      </c>
      <c r="Q2990" t="s">
        <v>2961</v>
      </c>
    </row>
    <row r="2991" spans="2:17">
      <c r="B2991" t="s">
        <v>4579</v>
      </c>
      <c r="C2991" t="s">
        <v>4401</v>
      </c>
      <c r="D2991">
        <v>6.8504581779037197E-5</v>
      </c>
      <c r="E2991" t="s">
        <v>94</v>
      </c>
      <c r="H2991" t="s">
        <v>588</v>
      </c>
      <c r="I2991">
        <v>6.8504581779037197E-5</v>
      </c>
      <c r="J2991">
        <v>1.6487212707001282</v>
      </c>
      <c r="O2991" t="s">
        <v>1082</v>
      </c>
      <c r="Q2991" t="s">
        <v>2961</v>
      </c>
    </row>
    <row r="2992" spans="2:17">
      <c r="B2992" t="s">
        <v>4579</v>
      </c>
      <c r="C2992" t="s">
        <v>658</v>
      </c>
      <c r="D2992">
        <v>1.5052793141758001E-9</v>
      </c>
      <c r="E2992" t="s">
        <v>94</v>
      </c>
      <c r="H2992" t="s">
        <v>588</v>
      </c>
      <c r="I2992">
        <v>1.5052793141758001E-9</v>
      </c>
      <c r="J2992">
        <v>2.2394398661220611</v>
      </c>
      <c r="O2992" t="s">
        <v>1678</v>
      </c>
      <c r="Q2992" t="s">
        <v>1679</v>
      </c>
    </row>
    <row r="2993" spans="2:17">
      <c r="B2993" t="s">
        <v>4579</v>
      </c>
      <c r="C2993" t="s">
        <v>887</v>
      </c>
      <c r="D2993">
        <v>1.56463738261196E-6</v>
      </c>
      <c r="E2993" t="s">
        <v>94</v>
      </c>
      <c r="H2993" t="s">
        <v>588</v>
      </c>
      <c r="I2993">
        <v>1.56463738261196E-6</v>
      </c>
      <c r="J2993">
        <v>1.7999951562430099</v>
      </c>
      <c r="O2993" t="s">
        <v>1157</v>
      </c>
      <c r="Q2993" t="s">
        <v>4380</v>
      </c>
    </row>
    <row r="2994" spans="2:17">
      <c r="B2994" t="s">
        <v>751</v>
      </c>
      <c r="C2994" t="s">
        <v>712</v>
      </c>
      <c r="D2994">
        <v>1.0902936079411099E-5</v>
      </c>
      <c r="E2994" t="s">
        <v>94</v>
      </c>
      <c r="H2994" t="s">
        <v>588</v>
      </c>
      <c r="I2994">
        <v>1.0902936079411099E-5</v>
      </c>
      <c r="J2994">
        <v>1.615400885732484</v>
      </c>
      <c r="O2994" t="s">
        <v>798</v>
      </c>
      <c r="Q2994" t="s">
        <v>2961</v>
      </c>
    </row>
    <row r="2995" spans="2:17">
      <c r="B2995" t="s">
        <v>751</v>
      </c>
      <c r="C2995" t="s">
        <v>883</v>
      </c>
      <c r="D2995">
        <v>9.9825233605527106E-9</v>
      </c>
      <c r="E2995" t="s">
        <v>94</v>
      </c>
      <c r="H2995" t="s">
        <v>588</v>
      </c>
      <c r="I2995">
        <v>9.9825233605527106E-9</v>
      </c>
      <c r="J2995">
        <v>2.2394398661220611</v>
      </c>
      <c r="O2995" t="s">
        <v>641</v>
      </c>
      <c r="Q2995" t="s">
        <v>1672</v>
      </c>
    </row>
    <row r="2996" spans="2:17">
      <c r="B2996" t="s">
        <v>751</v>
      </c>
      <c r="C2996" t="s">
        <v>661</v>
      </c>
      <c r="D2996">
        <v>1.04642819168108E-5</v>
      </c>
      <c r="E2996" t="s">
        <v>94</v>
      </c>
      <c r="H2996" t="s">
        <v>588</v>
      </c>
      <c r="I2996">
        <v>1.04642819168108E-5</v>
      </c>
      <c r="J2996">
        <v>2.2394398661220611</v>
      </c>
      <c r="O2996" t="s">
        <v>641</v>
      </c>
      <c r="Q2996" t="s">
        <v>1643</v>
      </c>
    </row>
    <row r="2997" spans="2:17">
      <c r="B2997" t="s">
        <v>751</v>
      </c>
      <c r="C2997" t="s">
        <v>881</v>
      </c>
      <c r="D2997">
        <v>1.06969201833823E-7</v>
      </c>
      <c r="E2997" t="s">
        <v>94</v>
      </c>
      <c r="H2997" t="s">
        <v>588</v>
      </c>
      <c r="I2997">
        <v>1.06969201833823E-7</v>
      </c>
      <c r="J2997">
        <v>1.0247973619913604</v>
      </c>
      <c r="O2997" t="s">
        <v>2422</v>
      </c>
    </row>
    <row r="2998" spans="2:17">
      <c r="B2998" t="s">
        <v>4580</v>
      </c>
      <c r="C2998" t="s">
        <v>661</v>
      </c>
      <c r="D2998">
        <v>5.1506684455953399E-3</v>
      </c>
      <c r="E2998" t="s">
        <v>890</v>
      </c>
      <c r="H2998" t="s">
        <v>588</v>
      </c>
      <c r="I2998">
        <v>5.1506684455953399E-3</v>
      </c>
      <c r="J2998">
        <v>1.0247973619913604</v>
      </c>
      <c r="O2998" t="s">
        <v>1779</v>
      </c>
      <c r="Q2998" t="s">
        <v>1780</v>
      </c>
    </row>
    <row r="2999" spans="2:17">
      <c r="B2999" t="s">
        <v>4581</v>
      </c>
      <c r="C2999" t="s">
        <v>658</v>
      </c>
      <c r="D2999">
        <v>2.8591851135396601E-3</v>
      </c>
      <c r="E2999" t="s">
        <v>890</v>
      </c>
      <c r="H2999" t="s">
        <v>588</v>
      </c>
      <c r="I2999">
        <v>2.8591851135396601E-3</v>
      </c>
      <c r="J2999">
        <v>1.2214027581601699</v>
      </c>
      <c r="O2999" t="s">
        <v>956</v>
      </c>
      <c r="Q2999" t="s">
        <v>4400</v>
      </c>
    </row>
    <row r="3000" spans="2:17">
      <c r="B3000" t="s">
        <v>4582</v>
      </c>
      <c r="C3000" t="s">
        <v>658</v>
      </c>
      <c r="D3000">
        <v>1.04156426084473E-2</v>
      </c>
      <c r="E3000" t="s">
        <v>890</v>
      </c>
      <c r="H3000" t="s">
        <v>588</v>
      </c>
      <c r="I3000">
        <v>1.04156426084473E-2</v>
      </c>
      <c r="J3000">
        <v>1.7293101253499219</v>
      </c>
      <c r="O3000" t="s">
        <v>851</v>
      </c>
      <c r="Q3000" t="s">
        <v>4395</v>
      </c>
    </row>
    <row r="3001" spans="2:17">
      <c r="B3001" t="s">
        <v>4583</v>
      </c>
      <c r="C3001" t="s">
        <v>658</v>
      </c>
      <c r="D3001">
        <v>1.4315759563095301E-3</v>
      </c>
      <c r="E3001" t="s">
        <v>890</v>
      </c>
      <c r="H3001" t="s">
        <v>588</v>
      </c>
      <c r="I3001">
        <v>1.4315759563095301E-3</v>
      </c>
      <c r="J3001">
        <v>1.2214027581601699</v>
      </c>
      <c r="O3001" t="s">
        <v>956</v>
      </c>
      <c r="Q3001" t="s">
        <v>4400</v>
      </c>
    </row>
    <row r="3002" spans="2:17">
      <c r="B3002" t="s">
        <v>4584</v>
      </c>
      <c r="C3002" t="s">
        <v>658</v>
      </c>
      <c r="D3002">
        <v>1.86212733506658E-3</v>
      </c>
      <c r="E3002" t="s">
        <v>890</v>
      </c>
      <c r="H3002" t="s">
        <v>588</v>
      </c>
      <c r="I3002">
        <v>1.86212733506658E-3</v>
      </c>
      <c r="J3002">
        <v>1.2214027581601699</v>
      </c>
      <c r="O3002" t="s">
        <v>956</v>
      </c>
      <c r="Q3002" t="s">
        <v>4400</v>
      </c>
    </row>
    <row r="3003" spans="2:17">
      <c r="B3003" t="s">
        <v>4585</v>
      </c>
      <c r="C3003" t="s">
        <v>658</v>
      </c>
      <c r="D3003">
        <v>7.8402984117038703E-4</v>
      </c>
      <c r="E3003" t="s">
        <v>890</v>
      </c>
      <c r="H3003" t="s">
        <v>588</v>
      </c>
      <c r="I3003">
        <v>7.8402984117038703E-4</v>
      </c>
      <c r="J3003">
        <v>1.2214027581601699</v>
      </c>
      <c r="O3003" t="s">
        <v>956</v>
      </c>
      <c r="Q3003" t="s">
        <v>4400</v>
      </c>
    </row>
    <row r="3004" spans="2:17">
      <c r="B3004" t="s">
        <v>4586</v>
      </c>
      <c r="C3004" t="s">
        <v>658</v>
      </c>
      <c r="D3004">
        <v>3.7108019264094702E-8</v>
      </c>
      <c r="E3004" t="s">
        <v>890</v>
      </c>
      <c r="H3004" t="s">
        <v>588</v>
      </c>
      <c r="I3004">
        <v>3.7108019264094702E-8</v>
      </c>
      <c r="J3004">
        <v>1.2214027581601699</v>
      </c>
      <c r="O3004" t="s">
        <v>956</v>
      </c>
      <c r="Q3004" t="s">
        <v>4400</v>
      </c>
    </row>
    <row r="3005" spans="2:17">
      <c r="B3005" t="s">
        <v>4586</v>
      </c>
      <c r="C3005" t="s">
        <v>661</v>
      </c>
      <c r="D3005">
        <v>1.40962237272691E-6</v>
      </c>
      <c r="E3005" t="s">
        <v>890</v>
      </c>
      <c r="H3005" t="s">
        <v>588</v>
      </c>
      <c r="I3005">
        <v>1.40962237272691E-6</v>
      </c>
      <c r="J3005">
        <v>1.7293101253499219</v>
      </c>
      <c r="O3005" t="s">
        <v>851</v>
      </c>
      <c r="Q3005" t="s">
        <v>4395</v>
      </c>
    </row>
    <row r="3006" spans="2:17">
      <c r="B3006" t="s">
        <v>752</v>
      </c>
      <c r="C3006" t="s">
        <v>4401</v>
      </c>
      <c r="D3006">
        <v>1.10696483262881E-11</v>
      </c>
      <c r="E3006" t="s">
        <v>94</v>
      </c>
      <c r="Q3006" t="s">
        <v>2449</v>
      </c>
    </row>
    <row r="3007" spans="2:17">
      <c r="B3007" t="s">
        <v>752</v>
      </c>
      <c r="C3007" t="s">
        <v>661</v>
      </c>
      <c r="D3007">
        <v>2.4800756969006703E-7</v>
      </c>
      <c r="E3007" t="s">
        <v>94</v>
      </c>
      <c r="H3007" t="s">
        <v>588</v>
      </c>
      <c r="I3007">
        <v>2.4800756969006703E-7</v>
      </c>
      <c r="J3007">
        <v>2.2394398661220611</v>
      </c>
      <c r="O3007" t="s">
        <v>641</v>
      </c>
      <c r="Q3007" t="s">
        <v>1643</v>
      </c>
    </row>
    <row r="3008" spans="2:17">
      <c r="B3008" t="s">
        <v>752</v>
      </c>
      <c r="C3008" t="s">
        <v>887</v>
      </c>
      <c r="D3008">
        <v>1.3923177777830599E-6</v>
      </c>
      <c r="E3008" t="s">
        <v>94</v>
      </c>
      <c r="H3008" t="s">
        <v>588</v>
      </c>
      <c r="I3008">
        <v>1.3923177777830599E-6</v>
      </c>
      <c r="J3008">
        <v>2.4599993770025734</v>
      </c>
      <c r="O3008" t="s">
        <v>1157</v>
      </c>
      <c r="Q3008" t="s">
        <v>4380</v>
      </c>
    </row>
    <row r="3009" spans="2:17">
      <c r="B3009" t="s">
        <v>752</v>
      </c>
      <c r="C3009" t="s">
        <v>881</v>
      </c>
      <c r="D3009">
        <v>6.2452004079006097E-9</v>
      </c>
      <c r="E3009" t="s">
        <v>94</v>
      </c>
      <c r="H3009" t="s">
        <v>588</v>
      </c>
      <c r="I3009">
        <v>6.2452004079006097E-9</v>
      </c>
      <c r="J3009">
        <v>1.804199999999498</v>
      </c>
      <c r="O3009" t="s">
        <v>2024</v>
      </c>
      <c r="Q3009" t="s">
        <v>4451</v>
      </c>
    </row>
    <row r="3010" spans="2:17">
      <c r="B3010" t="s">
        <v>752</v>
      </c>
      <c r="C3010" t="s">
        <v>712</v>
      </c>
      <c r="D3010">
        <v>1.2035229936281599E-7</v>
      </c>
      <c r="E3010" t="s">
        <v>94</v>
      </c>
      <c r="H3010" t="s">
        <v>588</v>
      </c>
      <c r="I3010">
        <v>1.2035229936281599E-7</v>
      </c>
      <c r="J3010">
        <v>1.4139824580805163</v>
      </c>
      <c r="O3010" t="s">
        <v>798</v>
      </c>
      <c r="Q3010" t="s">
        <v>2961</v>
      </c>
    </row>
    <row r="3011" spans="2:17">
      <c r="B3011" t="s">
        <v>752</v>
      </c>
      <c r="C3011" t="s">
        <v>4413</v>
      </c>
      <c r="D3011">
        <v>2.4854209579572398E-7</v>
      </c>
      <c r="E3011" t="s">
        <v>94</v>
      </c>
      <c r="Q3011" t="s">
        <v>4587</v>
      </c>
    </row>
    <row r="3012" spans="2:17">
      <c r="B3012" t="s">
        <v>752</v>
      </c>
      <c r="C3012" t="s">
        <v>4389</v>
      </c>
      <c r="D3012">
        <v>4.8994881160677001E-11</v>
      </c>
      <c r="E3012" t="s">
        <v>94</v>
      </c>
      <c r="H3012" t="s">
        <v>588</v>
      </c>
      <c r="I3012">
        <v>4.8994881160677001E-11</v>
      </c>
      <c r="J3012">
        <v>1.2214027581601699</v>
      </c>
      <c r="O3012" t="s">
        <v>641</v>
      </c>
      <c r="Q3012" t="s">
        <v>1643</v>
      </c>
    </row>
    <row r="3013" spans="2:17">
      <c r="B3013" t="s">
        <v>752</v>
      </c>
      <c r="C3013" t="s">
        <v>883</v>
      </c>
      <c r="D3013">
        <v>3.9427476482379497E-9</v>
      </c>
      <c r="E3013" t="s">
        <v>94</v>
      </c>
      <c r="H3013" t="s">
        <v>588</v>
      </c>
      <c r="I3013">
        <v>3.9427476482379497E-9</v>
      </c>
      <c r="J3013">
        <v>2.2394398661220611</v>
      </c>
      <c r="O3013" t="s">
        <v>641</v>
      </c>
      <c r="Q3013" t="s">
        <v>1643</v>
      </c>
    </row>
    <row r="3014" spans="2:17">
      <c r="B3014" t="s">
        <v>752</v>
      </c>
      <c r="C3014" t="s">
        <v>654</v>
      </c>
      <c r="D3014">
        <v>1.65918983721988E-7</v>
      </c>
      <c r="E3014" t="s">
        <v>94</v>
      </c>
      <c r="H3014" t="s">
        <v>588</v>
      </c>
      <c r="I3014">
        <v>1.65918983721988E-7</v>
      </c>
      <c r="J3014">
        <v>2.2394398661220611</v>
      </c>
      <c r="O3014" t="s">
        <v>641</v>
      </c>
      <c r="Q3014" t="s">
        <v>1643</v>
      </c>
    </row>
    <row r="3015" spans="2:17">
      <c r="B3015" t="s">
        <v>752</v>
      </c>
      <c r="C3015" t="s">
        <v>658</v>
      </c>
      <c r="D3015">
        <v>4.2990996795067002E-8</v>
      </c>
      <c r="E3015" t="s">
        <v>94</v>
      </c>
      <c r="H3015" t="s">
        <v>588</v>
      </c>
      <c r="I3015">
        <v>4.2990996795067002E-8</v>
      </c>
      <c r="J3015">
        <v>2.2394398661220611</v>
      </c>
      <c r="O3015" t="s">
        <v>1157</v>
      </c>
      <c r="Q3015" t="s">
        <v>1166</v>
      </c>
    </row>
    <row r="3016" spans="2:17">
      <c r="B3016" t="s">
        <v>4588</v>
      </c>
      <c r="C3016" t="s">
        <v>787</v>
      </c>
      <c r="D3016">
        <v>4.7698360599670396E-7</v>
      </c>
      <c r="E3016" t="s">
        <v>94</v>
      </c>
      <c r="N3016" t="s">
        <v>4589</v>
      </c>
      <c r="Q3016" t="s">
        <v>4590</v>
      </c>
    </row>
    <row r="3017" spans="2:17">
      <c r="B3017" t="s">
        <v>889</v>
      </c>
      <c r="C3017" t="s">
        <v>654</v>
      </c>
      <c r="D3017">
        <v>4.2109324859690697E-7</v>
      </c>
      <c r="E3017" t="s">
        <v>890</v>
      </c>
      <c r="H3017" t="s">
        <v>588</v>
      </c>
      <c r="I3017">
        <v>4.2109324859690697E-7</v>
      </c>
      <c r="J3017">
        <v>1.7293101253499219</v>
      </c>
      <c r="O3017" t="s">
        <v>4374</v>
      </c>
      <c r="Q3017" t="s">
        <v>4375</v>
      </c>
    </row>
    <row r="3018" spans="2:17">
      <c r="B3018" t="s">
        <v>889</v>
      </c>
      <c r="C3018" t="s">
        <v>661</v>
      </c>
      <c r="D3018">
        <v>3.4047188096631998E-4</v>
      </c>
      <c r="E3018" t="s">
        <v>890</v>
      </c>
      <c r="H3018" t="s">
        <v>588</v>
      </c>
      <c r="I3018">
        <v>3.4047188096631998E-4</v>
      </c>
      <c r="J3018">
        <v>1.760654165524179</v>
      </c>
      <c r="O3018" t="s">
        <v>882</v>
      </c>
      <c r="Q3018" t="s">
        <v>4591</v>
      </c>
    </row>
    <row r="3019" spans="2:17">
      <c r="B3019" t="s">
        <v>889</v>
      </c>
      <c r="C3019" t="s">
        <v>887</v>
      </c>
      <c r="D3019">
        <v>5.0952505064947604E-7</v>
      </c>
      <c r="E3019" t="s">
        <v>890</v>
      </c>
      <c r="H3019" t="s">
        <v>588</v>
      </c>
      <c r="I3019">
        <v>5.0952505064947604E-7</v>
      </c>
      <c r="J3019">
        <v>1.8068915230828115</v>
      </c>
      <c r="O3019" t="s">
        <v>871</v>
      </c>
      <c r="Q3019" t="s">
        <v>4444</v>
      </c>
    </row>
    <row r="3020" spans="2:17">
      <c r="B3020" t="s">
        <v>4592</v>
      </c>
      <c r="C3020" t="s">
        <v>787</v>
      </c>
      <c r="D3020">
        <v>7.6481439351292896E-3</v>
      </c>
      <c r="E3020" t="s">
        <v>94</v>
      </c>
      <c r="H3020" t="s">
        <v>588</v>
      </c>
      <c r="I3020">
        <v>7.6481439351292896E-3</v>
      </c>
      <c r="J3020">
        <v>1.0247973619913604</v>
      </c>
      <c r="N3020" t="s">
        <v>4593</v>
      </c>
      <c r="O3020" t="s">
        <v>855</v>
      </c>
      <c r="Q3020" t="s">
        <v>4594</v>
      </c>
    </row>
    <row r="3021" spans="2:17">
      <c r="B3021" t="s">
        <v>4592</v>
      </c>
      <c r="C3021" t="s">
        <v>787</v>
      </c>
      <c r="D3021">
        <v>1.6649775251344799E-5</v>
      </c>
      <c r="E3021" t="s">
        <v>94</v>
      </c>
      <c r="H3021" t="s">
        <v>588</v>
      </c>
      <c r="I3021">
        <v>1.6649775251344799E-5</v>
      </c>
      <c r="J3021">
        <v>1.0247973619913604</v>
      </c>
      <c r="N3021" t="s">
        <v>4593</v>
      </c>
      <c r="O3021" t="s">
        <v>855</v>
      </c>
      <c r="Q3021" t="s">
        <v>4595</v>
      </c>
    </row>
    <row r="3022" spans="2:17">
      <c r="B3022" t="s">
        <v>4596</v>
      </c>
      <c r="C3022" t="s">
        <v>650</v>
      </c>
      <c r="D3022">
        <v>5.9104030401272003E-5</v>
      </c>
      <c r="E3022" t="s">
        <v>94</v>
      </c>
      <c r="H3022" t="s">
        <v>588</v>
      </c>
      <c r="I3022">
        <v>5.9104030401272003E-5</v>
      </c>
      <c r="J3022">
        <v>1.0247973619913604</v>
      </c>
      <c r="N3022" t="s">
        <v>4597</v>
      </c>
      <c r="O3022" t="s">
        <v>2004</v>
      </c>
      <c r="Q3022" t="s">
        <v>4598</v>
      </c>
    </row>
    <row r="3023" spans="2:17">
      <c r="B3023" t="s">
        <v>4596</v>
      </c>
      <c r="C3023" t="s">
        <v>650</v>
      </c>
      <c r="D3023">
        <v>1.76266858860148E-4</v>
      </c>
      <c r="E3023" t="s">
        <v>94</v>
      </c>
      <c r="H3023" t="s">
        <v>588</v>
      </c>
      <c r="I3023">
        <v>1.76266858860148E-4</v>
      </c>
      <c r="J3023">
        <v>1.0247973619913604</v>
      </c>
      <c r="N3023" t="s">
        <v>4597</v>
      </c>
      <c r="O3023" t="s">
        <v>2006</v>
      </c>
      <c r="Q3023" t="s">
        <v>1679</v>
      </c>
    </row>
    <row r="3024" spans="2:17">
      <c r="B3024" t="s">
        <v>4599</v>
      </c>
      <c r="C3024" t="s">
        <v>744</v>
      </c>
      <c r="D3024">
        <v>3.7015606969287097E-8</v>
      </c>
      <c r="E3024" t="s">
        <v>640</v>
      </c>
      <c r="H3024" t="s">
        <v>588</v>
      </c>
      <c r="I3024">
        <v>3.7015606969287097E-8</v>
      </c>
      <c r="J3024">
        <v>1.0247973619913604</v>
      </c>
      <c r="N3024" t="s">
        <v>4600</v>
      </c>
      <c r="O3024" t="s">
        <v>1779</v>
      </c>
      <c r="Q3024" t="s">
        <v>1780</v>
      </c>
    </row>
    <row r="3025" spans="2:17">
      <c r="B3025" t="s">
        <v>4601</v>
      </c>
      <c r="C3025" t="s">
        <v>744</v>
      </c>
      <c r="D3025">
        <v>2.6595183476779698E-8</v>
      </c>
      <c r="E3025" t="s">
        <v>640</v>
      </c>
      <c r="H3025" t="s">
        <v>588</v>
      </c>
      <c r="I3025">
        <v>2.6595183476779698E-8</v>
      </c>
      <c r="J3025">
        <v>1.0247973619913604</v>
      </c>
      <c r="N3025" t="s">
        <v>4602</v>
      </c>
      <c r="O3025" t="s">
        <v>1779</v>
      </c>
      <c r="Q3025" t="s">
        <v>1780</v>
      </c>
    </row>
    <row r="3026" spans="2:17">
      <c r="B3026" t="s">
        <v>4603</v>
      </c>
      <c r="C3026" t="s">
        <v>887</v>
      </c>
      <c r="D3026">
        <v>1.3235810876405901E-6</v>
      </c>
      <c r="E3026" t="s">
        <v>94</v>
      </c>
      <c r="H3026" t="s">
        <v>588</v>
      </c>
      <c r="I3026">
        <v>1.3235810876405901E-6</v>
      </c>
      <c r="J3026">
        <v>1.9265750720549795</v>
      </c>
      <c r="O3026" t="s">
        <v>1798</v>
      </c>
      <c r="Q3026" t="s">
        <v>4429</v>
      </c>
    </row>
    <row r="3027" spans="2:17">
      <c r="B3027" t="s">
        <v>4603</v>
      </c>
      <c r="C3027" t="s">
        <v>658</v>
      </c>
      <c r="D3027">
        <v>1.86982359287354E-9</v>
      </c>
      <c r="E3027" t="s">
        <v>94</v>
      </c>
      <c r="H3027" t="s">
        <v>588</v>
      </c>
      <c r="I3027">
        <v>1.86982359287354E-9</v>
      </c>
      <c r="J3027">
        <v>1.2214027581601699</v>
      </c>
      <c r="O3027" t="s">
        <v>871</v>
      </c>
      <c r="Q3027" t="s">
        <v>1679</v>
      </c>
    </row>
    <row r="3028" spans="2:17">
      <c r="B3028" t="s">
        <v>4603</v>
      </c>
      <c r="C3028" t="s">
        <v>654</v>
      </c>
      <c r="D3028">
        <v>1.97236337810166E-8</v>
      </c>
      <c r="E3028" t="s">
        <v>94</v>
      </c>
      <c r="H3028" t="s">
        <v>588</v>
      </c>
      <c r="I3028">
        <v>1.97236337810166E-8</v>
      </c>
      <c r="J3028">
        <v>1.8068915230828115</v>
      </c>
      <c r="O3028" t="s">
        <v>1798</v>
      </c>
      <c r="Q3028" t="s">
        <v>4428</v>
      </c>
    </row>
    <row r="3029" spans="2:17">
      <c r="B3029" t="s">
        <v>4604</v>
      </c>
      <c r="C3029" t="s">
        <v>654</v>
      </c>
      <c r="D3029">
        <v>1.11238276967477E-7</v>
      </c>
      <c r="E3029" t="s">
        <v>94</v>
      </c>
      <c r="H3029" t="s">
        <v>588</v>
      </c>
      <c r="I3029">
        <v>1.11238276967477E-7</v>
      </c>
      <c r="J3029">
        <v>1.5639483159353722</v>
      </c>
      <c r="O3029" t="s">
        <v>1798</v>
      </c>
      <c r="Q3029" t="s">
        <v>4428</v>
      </c>
    </row>
    <row r="3030" spans="2:17">
      <c r="B3030" t="s">
        <v>4604</v>
      </c>
      <c r="C3030" t="s">
        <v>658</v>
      </c>
      <c r="D3030">
        <v>1.18632900137003E-9</v>
      </c>
      <c r="E3030" t="s">
        <v>94</v>
      </c>
      <c r="H3030" t="s">
        <v>588</v>
      </c>
      <c r="I3030">
        <v>1.18632900137003E-9</v>
      </c>
      <c r="J3030">
        <v>1.2214027581601699</v>
      </c>
      <c r="O3030" t="s">
        <v>871</v>
      </c>
      <c r="Q3030" t="s">
        <v>1679</v>
      </c>
    </row>
    <row r="3031" spans="2:17">
      <c r="B3031" t="s">
        <v>4604</v>
      </c>
      <c r="C3031" t="s">
        <v>661</v>
      </c>
      <c r="D3031">
        <v>2.06185668478616E-4</v>
      </c>
      <c r="E3031" t="s">
        <v>94</v>
      </c>
      <c r="H3031" t="s">
        <v>588</v>
      </c>
      <c r="I3031">
        <v>2.06185668478616E-4</v>
      </c>
      <c r="J3031">
        <v>1.2214027581601699</v>
      </c>
      <c r="O3031" t="s">
        <v>641</v>
      </c>
      <c r="Q3031" t="s">
        <v>1643</v>
      </c>
    </row>
    <row r="3032" spans="2:17">
      <c r="B3032" t="s">
        <v>4604</v>
      </c>
      <c r="C3032" t="s">
        <v>883</v>
      </c>
      <c r="D3032">
        <v>2.9835138417208099E-2</v>
      </c>
      <c r="E3032" t="s">
        <v>94</v>
      </c>
      <c r="H3032" t="s">
        <v>588</v>
      </c>
      <c r="I3032">
        <v>2.9835138417208099E-2</v>
      </c>
      <c r="J3032">
        <v>1.2214027581601699</v>
      </c>
      <c r="O3032" t="s">
        <v>4446</v>
      </c>
      <c r="Q3032" t="s">
        <v>4447</v>
      </c>
    </row>
    <row r="3033" spans="2:17">
      <c r="B3033" t="s">
        <v>4604</v>
      </c>
      <c r="C3033" t="s">
        <v>887</v>
      </c>
      <c r="D3033">
        <v>4.0212504605032699E-6</v>
      </c>
      <c r="E3033" t="s">
        <v>94</v>
      </c>
      <c r="H3033" t="s">
        <v>588</v>
      </c>
      <c r="I3033">
        <v>4.0212504605032699E-6</v>
      </c>
      <c r="J3033">
        <v>2.1099959153946091</v>
      </c>
      <c r="O3033" t="s">
        <v>1157</v>
      </c>
      <c r="Q3033" t="s">
        <v>4380</v>
      </c>
    </row>
    <row r="3034" spans="2:17">
      <c r="B3034" t="s">
        <v>753</v>
      </c>
      <c r="C3034" t="s">
        <v>883</v>
      </c>
      <c r="D3034">
        <v>2.4372122145359201E-11</v>
      </c>
      <c r="E3034" t="s">
        <v>94</v>
      </c>
      <c r="H3034" t="s">
        <v>588</v>
      </c>
      <c r="I3034">
        <v>2.4372122145359201E-11</v>
      </c>
      <c r="J3034">
        <v>2.2394398661220611</v>
      </c>
      <c r="O3034" t="s">
        <v>641</v>
      </c>
      <c r="Q3034" t="s">
        <v>1643</v>
      </c>
    </row>
    <row r="3035" spans="2:17">
      <c r="B3035" t="s">
        <v>753</v>
      </c>
      <c r="C3035" t="s">
        <v>661</v>
      </c>
      <c r="D3035">
        <v>1.5772858597700999E-7</v>
      </c>
      <c r="E3035" t="s">
        <v>94</v>
      </c>
      <c r="H3035" t="s">
        <v>588</v>
      </c>
      <c r="I3035">
        <v>1.5772858597700999E-7</v>
      </c>
      <c r="J3035">
        <v>2.2394398661220611</v>
      </c>
      <c r="O3035" t="s">
        <v>641</v>
      </c>
      <c r="Q3035" t="s">
        <v>1643</v>
      </c>
    </row>
    <row r="3036" spans="2:17">
      <c r="B3036" t="s">
        <v>753</v>
      </c>
      <c r="C3036" t="s">
        <v>712</v>
      </c>
      <c r="D3036">
        <v>5.9159011743097197E-7</v>
      </c>
      <c r="E3036" t="s">
        <v>94</v>
      </c>
      <c r="H3036" t="s">
        <v>588</v>
      </c>
      <c r="I3036">
        <v>5.9159011743097197E-7</v>
      </c>
      <c r="J3036">
        <v>1.615400885732484</v>
      </c>
      <c r="O3036" t="s">
        <v>798</v>
      </c>
      <c r="Q3036" t="s">
        <v>2961</v>
      </c>
    </row>
    <row r="3037" spans="2:17">
      <c r="B3037" t="s">
        <v>753</v>
      </c>
      <c r="C3037" t="s">
        <v>658</v>
      </c>
      <c r="D3037">
        <v>1.19876986361446E-9</v>
      </c>
      <c r="E3037" t="s">
        <v>94</v>
      </c>
      <c r="H3037" t="s">
        <v>588</v>
      </c>
      <c r="I3037">
        <v>1.19876986361446E-9</v>
      </c>
      <c r="J3037">
        <v>1.2214027581601699</v>
      </c>
      <c r="O3037" t="s">
        <v>871</v>
      </c>
      <c r="Q3037" t="s">
        <v>1679</v>
      </c>
    </row>
    <row r="3038" spans="2:17">
      <c r="B3038" t="s">
        <v>753</v>
      </c>
      <c r="C3038" t="s">
        <v>654</v>
      </c>
      <c r="D3038">
        <v>5.1678992556850702E-8</v>
      </c>
      <c r="E3038" t="s">
        <v>94</v>
      </c>
      <c r="H3038" t="s">
        <v>588</v>
      </c>
      <c r="I3038">
        <v>5.1678992556850702E-8</v>
      </c>
      <c r="J3038">
        <v>2.2394398661220611</v>
      </c>
      <c r="O3038" t="s">
        <v>641</v>
      </c>
      <c r="Q3038" t="s">
        <v>1643</v>
      </c>
    </row>
    <row r="3039" spans="2:17">
      <c r="B3039" t="s">
        <v>753</v>
      </c>
      <c r="C3039" t="s">
        <v>4389</v>
      </c>
      <c r="D3039">
        <v>3.0384885477423101E-9</v>
      </c>
      <c r="E3039" t="s">
        <v>94</v>
      </c>
      <c r="H3039" t="s">
        <v>588</v>
      </c>
      <c r="I3039">
        <v>3.0384885477423101E-9</v>
      </c>
      <c r="J3039">
        <v>1.2214027581601699</v>
      </c>
      <c r="O3039" t="s">
        <v>641</v>
      </c>
      <c r="Q3039" t="s">
        <v>1643</v>
      </c>
    </row>
    <row r="3040" spans="2:17">
      <c r="B3040" t="s">
        <v>753</v>
      </c>
      <c r="C3040" t="s">
        <v>881</v>
      </c>
      <c r="D3040">
        <v>8.2770033197729406E-8</v>
      </c>
      <c r="E3040" t="s">
        <v>94</v>
      </c>
      <c r="H3040" t="s">
        <v>588</v>
      </c>
      <c r="I3040">
        <v>8.2770033197729406E-8</v>
      </c>
      <c r="J3040">
        <v>1.0247973619913604</v>
      </c>
      <c r="O3040" t="s">
        <v>2422</v>
      </c>
    </row>
    <row r="3041" spans="2:17">
      <c r="B3041" t="s">
        <v>753</v>
      </c>
      <c r="C3041" t="s">
        <v>887</v>
      </c>
      <c r="D3041">
        <v>2.2067273643589498E-6</v>
      </c>
      <c r="E3041" t="s">
        <v>94</v>
      </c>
      <c r="H3041" t="s">
        <v>588</v>
      </c>
      <c r="I3041">
        <v>2.2067273643589498E-6</v>
      </c>
      <c r="J3041">
        <v>2.549998941579303</v>
      </c>
      <c r="O3041" t="s">
        <v>1157</v>
      </c>
      <c r="Q3041" t="s">
        <v>4380</v>
      </c>
    </row>
    <row r="3042" spans="2:17">
      <c r="B3042" t="s">
        <v>4605</v>
      </c>
      <c r="C3042" t="s">
        <v>658</v>
      </c>
      <c r="D3042">
        <v>3.4540797805580202E-9</v>
      </c>
      <c r="E3042" t="s">
        <v>890</v>
      </c>
      <c r="H3042" t="s">
        <v>588</v>
      </c>
      <c r="I3042">
        <v>3.4540797805580202E-9</v>
      </c>
      <c r="J3042">
        <v>1.2214027581601699</v>
      </c>
      <c r="O3042" t="s">
        <v>956</v>
      </c>
      <c r="Q3042" t="s">
        <v>4400</v>
      </c>
    </row>
    <row r="3043" spans="2:17">
      <c r="B3043" t="s">
        <v>4605</v>
      </c>
      <c r="C3043" t="s">
        <v>661</v>
      </c>
      <c r="D3043">
        <v>2.6264835155129401E-5</v>
      </c>
      <c r="E3043" t="s">
        <v>890</v>
      </c>
      <c r="H3043" t="s">
        <v>588</v>
      </c>
      <c r="I3043">
        <v>2.6264835155129401E-5</v>
      </c>
      <c r="J3043">
        <v>1.7293101253499219</v>
      </c>
      <c r="O3043" t="s">
        <v>851</v>
      </c>
      <c r="Q3043" t="s">
        <v>4395</v>
      </c>
    </row>
    <row r="3044" spans="2:17">
      <c r="B3044" t="s">
        <v>754</v>
      </c>
      <c r="C3044" t="s">
        <v>4389</v>
      </c>
      <c r="D3044">
        <v>8.5252278101831004E-13</v>
      </c>
      <c r="E3044" t="s">
        <v>94</v>
      </c>
      <c r="H3044" t="s">
        <v>588</v>
      </c>
      <c r="I3044">
        <v>8.5252278101831004E-13</v>
      </c>
      <c r="J3044">
        <v>1.2214027581601699</v>
      </c>
      <c r="O3044" t="s">
        <v>641</v>
      </c>
      <c r="Q3044" t="s">
        <v>1643</v>
      </c>
    </row>
    <row r="3045" spans="2:17">
      <c r="B3045" t="s">
        <v>754</v>
      </c>
      <c r="C3045" t="s">
        <v>658</v>
      </c>
      <c r="D3045">
        <v>1.73915034348745E-10</v>
      </c>
      <c r="E3045" t="s">
        <v>94</v>
      </c>
      <c r="H3045" t="s">
        <v>588</v>
      </c>
      <c r="I3045">
        <v>1.73915034348745E-10</v>
      </c>
      <c r="J3045">
        <v>2.2394398661220611</v>
      </c>
      <c r="O3045" t="s">
        <v>1157</v>
      </c>
      <c r="Q3045" t="s">
        <v>1166</v>
      </c>
    </row>
    <row r="3046" spans="2:17">
      <c r="B3046" t="s">
        <v>754</v>
      </c>
      <c r="C3046" t="s">
        <v>661</v>
      </c>
      <c r="D3046">
        <v>1.03117426840083E-8</v>
      </c>
      <c r="E3046" t="s">
        <v>94</v>
      </c>
      <c r="H3046" t="s">
        <v>588</v>
      </c>
      <c r="I3046">
        <v>1.03117426840083E-8</v>
      </c>
      <c r="J3046">
        <v>2.2394398661220611</v>
      </c>
      <c r="O3046" t="s">
        <v>641</v>
      </c>
      <c r="Q3046" t="s">
        <v>1643</v>
      </c>
    </row>
    <row r="3047" spans="2:17">
      <c r="B3047" t="s">
        <v>754</v>
      </c>
      <c r="C3047" t="s">
        <v>883</v>
      </c>
      <c r="D3047">
        <v>1.8676921873017199E-10</v>
      </c>
      <c r="E3047" t="s">
        <v>94</v>
      </c>
      <c r="H3047" t="s">
        <v>588</v>
      </c>
      <c r="I3047">
        <v>1.8676921873017199E-10</v>
      </c>
      <c r="J3047">
        <v>2.2394398661220611</v>
      </c>
      <c r="O3047" t="s">
        <v>641</v>
      </c>
      <c r="Q3047" t="s">
        <v>1643</v>
      </c>
    </row>
    <row r="3048" spans="2:17">
      <c r="B3048" t="s">
        <v>754</v>
      </c>
      <c r="C3048" t="s">
        <v>881</v>
      </c>
      <c r="D3048">
        <v>1.1696560843219899E-9</v>
      </c>
      <c r="E3048" t="s">
        <v>94</v>
      </c>
      <c r="H3048" t="s">
        <v>588</v>
      </c>
      <c r="I3048">
        <v>1.1696560843219899E-9</v>
      </c>
      <c r="J3048">
        <v>1.804199999999498</v>
      </c>
      <c r="O3048" t="s">
        <v>2024</v>
      </c>
      <c r="Q3048" t="s">
        <v>4451</v>
      </c>
    </row>
    <row r="3049" spans="2:17">
      <c r="B3049" t="s">
        <v>754</v>
      </c>
      <c r="C3049" t="s">
        <v>4413</v>
      </c>
      <c r="D3049">
        <v>1.6619865053197901E-9</v>
      </c>
      <c r="E3049" t="s">
        <v>94</v>
      </c>
      <c r="Q3049" t="s">
        <v>4606</v>
      </c>
    </row>
    <row r="3050" spans="2:17">
      <c r="B3050" t="s">
        <v>754</v>
      </c>
      <c r="C3050" t="s">
        <v>654</v>
      </c>
      <c r="D3050">
        <v>4.15041345123544E-9</v>
      </c>
      <c r="E3050" t="s">
        <v>94</v>
      </c>
      <c r="H3050" t="s">
        <v>588</v>
      </c>
      <c r="I3050">
        <v>4.15041345123544E-9</v>
      </c>
      <c r="J3050">
        <v>2.2394398661220611</v>
      </c>
      <c r="O3050" t="s">
        <v>641</v>
      </c>
      <c r="Q3050" t="s">
        <v>1643</v>
      </c>
    </row>
    <row r="3051" spans="2:17">
      <c r="B3051" t="s">
        <v>754</v>
      </c>
      <c r="C3051" t="s">
        <v>887</v>
      </c>
      <c r="D3051">
        <v>1.8425015889880399E-8</v>
      </c>
      <c r="E3051" t="s">
        <v>94</v>
      </c>
      <c r="H3051" t="s">
        <v>588</v>
      </c>
      <c r="I3051">
        <v>1.8425015889880399E-8</v>
      </c>
      <c r="J3051">
        <v>3.5800697935495269</v>
      </c>
      <c r="O3051" t="s">
        <v>1157</v>
      </c>
      <c r="Q3051" t="s">
        <v>4380</v>
      </c>
    </row>
    <row r="3052" spans="2:17">
      <c r="B3052" t="s">
        <v>754</v>
      </c>
      <c r="C3052" t="s">
        <v>712</v>
      </c>
      <c r="D3052">
        <v>3.1010434862742498E-9</v>
      </c>
      <c r="E3052" t="s">
        <v>94</v>
      </c>
      <c r="H3052" t="s">
        <v>588</v>
      </c>
      <c r="I3052">
        <v>3.1010434862742498E-9</v>
      </c>
      <c r="J3052">
        <v>1.4139824580805163</v>
      </c>
      <c r="O3052" t="s">
        <v>798</v>
      </c>
      <c r="Q3052" t="s">
        <v>2961</v>
      </c>
    </row>
    <row r="3053" spans="2:17">
      <c r="B3053" t="s">
        <v>4607</v>
      </c>
      <c r="C3053" t="s">
        <v>4413</v>
      </c>
      <c r="D3053">
        <v>6.2424281889182899E-8</v>
      </c>
      <c r="E3053" t="s">
        <v>94</v>
      </c>
      <c r="H3053" t="s">
        <v>588</v>
      </c>
      <c r="I3053">
        <v>6.2424281889182899E-8</v>
      </c>
      <c r="J3053">
        <v>1.1051709180756477</v>
      </c>
      <c r="O3053" t="s">
        <v>834</v>
      </c>
      <c r="Q3053" t="s">
        <v>4477</v>
      </c>
    </row>
    <row r="3054" spans="2:17">
      <c r="B3054" t="s">
        <v>4608</v>
      </c>
      <c r="C3054" t="s">
        <v>4413</v>
      </c>
      <c r="D3054">
        <v>1.5762070594447001E-6</v>
      </c>
      <c r="E3054" t="s">
        <v>94</v>
      </c>
      <c r="H3054" t="s">
        <v>588</v>
      </c>
      <c r="I3054">
        <v>1.5762070594447001E-6</v>
      </c>
      <c r="J3054">
        <v>1.1051709180756477</v>
      </c>
      <c r="O3054" t="s">
        <v>834</v>
      </c>
      <c r="Q3054" t="s">
        <v>4477</v>
      </c>
    </row>
    <row r="3055" spans="2:17">
      <c r="B3055" t="s">
        <v>4609</v>
      </c>
      <c r="C3055" t="s">
        <v>654</v>
      </c>
      <c r="D3055">
        <v>6.0564785232506694E-8</v>
      </c>
      <c r="E3055" t="s">
        <v>94</v>
      </c>
      <c r="H3055" t="s">
        <v>588</v>
      </c>
      <c r="I3055">
        <v>6.0564785232506694E-8</v>
      </c>
      <c r="J3055">
        <v>1.4139824580805163</v>
      </c>
      <c r="O3055" t="s">
        <v>2192</v>
      </c>
      <c r="Q3055" t="s">
        <v>4610</v>
      </c>
    </row>
    <row r="3056" spans="2:17">
      <c r="B3056" t="s">
        <v>4611</v>
      </c>
      <c r="C3056" t="s">
        <v>658</v>
      </c>
      <c r="D3056">
        <v>1.2580007895259899E-11</v>
      </c>
      <c r="E3056" t="s">
        <v>94</v>
      </c>
      <c r="H3056" t="s">
        <v>588</v>
      </c>
      <c r="I3056">
        <v>1.2580007895259899E-11</v>
      </c>
      <c r="J3056">
        <v>1.2214027581601699</v>
      </c>
      <c r="O3056" t="s">
        <v>4612</v>
      </c>
      <c r="Q3056" t="s">
        <v>4613</v>
      </c>
    </row>
    <row r="3057" spans="2:17">
      <c r="B3057" t="s">
        <v>4614</v>
      </c>
      <c r="C3057" t="s">
        <v>658</v>
      </c>
      <c r="D3057">
        <v>3.6846945479820001E-9</v>
      </c>
      <c r="E3057" t="s">
        <v>94</v>
      </c>
      <c r="H3057" t="s">
        <v>588</v>
      </c>
      <c r="I3057">
        <v>3.6846945479820001E-9</v>
      </c>
      <c r="J3057">
        <v>1.760654165524179</v>
      </c>
      <c r="O3057" t="s">
        <v>1857</v>
      </c>
      <c r="Q3057" t="s">
        <v>4615</v>
      </c>
    </row>
    <row r="3058" spans="2:17">
      <c r="B3058" t="s">
        <v>4614</v>
      </c>
      <c r="C3058" t="s">
        <v>887</v>
      </c>
      <c r="D3058">
        <v>4.1553128602365601E-10</v>
      </c>
      <c r="E3058" t="s">
        <v>94</v>
      </c>
      <c r="H3058" t="s">
        <v>588</v>
      </c>
      <c r="I3058">
        <v>4.1553128602365601E-10</v>
      </c>
      <c r="J3058">
        <v>1.4341253160944203</v>
      </c>
      <c r="O3058" t="s">
        <v>855</v>
      </c>
    </row>
    <row r="3059" spans="2:17">
      <c r="B3059" t="s">
        <v>826</v>
      </c>
      <c r="C3059" t="s">
        <v>658</v>
      </c>
      <c r="D3059">
        <v>1.3155283095475E-9</v>
      </c>
      <c r="E3059" t="s">
        <v>94</v>
      </c>
      <c r="H3059" t="s">
        <v>588</v>
      </c>
      <c r="I3059">
        <v>1.3155283095475E-9</v>
      </c>
      <c r="J3059">
        <v>1.2505791921887124</v>
      </c>
      <c r="O3059" t="s">
        <v>3162</v>
      </c>
      <c r="Q3059" t="s">
        <v>4616</v>
      </c>
    </row>
    <row r="3060" spans="2:17">
      <c r="B3060" t="s">
        <v>826</v>
      </c>
      <c r="C3060" t="s">
        <v>654</v>
      </c>
      <c r="D3060">
        <v>6.6178735623207397E-12</v>
      </c>
      <c r="E3060" t="s">
        <v>94</v>
      </c>
      <c r="H3060" t="s">
        <v>588</v>
      </c>
      <c r="I3060">
        <v>6.6178735623207397E-12</v>
      </c>
      <c r="J3060">
        <v>1.0247973619913604</v>
      </c>
      <c r="O3060" t="s">
        <v>2536</v>
      </c>
      <c r="Q3060" t="s">
        <v>4617</v>
      </c>
    </row>
    <row r="3061" spans="2:17">
      <c r="B3061" t="s">
        <v>826</v>
      </c>
      <c r="C3061" t="s">
        <v>887</v>
      </c>
      <c r="D3061">
        <v>1.07357509132678E-7</v>
      </c>
      <c r="E3061" t="s">
        <v>94</v>
      </c>
      <c r="Q3061" t="s">
        <v>1776</v>
      </c>
    </row>
    <row r="3062" spans="2:17">
      <c r="B3062" t="s">
        <v>4618</v>
      </c>
      <c r="C3062" t="s">
        <v>654</v>
      </c>
      <c r="D3062">
        <v>2.9681995965782098E-9</v>
      </c>
      <c r="E3062" t="s">
        <v>94</v>
      </c>
      <c r="H3062" t="s">
        <v>588</v>
      </c>
      <c r="I3062">
        <v>2.9681995965782098E-9</v>
      </c>
      <c r="J3062">
        <v>1.7293101253499219</v>
      </c>
      <c r="O3062" t="s">
        <v>2069</v>
      </c>
      <c r="Q3062" t="s">
        <v>4483</v>
      </c>
    </row>
    <row r="3063" spans="2:17">
      <c r="B3063" t="s">
        <v>4618</v>
      </c>
      <c r="C3063" t="s">
        <v>887</v>
      </c>
      <c r="D3063">
        <v>5.6316374214607601E-10</v>
      </c>
      <c r="E3063" t="s">
        <v>94</v>
      </c>
      <c r="Q3063" t="s">
        <v>1776</v>
      </c>
    </row>
    <row r="3064" spans="2:17">
      <c r="B3064" t="s">
        <v>4619</v>
      </c>
      <c r="C3064" t="s">
        <v>887</v>
      </c>
      <c r="D3064">
        <v>7.0381704852316699E-7</v>
      </c>
      <c r="E3064" t="s">
        <v>94</v>
      </c>
      <c r="H3064" t="s">
        <v>588</v>
      </c>
      <c r="I3064">
        <v>7.0381704852316699E-7</v>
      </c>
      <c r="J3064">
        <v>1</v>
      </c>
      <c r="O3064" t="s">
        <v>1082</v>
      </c>
    </row>
    <row r="3065" spans="2:17">
      <c r="B3065" t="s">
        <v>4619</v>
      </c>
      <c r="C3065" t="s">
        <v>658</v>
      </c>
      <c r="D3065">
        <v>1.3155283095475E-11</v>
      </c>
      <c r="E3065" t="s">
        <v>94</v>
      </c>
      <c r="H3065" t="s">
        <v>588</v>
      </c>
      <c r="I3065">
        <v>1.3155283095475E-11</v>
      </c>
      <c r="J3065">
        <v>1.2505791921887124</v>
      </c>
      <c r="O3065" t="s">
        <v>3162</v>
      </c>
      <c r="Q3065" t="s">
        <v>4616</v>
      </c>
    </row>
    <row r="3066" spans="2:17">
      <c r="B3066" t="s">
        <v>755</v>
      </c>
      <c r="C3066" t="s">
        <v>4455</v>
      </c>
      <c r="D3066">
        <v>1.00786509071066E-9</v>
      </c>
      <c r="E3066" t="s">
        <v>94</v>
      </c>
      <c r="H3066" t="s">
        <v>588</v>
      </c>
      <c r="I3066">
        <v>1.00786509071066E-9</v>
      </c>
      <c r="J3066">
        <v>1.0247973619913604</v>
      </c>
      <c r="O3066" t="s">
        <v>2485</v>
      </c>
      <c r="Q3066" t="s">
        <v>4620</v>
      </c>
    </row>
    <row r="3067" spans="2:17">
      <c r="B3067" t="s">
        <v>755</v>
      </c>
      <c r="C3067" t="s">
        <v>887</v>
      </c>
      <c r="D3067">
        <v>1.6796922794918301E-3</v>
      </c>
      <c r="E3067" t="s">
        <v>94</v>
      </c>
      <c r="H3067" t="s">
        <v>588</v>
      </c>
      <c r="I3067">
        <v>1.6796922794918301E-3</v>
      </c>
      <c r="J3067">
        <v>1.3752314347495442</v>
      </c>
      <c r="O3067" t="s">
        <v>1157</v>
      </c>
      <c r="Q3067" t="s">
        <v>4425</v>
      </c>
    </row>
    <row r="3068" spans="2:17">
      <c r="B3068" t="s">
        <v>755</v>
      </c>
      <c r="C3068" t="s">
        <v>654</v>
      </c>
      <c r="D3068">
        <v>8.6841276269774308E-6</v>
      </c>
      <c r="E3068" t="s">
        <v>94</v>
      </c>
      <c r="H3068" t="s">
        <v>588</v>
      </c>
      <c r="I3068">
        <v>8.6841276269774308E-6</v>
      </c>
      <c r="J3068">
        <v>1.2214027581601699</v>
      </c>
      <c r="O3068" t="s">
        <v>641</v>
      </c>
      <c r="Q3068" t="s">
        <v>1643</v>
      </c>
    </row>
    <row r="3069" spans="2:17">
      <c r="B3069" t="s">
        <v>755</v>
      </c>
      <c r="C3069" t="s">
        <v>658</v>
      </c>
      <c r="D3069">
        <v>7.5344645047546602E-5</v>
      </c>
      <c r="E3069" t="s">
        <v>94</v>
      </c>
      <c r="H3069" t="s">
        <v>588</v>
      </c>
      <c r="I3069">
        <v>7.5344645047546602E-5</v>
      </c>
      <c r="J3069">
        <v>1.2214027581601699</v>
      </c>
      <c r="O3069" t="s">
        <v>1678</v>
      </c>
      <c r="Q3069" t="s">
        <v>1679</v>
      </c>
    </row>
    <row r="3070" spans="2:17">
      <c r="B3070" t="s">
        <v>4621</v>
      </c>
      <c r="C3070" t="s">
        <v>654</v>
      </c>
      <c r="D3070">
        <v>3.48274388456472E-7</v>
      </c>
      <c r="E3070" t="s">
        <v>94</v>
      </c>
      <c r="H3070" t="s">
        <v>588</v>
      </c>
      <c r="I3070">
        <v>3.48274388456472E-7</v>
      </c>
      <c r="J3070">
        <v>1.5639483159353722</v>
      </c>
      <c r="O3070" t="s">
        <v>1798</v>
      </c>
      <c r="Q3070" t="s">
        <v>4428</v>
      </c>
    </row>
    <row r="3071" spans="2:17">
      <c r="B3071" t="s">
        <v>4621</v>
      </c>
      <c r="C3071" t="s">
        <v>887</v>
      </c>
      <c r="D3071">
        <v>1.75079459975752E-5</v>
      </c>
      <c r="E3071" t="s">
        <v>94</v>
      </c>
      <c r="H3071" t="s">
        <v>588</v>
      </c>
      <c r="I3071">
        <v>1.75079459975752E-5</v>
      </c>
      <c r="J3071">
        <v>1.3752314347495442</v>
      </c>
      <c r="O3071" t="s">
        <v>1157</v>
      </c>
      <c r="Q3071" t="s">
        <v>4425</v>
      </c>
    </row>
    <row r="3072" spans="2:17">
      <c r="B3072" t="s">
        <v>4621</v>
      </c>
      <c r="C3072" t="s">
        <v>658</v>
      </c>
      <c r="D3072">
        <v>2.73532959389776E-6</v>
      </c>
      <c r="E3072" t="s">
        <v>94</v>
      </c>
      <c r="H3072" t="s">
        <v>588</v>
      </c>
      <c r="I3072">
        <v>2.73532959389776E-6</v>
      </c>
      <c r="J3072">
        <v>1.2214027581601699</v>
      </c>
      <c r="O3072" t="s">
        <v>1678</v>
      </c>
      <c r="Q3072" t="s">
        <v>1679</v>
      </c>
    </row>
    <row r="3073" spans="2:17">
      <c r="B3073" t="s">
        <v>4622</v>
      </c>
      <c r="C3073" t="s">
        <v>887</v>
      </c>
      <c r="D3073">
        <v>1.3221983118392001E-10</v>
      </c>
      <c r="E3073" t="s">
        <v>94</v>
      </c>
      <c r="H3073" t="s">
        <v>588</v>
      </c>
      <c r="I3073">
        <v>1.3221983118392001E-10</v>
      </c>
      <c r="J3073">
        <v>1.3932825070863788</v>
      </c>
      <c r="O3073" t="s">
        <v>4520</v>
      </c>
      <c r="Q3073" t="s">
        <v>4623</v>
      </c>
    </row>
    <row r="3074" spans="2:17">
      <c r="B3074" t="s">
        <v>827</v>
      </c>
      <c r="C3074" t="s">
        <v>712</v>
      </c>
      <c r="D3074">
        <v>7.4713533925649604E-10</v>
      </c>
      <c r="E3074" t="s">
        <v>94</v>
      </c>
      <c r="H3074" t="s">
        <v>588</v>
      </c>
      <c r="I3074">
        <v>7.4713533925649604E-10</v>
      </c>
      <c r="J3074">
        <v>1.7450381821146503</v>
      </c>
      <c r="O3074" t="s">
        <v>952</v>
      </c>
      <c r="Q3074" t="s">
        <v>4624</v>
      </c>
    </row>
    <row r="3075" spans="2:17">
      <c r="B3075" t="s">
        <v>827</v>
      </c>
      <c r="C3075" t="s">
        <v>887</v>
      </c>
      <c r="D3075">
        <v>1.46437329735545E-5</v>
      </c>
      <c r="E3075" t="s">
        <v>94</v>
      </c>
      <c r="H3075" t="s">
        <v>588</v>
      </c>
      <c r="I3075">
        <v>1.46437329735545E-5</v>
      </c>
      <c r="J3075">
        <v>1.2214027581601699</v>
      </c>
      <c r="O3075" t="s">
        <v>952</v>
      </c>
      <c r="Q3075" t="s">
        <v>2110</v>
      </c>
    </row>
    <row r="3076" spans="2:17">
      <c r="B3076" t="s">
        <v>827</v>
      </c>
      <c r="C3076" t="s">
        <v>658</v>
      </c>
      <c r="D3076">
        <v>6.7199451660554004E-7</v>
      </c>
      <c r="E3076" t="s">
        <v>94</v>
      </c>
      <c r="H3076" t="s">
        <v>588</v>
      </c>
      <c r="I3076">
        <v>6.7199451660554004E-7</v>
      </c>
      <c r="J3076">
        <v>1.9265750720549795</v>
      </c>
      <c r="O3076" t="s">
        <v>1628</v>
      </c>
      <c r="Q3076" t="s">
        <v>4625</v>
      </c>
    </row>
    <row r="3077" spans="2:17">
      <c r="B3077" t="s">
        <v>827</v>
      </c>
      <c r="C3077" t="s">
        <v>661</v>
      </c>
      <c r="D3077">
        <v>8.66867719840634E-9</v>
      </c>
      <c r="E3077" t="s">
        <v>94</v>
      </c>
      <c r="H3077" t="s">
        <v>588</v>
      </c>
      <c r="I3077">
        <v>8.66867719840634E-9</v>
      </c>
      <c r="J3077">
        <v>1.7293101253499219</v>
      </c>
      <c r="O3077" t="s">
        <v>1678</v>
      </c>
      <c r="Q3077" t="s">
        <v>1679</v>
      </c>
    </row>
    <row r="3078" spans="2:17">
      <c r="B3078" t="s">
        <v>827</v>
      </c>
      <c r="C3078" t="s">
        <v>654</v>
      </c>
      <c r="D3078">
        <v>2.7093850321387501E-7</v>
      </c>
      <c r="E3078" t="s">
        <v>94</v>
      </c>
      <c r="H3078" t="s">
        <v>588</v>
      </c>
      <c r="I3078">
        <v>2.7093850321387501E-7</v>
      </c>
      <c r="J3078">
        <v>1.2214027581601699</v>
      </c>
      <c r="O3078" t="s">
        <v>641</v>
      </c>
      <c r="Q3078" t="s">
        <v>1643</v>
      </c>
    </row>
    <row r="3079" spans="2:17">
      <c r="B3079" t="s">
        <v>827</v>
      </c>
      <c r="C3079" t="s">
        <v>883</v>
      </c>
      <c r="D3079">
        <v>6.55795628584438E-8</v>
      </c>
      <c r="E3079" t="s">
        <v>94</v>
      </c>
      <c r="H3079" t="s">
        <v>588</v>
      </c>
      <c r="I3079">
        <v>6.55795628584438E-8</v>
      </c>
      <c r="J3079">
        <v>1.7450381821146503</v>
      </c>
      <c r="O3079" t="s">
        <v>2307</v>
      </c>
      <c r="Q3079" t="s">
        <v>2308</v>
      </c>
    </row>
    <row r="3080" spans="2:17">
      <c r="B3080" t="s">
        <v>4626</v>
      </c>
      <c r="C3080" t="s">
        <v>654</v>
      </c>
      <c r="D3080">
        <v>3.2450127964353297E-8</v>
      </c>
      <c r="E3080" t="s">
        <v>94</v>
      </c>
      <c r="H3080" t="s">
        <v>588</v>
      </c>
      <c r="I3080">
        <v>3.2450127964353297E-8</v>
      </c>
      <c r="J3080">
        <v>1.4139824580805163</v>
      </c>
      <c r="O3080" t="s">
        <v>2192</v>
      </c>
      <c r="Q3080" t="s">
        <v>4486</v>
      </c>
    </row>
    <row r="3081" spans="2:17">
      <c r="B3081" t="s">
        <v>4627</v>
      </c>
      <c r="C3081" t="s">
        <v>658</v>
      </c>
      <c r="D3081">
        <v>1.66333899170956E-9</v>
      </c>
      <c r="E3081" t="s">
        <v>94</v>
      </c>
      <c r="H3081" t="s">
        <v>588</v>
      </c>
      <c r="I3081">
        <v>1.66333899170956E-9</v>
      </c>
      <c r="J3081">
        <v>1.2214027581601699</v>
      </c>
      <c r="O3081" t="s">
        <v>1678</v>
      </c>
      <c r="Q3081" t="s">
        <v>1679</v>
      </c>
    </row>
    <row r="3082" spans="2:17">
      <c r="B3082" t="s">
        <v>4627</v>
      </c>
      <c r="C3082" t="s">
        <v>887</v>
      </c>
      <c r="D3082">
        <v>1.02122204920944E-7</v>
      </c>
      <c r="E3082" t="s">
        <v>94</v>
      </c>
      <c r="H3082" t="s">
        <v>588</v>
      </c>
      <c r="I3082">
        <v>1.02122204920944E-7</v>
      </c>
      <c r="J3082">
        <v>1.4139824580805163</v>
      </c>
      <c r="O3082" t="s">
        <v>1054</v>
      </c>
      <c r="Q3082" t="s">
        <v>2018</v>
      </c>
    </row>
    <row r="3083" spans="2:17">
      <c r="B3083" t="s">
        <v>4628</v>
      </c>
      <c r="C3083" t="s">
        <v>654</v>
      </c>
      <c r="D3083">
        <v>2.5250366850371699E-10</v>
      </c>
      <c r="E3083" t="s">
        <v>94</v>
      </c>
      <c r="H3083" t="s">
        <v>588</v>
      </c>
      <c r="I3083">
        <v>2.5250366850371699E-10</v>
      </c>
      <c r="J3083">
        <v>1.4139824580805163</v>
      </c>
      <c r="O3083" t="s">
        <v>2192</v>
      </c>
      <c r="Q3083" t="s">
        <v>4486</v>
      </c>
    </row>
    <row r="3084" spans="2:17">
      <c r="B3084" t="s">
        <v>756</v>
      </c>
      <c r="C3084" t="s">
        <v>887</v>
      </c>
      <c r="D3084">
        <v>2.2856104696818901E-7</v>
      </c>
      <c r="E3084" t="s">
        <v>94</v>
      </c>
      <c r="H3084" t="s">
        <v>588</v>
      </c>
      <c r="I3084">
        <v>2.2856104696818901E-7</v>
      </c>
      <c r="J3084">
        <v>3.3999634557729146</v>
      </c>
      <c r="O3084" t="s">
        <v>1157</v>
      </c>
      <c r="Q3084" t="s">
        <v>4380</v>
      </c>
    </row>
    <row r="3085" spans="2:17">
      <c r="B3085" t="s">
        <v>756</v>
      </c>
      <c r="C3085" t="s">
        <v>661</v>
      </c>
      <c r="D3085">
        <v>2.17859997599096E-8</v>
      </c>
      <c r="E3085" t="s">
        <v>94</v>
      </c>
      <c r="H3085" t="s">
        <v>588</v>
      </c>
      <c r="I3085">
        <v>2.17859997599096E-8</v>
      </c>
      <c r="J3085">
        <v>2.6420508531727966</v>
      </c>
      <c r="O3085" t="s">
        <v>1157</v>
      </c>
      <c r="Q3085" t="s">
        <v>4420</v>
      </c>
    </row>
    <row r="3086" spans="2:17">
      <c r="B3086" t="s">
        <v>756</v>
      </c>
      <c r="C3086" t="s">
        <v>658</v>
      </c>
      <c r="D3086">
        <v>1.4686068783245501E-11</v>
      </c>
      <c r="E3086" t="s">
        <v>94</v>
      </c>
      <c r="H3086" t="s">
        <v>588</v>
      </c>
      <c r="I3086">
        <v>1.4686068783245501E-11</v>
      </c>
      <c r="J3086">
        <v>2.2394398661220611</v>
      </c>
      <c r="O3086" t="s">
        <v>1678</v>
      </c>
      <c r="Q3086" t="s">
        <v>1679</v>
      </c>
    </row>
    <row r="3087" spans="2:17">
      <c r="B3087" t="s">
        <v>756</v>
      </c>
      <c r="C3087" t="s">
        <v>654</v>
      </c>
      <c r="D3087">
        <v>2.6215077313583E-10</v>
      </c>
      <c r="E3087" t="s">
        <v>94</v>
      </c>
      <c r="H3087" t="s">
        <v>588</v>
      </c>
      <c r="I3087">
        <v>2.6215077313583E-10</v>
      </c>
      <c r="J3087">
        <v>2.2394398661220611</v>
      </c>
      <c r="O3087" t="s">
        <v>641</v>
      </c>
      <c r="Q3087" t="s">
        <v>1672</v>
      </c>
    </row>
    <row r="3088" spans="2:17">
      <c r="B3088" t="s">
        <v>4629</v>
      </c>
      <c r="C3088" t="s">
        <v>661</v>
      </c>
      <c r="D3088">
        <v>4.17304134373971E-7</v>
      </c>
      <c r="E3088" t="s">
        <v>890</v>
      </c>
      <c r="H3088" t="s">
        <v>588</v>
      </c>
      <c r="I3088">
        <v>4.17304134373971E-7</v>
      </c>
      <c r="J3088">
        <v>1.7293101253499219</v>
      </c>
      <c r="O3088" t="s">
        <v>1649</v>
      </c>
      <c r="Q3088" t="s">
        <v>4395</v>
      </c>
    </row>
    <row r="3089" spans="2:17">
      <c r="B3089" t="s">
        <v>1548</v>
      </c>
      <c r="C3089" t="s">
        <v>787</v>
      </c>
      <c r="D3089">
        <v>2.6309907542509301E-7</v>
      </c>
      <c r="E3089" t="s">
        <v>94</v>
      </c>
      <c r="H3089" t="s">
        <v>588</v>
      </c>
      <c r="I3089">
        <v>2.6309907542509301E-7</v>
      </c>
      <c r="J3089">
        <v>1.0247973619913604</v>
      </c>
      <c r="N3089" t="s">
        <v>4630</v>
      </c>
      <c r="O3089" t="s">
        <v>1779</v>
      </c>
      <c r="Q3089" t="s">
        <v>1780</v>
      </c>
    </row>
    <row r="3090" spans="2:17">
      <c r="B3090" t="s">
        <v>1548</v>
      </c>
      <c r="C3090" t="s">
        <v>787</v>
      </c>
      <c r="D3090">
        <v>3.3051928880424098E-6</v>
      </c>
      <c r="E3090" t="s">
        <v>94</v>
      </c>
      <c r="H3090" t="s">
        <v>588</v>
      </c>
      <c r="I3090">
        <v>3.3051928880424098E-6</v>
      </c>
      <c r="J3090">
        <v>1.0247973619913604</v>
      </c>
      <c r="N3090" t="s">
        <v>4630</v>
      </c>
      <c r="O3090" t="s">
        <v>1779</v>
      </c>
      <c r="Q3090" t="s">
        <v>1780</v>
      </c>
    </row>
    <row r="3091" spans="2:17">
      <c r="B3091" t="s">
        <v>1548</v>
      </c>
      <c r="C3091" t="s">
        <v>787</v>
      </c>
      <c r="D3091">
        <v>1.87143337199248E-5</v>
      </c>
      <c r="E3091" t="s">
        <v>94</v>
      </c>
      <c r="H3091" t="s">
        <v>588</v>
      </c>
      <c r="I3091">
        <v>1.87143337199248E-5</v>
      </c>
      <c r="J3091">
        <v>1.0247973619913604</v>
      </c>
      <c r="N3091" t="s">
        <v>4630</v>
      </c>
      <c r="O3091" t="s">
        <v>641</v>
      </c>
      <c r="Q3091" t="s">
        <v>1643</v>
      </c>
    </row>
    <row r="3092" spans="2:17">
      <c r="B3092" t="s">
        <v>1548</v>
      </c>
      <c r="C3092" t="s">
        <v>787</v>
      </c>
      <c r="D3092">
        <v>7.99877339856796E-6</v>
      </c>
      <c r="E3092" t="s">
        <v>94</v>
      </c>
      <c r="H3092" t="s">
        <v>588</v>
      </c>
      <c r="I3092">
        <v>7.99877339856796E-6</v>
      </c>
      <c r="J3092">
        <v>1.0247973619913604</v>
      </c>
      <c r="N3092" t="s">
        <v>4630</v>
      </c>
      <c r="O3092" t="s">
        <v>1779</v>
      </c>
      <c r="Q3092" t="s">
        <v>1780</v>
      </c>
    </row>
    <row r="3093" spans="2:17">
      <c r="B3093" t="s">
        <v>1548</v>
      </c>
      <c r="C3093" t="s">
        <v>787</v>
      </c>
      <c r="D3093">
        <v>7.5732464522467501E-6</v>
      </c>
      <c r="E3093" t="s">
        <v>94</v>
      </c>
      <c r="H3093" t="s">
        <v>588</v>
      </c>
      <c r="I3093">
        <v>7.5732464522467501E-6</v>
      </c>
      <c r="J3093">
        <v>1.0247973619913604</v>
      </c>
      <c r="N3093" t="s">
        <v>4630</v>
      </c>
      <c r="O3093" t="s">
        <v>1779</v>
      </c>
      <c r="Q3093" t="s">
        <v>1780</v>
      </c>
    </row>
    <row r="3094" spans="2:17">
      <c r="B3094" t="s">
        <v>1548</v>
      </c>
      <c r="C3094" t="s">
        <v>787</v>
      </c>
      <c r="D3094">
        <v>2.68976101612283E-6</v>
      </c>
      <c r="E3094" t="s">
        <v>94</v>
      </c>
      <c r="H3094" t="s">
        <v>588</v>
      </c>
      <c r="I3094">
        <v>2.68976101612283E-6</v>
      </c>
      <c r="J3094">
        <v>1.0247973619913604</v>
      </c>
      <c r="N3094" t="s">
        <v>4630</v>
      </c>
      <c r="O3094" t="s">
        <v>1779</v>
      </c>
      <c r="Q3094" t="s">
        <v>1780</v>
      </c>
    </row>
    <row r="3095" spans="2:17">
      <c r="B3095" t="s">
        <v>1548</v>
      </c>
      <c r="C3095" t="s">
        <v>787</v>
      </c>
      <c r="D3095">
        <v>1.3713606493260901E-5</v>
      </c>
      <c r="E3095" t="s">
        <v>94</v>
      </c>
      <c r="H3095" t="s">
        <v>588</v>
      </c>
      <c r="I3095">
        <v>1.3713606493260901E-5</v>
      </c>
      <c r="J3095">
        <v>1.0247973619913604</v>
      </c>
      <c r="N3095" t="s">
        <v>4630</v>
      </c>
      <c r="O3095" t="s">
        <v>1779</v>
      </c>
      <c r="Q3095" t="s">
        <v>1780</v>
      </c>
    </row>
    <row r="3096" spans="2:17">
      <c r="B3096" t="s">
        <v>1548</v>
      </c>
      <c r="C3096" t="s">
        <v>787</v>
      </c>
      <c r="D3096">
        <v>4.4664302081653298E-2</v>
      </c>
      <c r="E3096" t="s">
        <v>94</v>
      </c>
      <c r="H3096" t="s">
        <v>588</v>
      </c>
      <c r="I3096">
        <v>4.4664302081653298E-2</v>
      </c>
      <c r="J3096">
        <v>1.0247973619913604</v>
      </c>
      <c r="N3096" t="s">
        <v>4630</v>
      </c>
      <c r="O3096" t="s">
        <v>641</v>
      </c>
      <c r="Q3096" t="s">
        <v>1643</v>
      </c>
    </row>
    <row r="3097" spans="2:17">
      <c r="B3097" t="s">
        <v>1548</v>
      </c>
      <c r="C3097" t="s">
        <v>787</v>
      </c>
      <c r="D3097">
        <v>1.5361868307820701E-4</v>
      </c>
      <c r="E3097" t="s">
        <v>94</v>
      </c>
      <c r="H3097" t="s">
        <v>588</v>
      </c>
      <c r="I3097">
        <v>1.5361868307820701E-4</v>
      </c>
      <c r="J3097">
        <v>1</v>
      </c>
      <c r="N3097" t="s">
        <v>4631</v>
      </c>
      <c r="O3097" t="s">
        <v>1157</v>
      </c>
      <c r="Q3097" t="s">
        <v>4632</v>
      </c>
    </row>
    <row r="3098" spans="2:17">
      <c r="B3098" t="s">
        <v>1548</v>
      </c>
      <c r="C3098" t="s">
        <v>787</v>
      </c>
      <c r="D3098">
        <v>3.0568604103578701E-5</v>
      </c>
      <c r="E3098" t="s">
        <v>94</v>
      </c>
      <c r="H3098" t="s">
        <v>588</v>
      </c>
      <c r="I3098">
        <v>3.0568604103578701E-5</v>
      </c>
      <c r="J3098">
        <v>1.0247973619913604</v>
      </c>
      <c r="N3098" t="s">
        <v>1549</v>
      </c>
      <c r="O3098" t="s">
        <v>641</v>
      </c>
      <c r="Q3098" t="s">
        <v>1643</v>
      </c>
    </row>
    <row r="3099" spans="2:17">
      <c r="B3099" t="s">
        <v>1548</v>
      </c>
      <c r="C3099" t="s">
        <v>787</v>
      </c>
      <c r="D3099">
        <v>3.37475258870272E-6</v>
      </c>
      <c r="E3099" t="s">
        <v>94</v>
      </c>
      <c r="H3099" t="s">
        <v>588</v>
      </c>
      <c r="I3099">
        <v>3.37475258870272E-6</v>
      </c>
      <c r="J3099">
        <v>1.0247973619913604</v>
      </c>
      <c r="N3099" t="s">
        <v>4630</v>
      </c>
      <c r="O3099" t="s">
        <v>1779</v>
      </c>
      <c r="Q3099" t="s">
        <v>1780</v>
      </c>
    </row>
    <row r="3100" spans="2:17">
      <c r="B3100" t="s">
        <v>1548</v>
      </c>
      <c r="C3100" t="s">
        <v>787</v>
      </c>
      <c r="D3100">
        <v>2.4411102009726899E-5</v>
      </c>
      <c r="E3100" t="s">
        <v>94</v>
      </c>
      <c r="H3100" t="s">
        <v>588</v>
      </c>
      <c r="I3100">
        <v>2.4411102009726899E-5</v>
      </c>
      <c r="J3100">
        <v>1.0247973619913604</v>
      </c>
      <c r="N3100" t="s">
        <v>4630</v>
      </c>
      <c r="O3100" t="s">
        <v>1779</v>
      </c>
      <c r="Q3100" t="s">
        <v>1780</v>
      </c>
    </row>
    <row r="3101" spans="2:17">
      <c r="B3101" t="s">
        <v>1548</v>
      </c>
      <c r="C3101" t="s">
        <v>787</v>
      </c>
      <c r="D3101">
        <v>7.9602663262244399E-7</v>
      </c>
      <c r="E3101" t="s">
        <v>94</v>
      </c>
      <c r="H3101" t="s">
        <v>588</v>
      </c>
      <c r="I3101">
        <v>7.9602663262244399E-7</v>
      </c>
      <c r="J3101">
        <v>1.0247973619913604</v>
      </c>
      <c r="N3101" t="s">
        <v>4630</v>
      </c>
      <c r="O3101" t="s">
        <v>1779</v>
      </c>
      <c r="Q3101" t="s">
        <v>1780</v>
      </c>
    </row>
    <row r="3102" spans="2:17">
      <c r="B3102" t="s">
        <v>1548</v>
      </c>
      <c r="C3102" t="s">
        <v>787</v>
      </c>
      <c r="D3102">
        <v>2.28052062877243E-10</v>
      </c>
      <c r="E3102" t="s">
        <v>94</v>
      </c>
      <c r="H3102" t="s">
        <v>588</v>
      </c>
      <c r="I3102">
        <v>2.28052062877243E-10</v>
      </c>
      <c r="J3102">
        <v>1.0247973619913604</v>
      </c>
      <c r="N3102" t="s">
        <v>1549</v>
      </c>
      <c r="O3102" t="s">
        <v>1157</v>
      </c>
      <c r="Q3102" t="s">
        <v>1550</v>
      </c>
    </row>
    <row r="3103" spans="2:17">
      <c r="B3103" t="s">
        <v>1548</v>
      </c>
      <c r="C3103" t="s">
        <v>787</v>
      </c>
      <c r="D3103">
        <v>1.5167548478844401E-6</v>
      </c>
      <c r="E3103" t="s">
        <v>94</v>
      </c>
      <c r="H3103" t="s">
        <v>588</v>
      </c>
      <c r="I3103">
        <v>1.5167548478844401E-6</v>
      </c>
      <c r="J3103">
        <v>1.0247973619913604</v>
      </c>
      <c r="N3103" t="s">
        <v>4630</v>
      </c>
      <c r="O3103" t="s">
        <v>1779</v>
      </c>
      <c r="Q3103" t="s">
        <v>1780</v>
      </c>
    </row>
    <row r="3104" spans="2:17">
      <c r="B3104" t="s">
        <v>1548</v>
      </c>
      <c r="C3104" t="s">
        <v>787</v>
      </c>
      <c r="D3104">
        <v>7.25571649402016E-6</v>
      </c>
      <c r="E3104" t="s">
        <v>94</v>
      </c>
      <c r="H3104" t="s">
        <v>588</v>
      </c>
      <c r="I3104">
        <v>7.25571649402016E-6</v>
      </c>
      <c r="J3104">
        <v>1.0247973619913604</v>
      </c>
      <c r="N3104" t="s">
        <v>4630</v>
      </c>
      <c r="O3104" t="s">
        <v>1779</v>
      </c>
      <c r="Q3104" t="s">
        <v>1780</v>
      </c>
    </row>
    <row r="3105" spans="2:17">
      <c r="B3105" t="s">
        <v>1548</v>
      </c>
      <c r="C3105" t="s">
        <v>787</v>
      </c>
      <c r="D3105">
        <v>9.3006127655387604E-6</v>
      </c>
      <c r="E3105" t="s">
        <v>94</v>
      </c>
      <c r="H3105" t="s">
        <v>588</v>
      </c>
      <c r="I3105">
        <v>9.3006127655387604E-6</v>
      </c>
      <c r="J3105">
        <v>1.0247973619913604</v>
      </c>
      <c r="N3105" t="s">
        <v>4630</v>
      </c>
      <c r="O3105" t="s">
        <v>1779</v>
      </c>
      <c r="Q3105" t="s">
        <v>1780</v>
      </c>
    </row>
    <row r="3106" spans="2:17">
      <c r="B3106" t="s">
        <v>1548</v>
      </c>
      <c r="C3106" t="s">
        <v>787</v>
      </c>
      <c r="D3106">
        <v>1.14884284526204E-4</v>
      </c>
      <c r="E3106" t="s">
        <v>94</v>
      </c>
      <c r="H3106" t="s">
        <v>588</v>
      </c>
      <c r="I3106">
        <v>1.14884284526204E-4</v>
      </c>
      <c r="J3106">
        <v>1.0247973619913604</v>
      </c>
      <c r="N3106" t="s">
        <v>4633</v>
      </c>
      <c r="O3106" t="s">
        <v>641</v>
      </c>
      <c r="Q3106" t="s">
        <v>1643</v>
      </c>
    </row>
    <row r="3107" spans="2:17">
      <c r="B3107" t="s">
        <v>1548</v>
      </c>
      <c r="C3107" t="s">
        <v>787</v>
      </c>
      <c r="D3107">
        <v>6.7475111215272299E-6</v>
      </c>
      <c r="E3107" t="s">
        <v>94</v>
      </c>
      <c r="H3107" t="s">
        <v>588</v>
      </c>
      <c r="I3107">
        <v>6.7475111215272299E-6</v>
      </c>
      <c r="J3107">
        <v>1.0247973619913604</v>
      </c>
      <c r="N3107" t="s">
        <v>4630</v>
      </c>
      <c r="O3107" t="s">
        <v>1779</v>
      </c>
      <c r="Q3107" t="s">
        <v>1780</v>
      </c>
    </row>
    <row r="3108" spans="2:17">
      <c r="B3108" t="s">
        <v>1548</v>
      </c>
      <c r="C3108" t="s">
        <v>787</v>
      </c>
      <c r="D3108">
        <v>5.35366677046374E-6</v>
      </c>
      <c r="E3108" t="s">
        <v>94</v>
      </c>
      <c r="H3108" t="s">
        <v>588</v>
      </c>
      <c r="I3108">
        <v>5.35366677046374E-6</v>
      </c>
      <c r="J3108">
        <v>1.0247973619913604</v>
      </c>
      <c r="N3108" t="s">
        <v>4630</v>
      </c>
      <c r="O3108" t="s">
        <v>1779</v>
      </c>
      <c r="Q3108" t="s">
        <v>1780</v>
      </c>
    </row>
    <row r="3109" spans="2:17">
      <c r="B3109" t="s">
        <v>1548</v>
      </c>
      <c r="C3109" t="s">
        <v>787</v>
      </c>
      <c r="D3109">
        <v>5.5024408673529097E-6</v>
      </c>
      <c r="E3109" t="s">
        <v>94</v>
      </c>
      <c r="H3109" t="s">
        <v>588</v>
      </c>
      <c r="I3109">
        <v>5.5024408673529097E-6</v>
      </c>
      <c r="J3109">
        <v>1.0247973619913604</v>
      </c>
      <c r="N3109" t="s">
        <v>4630</v>
      </c>
      <c r="O3109" t="s">
        <v>1779</v>
      </c>
      <c r="Q3109" t="s">
        <v>1780</v>
      </c>
    </row>
    <row r="3110" spans="2:17">
      <c r="B3110" t="s">
        <v>1548</v>
      </c>
      <c r="C3110" t="s">
        <v>787</v>
      </c>
      <c r="D3110">
        <v>5.8563950776776198E-6</v>
      </c>
      <c r="E3110" t="s">
        <v>94</v>
      </c>
      <c r="H3110" t="s">
        <v>588</v>
      </c>
      <c r="I3110">
        <v>5.8563950776776198E-6</v>
      </c>
      <c r="J3110">
        <v>1.0247973619913604</v>
      </c>
      <c r="N3110" t="s">
        <v>4630</v>
      </c>
      <c r="O3110" t="s">
        <v>1779</v>
      </c>
      <c r="Q3110" t="s">
        <v>1780</v>
      </c>
    </row>
    <row r="3111" spans="2:17">
      <c r="B3111" t="s">
        <v>1548</v>
      </c>
      <c r="C3111" t="s">
        <v>787</v>
      </c>
      <c r="D3111">
        <v>1.8503600735598099E-5</v>
      </c>
      <c r="E3111" t="s">
        <v>94</v>
      </c>
      <c r="H3111" t="s">
        <v>588</v>
      </c>
      <c r="I3111">
        <v>1.8503600735598099E-5</v>
      </c>
      <c r="J3111">
        <v>1.0247973619913604</v>
      </c>
      <c r="N3111" t="s">
        <v>4630</v>
      </c>
      <c r="O3111" t="s">
        <v>1779</v>
      </c>
      <c r="Q3111" t="s">
        <v>1780</v>
      </c>
    </row>
    <row r="3112" spans="2:17">
      <c r="B3112" t="s">
        <v>1548</v>
      </c>
      <c r="C3112" t="s">
        <v>787</v>
      </c>
      <c r="D3112">
        <v>3.6564553315417601E-6</v>
      </c>
      <c r="E3112" t="s">
        <v>94</v>
      </c>
      <c r="H3112" t="s">
        <v>588</v>
      </c>
      <c r="I3112">
        <v>3.6564553315417601E-6</v>
      </c>
      <c r="J3112">
        <v>1.0247973619913604</v>
      </c>
      <c r="N3112" t="s">
        <v>4630</v>
      </c>
      <c r="O3112" t="s">
        <v>1779</v>
      </c>
      <c r="Q3112" t="s">
        <v>1780</v>
      </c>
    </row>
    <row r="3113" spans="2:17">
      <c r="B3113" t="s">
        <v>1548</v>
      </c>
      <c r="C3113" t="s">
        <v>787</v>
      </c>
      <c r="D3113">
        <v>1.8435625436552499E-5</v>
      </c>
      <c r="E3113" t="s">
        <v>94</v>
      </c>
      <c r="H3113" t="s">
        <v>588</v>
      </c>
      <c r="I3113">
        <v>1.8435625436552499E-5</v>
      </c>
      <c r="J3113">
        <v>1.0247973619913604</v>
      </c>
      <c r="N3113" t="s">
        <v>4630</v>
      </c>
      <c r="O3113" t="s">
        <v>1779</v>
      </c>
      <c r="Q3113" t="s">
        <v>1780</v>
      </c>
    </row>
    <row r="3114" spans="2:17">
      <c r="B3114" t="s">
        <v>1548</v>
      </c>
      <c r="C3114" t="s">
        <v>787</v>
      </c>
      <c r="D3114">
        <v>1.24995489839808E-5</v>
      </c>
      <c r="E3114" t="s">
        <v>94</v>
      </c>
      <c r="H3114" t="s">
        <v>588</v>
      </c>
      <c r="I3114">
        <v>1.24995489839808E-5</v>
      </c>
      <c r="J3114">
        <v>1.0247973619913604</v>
      </c>
      <c r="N3114" t="s">
        <v>4630</v>
      </c>
      <c r="O3114" t="s">
        <v>1779</v>
      </c>
      <c r="Q3114" t="s">
        <v>1780</v>
      </c>
    </row>
    <row r="3115" spans="2:17">
      <c r="B3115" t="s">
        <v>1548</v>
      </c>
      <c r="C3115" t="s">
        <v>787</v>
      </c>
      <c r="D3115">
        <v>4.9761141593548605E-4</v>
      </c>
      <c r="E3115" t="s">
        <v>94</v>
      </c>
      <c r="H3115" t="s">
        <v>588</v>
      </c>
      <c r="I3115">
        <v>4.9761141593548605E-4</v>
      </c>
      <c r="J3115">
        <v>1.0247973619913604</v>
      </c>
      <c r="N3115" t="s">
        <v>4631</v>
      </c>
      <c r="O3115" t="s">
        <v>4388</v>
      </c>
      <c r="Q3115" t="s">
        <v>4634</v>
      </c>
    </row>
    <row r="3116" spans="2:17">
      <c r="B3116" t="s">
        <v>1548</v>
      </c>
      <c r="C3116" t="s">
        <v>787</v>
      </c>
      <c r="D3116">
        <v>9.9902830151425808E-6</v>
      </c>
      <c r="E3116" t="s">
        <v>94</v>
      </c>
      <c r="H3116" t="s">
        <v>588</v>
      </c>
      <c r="I3116">
        <v>9.9902830151425808E-6</v>
      </c>
      <c r="J3116">
        <v>1.0247973619913604</v>
      </c>
      <c r="N3116" t="s">
        <v>4630</v>
      </c>
      <c r="O3116" t="s">
        <v>1779</v>
      </c>
      <c r="Q3116" t="s">
        <v>1780</v>
      </c>
    </row>
    <row r="3117" spans="2:17">
      <c r="B3117" t="s">
        <v>1548</v>
      </c>
      <c r="C3117" t="s">
        <v>787</v>
      </c>
      <c r="D3117">
        <v>6.6157917649212801E-6</v>
      </c>
      <c r="E3117" t="s">
        <v>94</v>
      </c>
      <c r="H3117" t="s">
        <v>588</v>
      </c>
      <c r="I3117">
        <v>6.6157917649212801E-6</v>
      </c>
      <c r="J3117">
        <v>1.0247973619913604</v>
      </c>
      <c r="N3117" t="s">
        <v>4630</v>
      </c>
      <c r="O3117" t="s">
        <v>1779</v>
      </c>
      <c r="Q3117" t="s">
        <v>1780</v>
      </c>
    </row>
    <row r="3118" spans="2:17">
      <c r="B3118" t="s">
        <v>1548</v>
      </c>
      <c r="C3118" t="s">
        <v>787</v>
      </c>
      <c r="D3118">
        <v>2.2062094526788602E-6</v>
      </c>
      <c r="E3118" t="s">
        <v>94</v>
      </c>
      <c r="H3118" t="s">
        <v>588</v>
      </c>
      <c r="I3118">
        <v>2.2062094526788602E-6</v>
      </c>
      <c r="J3118">
        <v>1.0247973619913604</v>
      </c>
      <c r="N3118" t="s">
        <v>4630</v>
      </c>
      <c r="O3118" t="s">
        <v>1779</v>
      </c>
      <c r="Q3118" t="s">
        <v>1780</v>
      </c>
    </row>
    <row r="3119" spans="2:17">
      <c r="B3119" t="s">
        <v>1548</v>
      </c>
      <c r="C3119" t="s">
        <v>787</v>
      </c>
      <c r="D3119">
        <v>1.4278939747583299E-7</v>
      </c>
      <c r="E3119" t="s">
        <v>94</v>
      </c>
      <c r="H3119" t="s">
        <v>588</v>
      </c>
      <c r="I3119">
        <v>1.4278939747583299E-7</v>
      </c>
      <c r="J3119">
        <v>1.0247973619913604</v>
      </c>
      <c r="N3119" t="s">
        <v>4630</v>
      </c>
      <c r="O3119" t="s">
        <v>1779</v>
      </c>
      <c r="Q3119" t="s">
        <v>1780</v>
      </c>
    </row>
    <row r="3120" spans="2:17">
      <c r="B3120" t="s">
        <v>1548</v>
      </c>
      <c r="C3120" t="s">
        <v>787</v>
      </c>
      <c r="D3120">
        <v>1.2010633353591E-5</v>
      </c>
      <c r="E3120" t="s">
        <v>94</v>
      </c>
      <c r="H3120" t="s">
        <v>588</v>
      </c>
      <c r="I3120">
        <v>1.2010633353591E-5</v>
      </c>
      <c r="J3120">
        <v>1.0247973619913604</v>
      </c>
      <c r="N3120" t="s">
        <v>4630</v>
      </c>
      <c r="O3120" t="s">
        <v>641</v>
      </c>
      <c r="Q3120" t="s">
        <v>1643</v>
      </c>
    </row>
    <row r="3121" spans="2:17">
      <c r="B3121" t="s">
        <v>1548</v>
      </c>
      <c r="C3121" t="s">
        <v>787</v>
      </c>
      <c r="D3121">
        <v>6.08160409778088E-6</v>
      </c>
      <c r="E3121" t="s">
        <v>94</v>
      </c>
      <c r="H3121" t="s">
        <v>588</v>
      </c>
      <c r="I3121">
        <v>6.08160409778088E-6</v>
      </c>
      <c r="J3121">
        <v>1.0247973619913604</v>
      </c>
      <c r="N3121" t="s">
        <v>4630</v>
      </c>
      <c r="O3121" t="s">
        <v>1779</v>
      </c>
      <c r="Q3121" t="s">
        <v>1780</v>
      </c>
    </row>
    <row r="3122" spans="2:17">
      <c r="B3122" t="s">
        <v>1548</v>
      </c>
      <c r="C3122" t="s">
        <v>787</v>
      </c>
      <c r="D3122">
        <v>5.9521870546484903E-6</v>
      </c>
      <c r="E3122" t="s">
        <v>94</v>
      </c>
      <c r="H3122" t="s">
        <v>588</v>
      </c>
      <c r="I3122">
        <v>5.9521870546484903E-6</v>
      </c>
      <c r="J3122">
        <v>1.0247973619913604</v>
      </c>
      <c r="N3122" t="s">
        <v>4630</v>
      </c>
      <c r="O3122" t="s">
        <v>1779</v>
      </c>
      <c r="Q3122" t="s">
        <v>1780</v>
      </c>
    </row>
    <row r="3123" spans="2:17">
      <c r="B3123" t="s">
        <v>1548</v>
      </c>
      <c r="C3123" t="s">
        <v>787</v>
      </c>
      <c r="D3123">
        <v>4.4088784323889398E-7</v>
      </c>
      <c r="E3123" t="s">
        <v>94</v>
      </c>
      <c r="H3123" t="s">
        <v>588</v>
      </c>
      <c r="I3123">
        <v>4.4088784323889398E-7</v>
      </c>
      <c r="J3123">
        <v>1.0247973619913604</v>
      </c>
      <c r="N3123" t="s">
        <v>4630</v>
      </c>
      <c r="O3123" t="s">
        <v>1779</v>
      </c>
      <c r="Q3123" t="s">
        <v>1780</v>
      </c>
    </row>
    <row r="3124" spans="2:17">
      <c r="B3124" t="s">
        <v>1548</v>
      </c>
      <c r="C3124" t="s">
        <v>787</v>
      </c>
      <c r="D3124">
        <v>5.0600910173094495E-7</v>
      </c>
      <c r="E3124" t="s">
        <v>94</v>
      </c>
      <c r="H3124" t="s">
        <v>588</v>
      </c>
      <c r="I3124">
        <v>5.0600910173094495E-7</v>
      </c>
      <c r="J3124">
        <v>1.0247973619913604</v>
      </c>
      <c r="N3124" t="s">
        <v>4630</v>
      </c>
      <c r="O3124" t="s">
        <v>1779</v>
      </c>
      <c r="Q3124" t="s">
        <v>1780</v>
      </c>
    </row>
    <row r="3125" spans="2:17">
      <c r="B3125" t="s">
        <v>1548</v>
      </c>
      <c r="C3125" t="s">
        <v>787</v>
      </c>
      <c r="D3125">
        <v>5.8105299873372201E-6</v>
      </c>
      <c r="E3125" t="s">
        <v>94</v>
      </c>
      <c r="H3125" t="s">
        <v>588</v>
      </c>
      <c r="I3125">
        <v>5.8105299873372201E-6</v>
      </c>
      <c r="J3125">
        <v>1.0247973619913604</v>
      </c>
      <c r="N3125" t="s">
        <v>4630</v>
      </c>
      <c r="O3125" t="s">
        <v>1779</v>
      </c>
      <c r="Q3125" t="s">
        <v>1780</v>
      </c>
    </row>
    <row r="3126" spans="2:17">
      <c r="B3126" t="s">
        <v>1548</v>
      </c>
      <c r="C3126" t="s">
        <v>787</v>
      </c>
      <c r="D3126">
        <v>5.0107789415880197E-6</v>
      </c>
      <c r="E3126" t="s">
        <v>94</v>
      </c>
      <c r="H3126" t="s">
        <v>588</v>
      </c>
      <c r="I3126">
        <v>5.0107789415880197E-6</v>
      </c>
      <c r="J3126">
        <v>1.0247973619913604</v>
      </c>
      <c r="N3126" t="s">
        <v>4630</v>
      </c>
      <c r="O3126" t="s">
        <v>1779</v>
      </c>
      <c r="Q3126" t="s">
        <v>1780</v>
      </c>
    </row>
    <row r="3127" spans="2:17">
      <c r="B3127" t="s">
        <v>1548</v>
      </c>
      <c r="C3127" t="s">
        <v>787</v>
      </c>
      <c r="D3127">
        <v>7.8677656289607392E-6</v>
      </c>
      <c r="E3127" t="s">
        <v>94</v>
      </c>
      <c r="H3127" t="s">
        <v>588</v>
      </c>
      <c r="I3127">
        <v>7.8677656289607392E-6</v>
      </c>
      <c r="J3127">
        <v>1.0247973619913604</v>
      </c>
      <c r="N3127" t="s">
        <v>4630</v>
      </c>
      <c r="O3127" t="s">
        <v>1779</v>
      </c>
      <c r="Q3127" t="s">
        <v>1780</v>
      </c>
    </row>
    <row r="3128" spans="2:17">
      <c r="B3128" t="s">
        <v>1548</v>
      </c>
      <c r="C3128" t="s">
        <v>787</v>
      </c>
      <c r="D3128">
        <v>2.3844925858109301E-7</v>
      </c>
      <c r="E3128" t="s">
        <v>94</v>
      </c>
      <c r="H3128" t="s">
        <v>588</v>
      </c>
      <c r="I3128">
        <v>2.3844925858109301E-7</v>
      </c>
      <c r="J3128">
        <v>1.0247973619913604</v>
      </c>
      <c r="N3128" t="s">
        <v>4630</v>
      </c>
      <c r="O3128" t="s">
        <v>1779</v>
      </c>
      <c r="Q3128" t="s">
        <v>1780</v>
      </c>
    </row>
    <row r="3129" spans="2:17">
      <c r="B3129" t="s">
        <v>1548</v>
      </c>
      <c r="C3129" t="s">
        <v>787</v>
      </c>
      <c r="D3129">
        <v>1.6896338349083401E-4</v>
      </c>
      <c r="E3129" t="s">
        <v>94</v>
      </c>
      <c r="H3129" t="s">
        <v>588</v>
      </c>
      <c r="I3129">
        <v>1.6896338349083401E-4</v>
      </c>
      <c r="J3129">
        <v>1.0247973619913604</v>
      </c>
      <c r="N3129" t="s">
        <v>4630</v>
      </c>
      <c r="O3129" t="s">
        <v>641</v>
      </c>
      <c r="Q3129" t="s">
        <v>1643</v>
      </c>
    </row>
    <row r="3130" spans="2:17">
      <c r="B3130" t="s">
        <v>1548</v>
      </c>
      <c r="C3130" t="s">
        <v>787</v>
      </c>
      <c r="D3130">
        <v>4.5030368594091404E-3</v>
      </c>
      <c r="E3130" t="s">
        <v>94</v>
      </c>
      <c r="H3130" t="s">
        <v>588</v>
      </c>
      <c r="I3130">
        <v>4.5030368594091404E-3</v>
      </c>
      <c r="J3130">
        <v>1</v>
      </c>
      <c r="N3130" t="s">
        <v>4630</v>
      </c>
      <c r="O3130" t="s">
        <v>1157</v>
      </c>
      <c r="Q3130" t="s">
        <v>4632</v>
      </c>
    </row>
    <row r="3131" spans="2:17">
      <c r="B3131" t="s">
        <v>1548</v>
      </c>
      <c r="C3131" t="s">
        <v>787</v>
      </c>
      <c r="D3131">
        <v>4.1461847792269101E-6</v>
      </c>
      <c r="E3131" t="s">
        <v>94</v>
      </c>
      <c r="H3131" t="s">
        <v>588</v>
      </c>
      <c r="I3131">
        <v>4.1461847792269101E-6</v>
      </c>
      <c r="J3131">
        <v>1.0247973619913604</v>
      </c>
      <c r="N3131" t="s">
        <v>4630</v>
      </c>
      <c r="O3131" t="s">
        <v>1779</v>
      </c>
      <c r="Q3131" t="s">
        <v>1780</v>
      </c>
    </row>
    <row r="3132" spans="2:17">
      <c r="B3132" t="s">
        <v>1548</v>
      </c>
      <c r="C3132" t="s">
        <v>787</v>
      </c>
      <c r="D3132">
        <v>6.4953021824488698E-6</v>
      </c>
      <c r="E3132" t="s">
        <v>94</v>
      </c>
      <c r="H3132" t="s">
        <v>588</v>
      </c>
      <c r="I3132">
        <v>6.4953021824488698E-6</v>
      </c>
      <c r="J3132">
        <v>1.0247973619913604</v>
      </c>
      <c r="N3132" t="s">
        <v>4630</v>
      </c>
      <c r="O3132" t="s">
        <v>1779</v>
      </c>
      <c r="Q3132" t="s">
        <v>1780</v>
      </c>
    </row>
    <row r="3133" spans="2:17">
      <c r="B3133" t="s">
        <v>1548</v>
      </c>
      <c r="C3133" t="s">
        <v>787</v>
      </c>
      <c r="D3133">
        <v>1.0374726985065E-4</v>
      </c>
      <c r="E3133" t="s">
        <v>94</v>
      </c>
      <c r="H3133" t="s">
        <v>588</v>
      </c>
      <c r="I3133">
        <v>1.0374726985065E-4</v>
      </c>
      <c r="J3133">
        <v>1.0247973619913604</v>
      </c>
      <c r="N3133" t="s">
        <v>4630</v>
      </c>
      <c r="O3133" t="s">
        <v>1779</v>
      </c>
      <c r="Q3133" t="s">
        <v>1780</v>
      </c>
    </row>
    <row r="3134" spans="2:17">
      <c r="B3134" t="s">
        <v>757</v>
      </c>
      <c r="C3134" t="s">
        <v>654</v>
      </c>
      <c r="D3134">
        <v>1.71603530714466E-8</v>
      </c>
      <c r="E3134" t="s">
        <v>94</v>
      </c>
      <c r="H3134" t="s">
        <v>588</v>
      </c>
      <c r="I3134">
        <v>1.71603530714466E-8</v>
      </c>
      <c r="J3134">
        <v>2.2394398661220611</v>
      </c>
      <c r="O3134" t="s">
        <v>641</v>
      </c>
      <c r="Q3134" t="s">
        <v>1643</v>
      </c>
    </row>
    <row r="3135" spans="2:17">
      <c r="B3135" t="s">
        <v>757</v>
      </c>
      <c r="C3135" t="s">
        <v>658</v>
      </c>
      <c r="D3135">
        <v>1.0187462483260699E-10</v>
      </c>
      <c r="E3135" t="s">
        <v>94</v>
      </c>
      <c r="H3135" t="s">
        <v>588</v>
      </c>
      <c r="I3135">
        <v>1.0187462483260699E-10</v>
      </c>
      <c r="J3135">
        <v>2.2394398661220611</v>
      </c>
      <c r="O3135" t="s">
        <v>1678</v>
      </c>
      <c r="Q3135" t="s">
        <v>1679</v>
      </c>
    </row>
    <row r="3136" spans="2:17">
      <c r="B3136" t="s">
        <v>757</v>
      </c>
      <c r="C3136" t="s">
        <v>4389</v>
      </c>
      <c r="D3136">
        <v>2.1002135858203899E-11</v>
      </c>
      <c r="E3136" t="s">
        <v>94</v>
      </c>
      <c r="H3136" t="s">
        <v>588</v>
      </c>
      <c r="I3136">
        <v>2.1002135858203899E-11</v>
      </c>
      <c r="J3136">
        <v>1.2214027581601699</v>
      </c>
      <c r="O3136" t="s">
        <v>641</v>
      </c>
      <c r="Q3136" t="s">
        <v>1643</v>
      </c>
    </row>
    <row r="3137" spans="2:17">
      <c r="B3137" t="s">
        <v>757</v>
      </c>
      <c r="C3137" t="s">
        <v>887</v>
      </c>
      <c r="D3137">
        <v>8.3706777123461601E-6</v>
      </c>
      <c r="E3137" t="s">
        <v>94</v>
      </c>
      <c r="H3137" t="s">
        <v>588</v>
      </c>
      <c r="I3137">
        <v>8.3706777123461601E-6</v>
      </c>
      <c r="J3137">
        <v>2.8100405560193171</v>
      </c>
      <c r="O3137" t="s">
        <v>1157</v>
      </c>
      <c r="Q3137" t="s">
        <v>4380</v>
      </c>
    </row>
    <row r="3138" spans="2:17">
      <c r="B3138" t="s">
        <v>757</v>
      </c>
      <c r="C3138" t="s">
        <v>4413</v>
      </c>
      <c r="D3138">
        <v>1.6815077135705001E-7</v>
      </c>
      <c r="E3138" t="s">
        <v>94</v>
      </c>
      <c r="Q3138" t="s">
        <v>4635</v>
      </c>
    </row>
    <row r="3139" spans="2:17">
      <c r="B3139" t="s">
        <v>4636</v>
      </c>
      <c r="C3139" t="s">
        <v>744</v>
      </c>
      <c r="D3139">
        <v>7.3806581133736501E-7</v>
      </c>
      <c r="E3139" t="s">
        <v>94</v>
      </c>
      <c r="H3139" t="s">
        <v>588</v>
      </c>
      <c r="I3139">
        <v>7.3806581133736501E-7</v>
      </c>
      <c r="J3139">
        <v>1.0247973619913604</v>
      </c>
      <c r="N3139" t="s">
        <v>4637</v>
      </c>
      <c r="O3139" t="s">
        <v>2902</v>
      </c>
      <c r="Q3139" t="s">
        <v>4638</v>
      </c>
    </row>
    <row r="3140" spans="2:17">
      <c r="B3140" t="s">
        <v>758</v>
      </c>
      <c r="C3140" t="s">
        <v>881</v>
      </c>
      <c r="D3140">
        <v>1.2203570956409599E-7</v>
      </c>
      <c r="E3140" t="s">
        <v>94</v>
      </c>
      <c r="H3140" t="s">
        <v>588</v>
      </c>
      <c r="I3140">
        <v>1.2203570956409599E-7</v>
      </c>
      <c r="J3140">
        <v>1.804199999999498</v>
      </c>
      <c r="O3140" t="s">
        <v>2024</v>
      </c>
      <c r="Q3140" t="s">
        <v>4451</v>
      </c>
    </row>
    <row r="3141" spans="2:17">
      <c r="B3141" t="s">
        <v>758</v>
      </c>
      <c r="C3141" t="s">
        <v>712</v>
      </c>
      <c r="D3141">
        <v>7.6067727341798399E-7</v>
      </c>
      <c r="E3141" t="s">
        <v>94</v>
      </c>
      <c r="H3141" t="s">
        <v>588</v>
      </c>
      <c r="I3141">
        <v>7.6067727341798399E-7</v>
      </c>
      <c r="J3141">
        <v>3.7542016604156752</v>
      </c>
      <c r="O3141" t="s">
        <v>798</v>
      </c>
      <c r="Q3141" t="s">
        <v>2961</v>
      </c>
    </row>
    <row r="3142" spans="2:17">
      <c r="B3142" t="s">
        <v>758</v>
      </c>
      <c r="C3142" t="s">
        <v>661</v>
      </c>
      <c r="D3142">
        <v>6.1181772400488604E-7</v>
      </c>
      <c r="E3142" t="s">
        <v>94</v>
      </c>
      <c r="H3142" t="s">
        <v>588</v>
      </c>
      <c r="I3142">
        <v>6.1181772400488604E-7</v>
      </c>
      <c r="J3142">
        <v>2.2533180987712971</v>
      </c>
      <c r="O3142" t="s">
        <v>1675</v>
      </c>
      <c r="Q3142" t="s">
        <v>4490</v>
      </c>
    </row>
    <row r="3143" spans="2:17">
      <c r="B3143" t="s">
        <v>758</v>
      </c>
      <c r="C3143" t="s">
        <v>883</v>
      </c>
      <c r="D3143">
        <v>3.9166176760765201E-10</v>
      </c>
      <c r="E3143" t="s">
        <v>94</v>
      </c>
      <c r="H3143" t="s">
        <v>588</v>
      </c>
      <c r="I3143">
        <v>3.9166176760765201E-10</v>
      </c>
      <c r="J3143">
        <v>2.2394398661220611</v>
      </c>
      <c r="O3143" t="s">
        <v>641</v>
      </c>
      <c r="Q3143" t="s">
        <v>1643</v>
      </c>
    </row>
    <row r="3144" spans="2:17">
      <c r="B3144" t="s">
        <v>4639</v>
      </c>
      <c r="C3144" t="s">
        <v>661</v>
      </c>
      <c r="D3144">
        <v>2.7634010697237101E-6</v>
      </c>
      <c r="E3144" t="s">
        <v>890</v>
      </c>
      <c r="H3144" t="s">
        <v>588</v>
      </c>
      <c r="I3144">
        <v>2.7634010697237101E-6</v>
      </c>
      <c r="J3144">
        <v>1.7293101253499219</v>
      </c>
      <c r="O3144" t="s">
        <v>851</v>
      </c>
      <c r="Q3144" t="s">
        <v>4395</v>
      </c>
    </row>
    <row r="3145" spans="2:17">
      <c r="B3145" t="s">
        <v>4639</v>
      </c>
      <c r="C3145" t="s">
        <v>658</v>
      </c>
      <c r="D3145">
        <v>6.3153606527855096E-3</v>
      </c>
      <c r="E3145" t="s">
        <v>890</v>
      </c>
      <c r="H3145" t="s">
        <v>588</v>
      </c>
      <c r="I3145">
        <v>6.3153606527855096E-3</v>
      </c>
      <c r="J3145">
        <v>1.0247973619913604</v>
      </c>
      <c r="O3145" t="s">
        <v>1779</v>
      </c>
      <c r="Q3145" t="s">
        <v>1780</v>
      </c>
    </row>
    <row r="3146" spans="2:17">
      <c r="B3146" t="s">
        <v>759</v>
      </c>
      <c r="C3146" t="s">
        <v>881</v>
      </c>
      <c r="D3146">
        <v>2.9804374307812798E-3</v>
      </c>
      <c r="E3146" t="s">
        <v>94</v>
      </c>
      <c r="H3146" t="s">
        <v>588</v>
      </c>
      <c r="I3146">
        <v>2.9804374307812798E-3</v>
      </c>
      <c r="J3146">
        <v>1.5050999999999632</v>
      </c>
      <c r="O3146" t="s">
        <v>2024</v>
      </c>
    </row>
    <row r="3147" spans="2:17">
      <c r="B3147" t="s">
        <v>759</v>
      </c>
      <c r="C3147" t="s">
        <v>712</v>
      </c>
      <c r="D3147">
        <v>4.8991443188549803E-8</v>
      </c>
      <c r="E3147" t="s">
        <v>94</v>
      </c>
      <c r="H3147" t="s">
        <v>588</v>
      </c>
      <c r="I3147">
        <v>4.8991443188549803E-8</v>
      </c>
      <c r="J3147">
        <v>1.0247973619913604</v>
      </c>
      <c r="O3147" t="s">
        <v>2422</v>
      </c>
    </row>
    <row r="3148" spans="2:17">
      <c r="B3148" t="s">
        <v>759</v>
      </c>
      <c r="C3148" t="s">
        <v>883</v>
      </c>
      <c r="D3148">
        <v>5.4056722523719101E-10</v>
      </c>
      <c r="E3148" t="s">
        <v>94</v>
      </c>
      <c r="H3148" t="s">
        <v>588</v>
      </c>
      <c r="I3148">
        <v>5.4056722523719101E-10</v>
      </c>
      <c r="J3148">
        <v>1.2214027581601699</v>
      </c>
      <c r="O3148" t="s">
        <v>641</v>
      </c>
      <c r="Q3148" t="s">
        <v>1672</v>
      </c>
    </row>
    <row r="3149" spans="2:17">
      <c r="B3149" t="s">
        <v>759</v>
      </c>
      <c r="C3149" t="s">
        <v>661</v>
      </c>
      <c r="D3149">
        <v>1.3418483730406501E-4</v>
      </c>
      <c r="E3149" t="s">
        <v>94</v>
      </c>
      <c r="H3149" t="s">
        <v>588</v>
      </c>
      <c r="I3149">
        <v>1.3418483730406501E-4</v>
      </c>
      <c r="J3149">
        <v>1.2214027581601699</v>
      </c>
      <c r="O3149" t="s">
        <v>641</v>
      </c>
      <c r="Q3149" t="s">
        <v>1643</v>
      </c>
    </row>
    <row r="3150" spans="2:17">
      <c r="B3150" t="s">
        <v>4640</v>
      </c>
      <c r="C3150" t="s">
        <v>4389</v>
      </c>
      <c r="D3150">
        <v>1.0711066275508E-10</v>
      </c>
      <c r="E3150" t="s">
        <v>94</v>
      </c>
      <c r="H3150" t="s">
        <v>588</v>
      </c>
      <c r="I3150">
        <v>1.0711066275508E-10</v>
      </c>
      <c r="J3150">
        <v>1.2214027581601699</v>
      </c>
      <c r="O3150" t="s">
        <v>641</v>
      </c>
      <c r="Q3150" t="s">
        <v>1643</v>
      </c>
    </row>
    <row r="3151" spans="2:17">
      <c r="B3151" t="s">
        <v>760</v>
      </c>
      <c r="C3151" t="s">
        <v>661</v>
      </c>
      <c r="D3151">
        <v>7.0106220737587003E-9</v>
      </c>
      <c r="E3151" t="s">
        <v>94</v>
      </c>
      <c r="H3151" t="s">
        <v>588</v>
      </c>
      <c r="I3151">
        <v>7.0106220737587003E-9</v>
      </c>
      <c r="J3151">
        <v>1.2505791921887124</v>
      </c>
      <c r="O3151" t="s">
        <v>921</v>
      </c>
      <c r="Q3151" t="s">
        <v>4641</v>
      </c>
    </row>
    <row r="3152" spans="2:17">
      <c r="B3152" t="s">
        <v>260</v>
      </c>
      <c r="C3152" t="s">
        <v>654</v>
      </c>
      <c r="D3152">
        <v>8.3618091238878199E-5</v>
      </c>
      <c r="E3152" t="s">
        <v>94</v>
      </c>
      <c r="H3152" t="s">
        <v>588</v>
      </c>
      <c r="I3152">
        <v>8.3618091238878199E-5</v>
      </c>
      <c r="J3152">
        <v>1</v>
      </c>
      <c r="O3152" t="s">
        <v>1157</v>
      </c>
      <c r="Q3152" t="s">
        <v>4518</v>
      </c>
    </row>
    <row r="3153" spans="2:17">
      <c r="B3153" t="s">
        <v>260</v>
      </c>
      <c r="C3153" t="s">
        <v>661</v>
      </c>
      <c r="D3153">
        <v>2.0140112651601401E-4</v>
      </c>
      <c r="E3153" t="s">
        <v>94</v>
      </c>
      <c r="H3153" t="s">
        <v>588</v>
      </c>
      <c r="I3153">
        <v>2.0140112651601401E-4</v>
      </c>
      <c r="J3153">
        <v>1.2214027581601699</v>
      </c>
      <c r="O3153" t="s">
        <v>641</v>
      </c>
      <c r="Q3153" t="s">
        <v>1643</v>
      </c>
    </row>
    <row r="3154" spans="2:17">
      <c r="B3154" t="s">
        <v>260</v>
      </c>
      <c r="C3154" t="s">
        <v>4389</v>
      </c>
      <c r="D3154">
        <v>4.0720535030835404E-9</v>
      </c>
      <c r="E3154" t="s">
        <v>94</v>
      </c>
      <c r="H3154" t="s">
        <v>588</v>
      </c>
      <c r="I3154">
        <v>4.0720535030835404E-9</v>
      </c>
      <c r="J3154">
        <v>1.2214027581601699</v>
      </c>
      <c r="O3154" t="s">
        <v>641</v>
      </c>
      <c r="Q3154" t="s">
        <v>1643</v>
      </c>
    </row>
    <row r="3155" spans="2:17">
      <c r="B3155" t="s">
        <v>260</v>
      </c>
      <c r="C3155" t="s">
        <v>883</v>
      </c>
      <c r="D3155">
        <v>1.3867907846484501E-8</v>
      </c>
      <c r="E3155" t="s">
        <v>94</v>
      </c>
      <c r="H3155" t="s">
        <v>588</v>
      </c>
      <c r="I3155">
        <v>1.3867907846484501E-8</v>
      </c>
      <c r="J3155">
        <v>1.2214027581601699</v>
      </c>
      <c r="O3155" t="s">
        <v>641</v>
      </c>
      <c r="Q3155" t="s">
        <v>1672</v>
      </c>
    </row>
    <row r="3156" spans="2:17">
      <c r="B3156" t="s">
        <v>260</v>
      </c>
      <c r="C3156" t="s">
        <v>712</v>
      </c>
      <c r="D3156">
        <v>2.8228371840330599E-5</v>
      </c>
      <c r="E3156" t="s">
        <v>94</v>
      </c>
      <c r="H3156" t="s">
        <v>1733</v>
      </c>
      <c r="I3156">
        <v>2.8228371840330599E-5</v>
      </c>
      <c r="K3156">
        <v>2.8228371840330599E-5</v>
      </c>
      <c r="L3156">
        <v>2.8228371840330599E-5</v>
      </c>
      <c r="O3156" t="s">
        <v>1657</v>
      </c>
      <c r="Q3156" t="s">
        <v>4642</v>
      </c>
    </row>
    <row r="3157" spans="2:17">
      <c r="B3157" t="s">
        <v>260</v>
      </c>
      <c r="C3157" t="s">
        <v>881</v>
      </c>
      <c r="D3157">
        <v>4.3779822972458004E-6</v>
      </c>
      <c r="E3157" t="s">
        <v>94</v>
      </c>
      <c r="H3157" t="s">
        <v>588</v>
      </c>
      <c r="I3157">
        <v>4.3779822972458004E-6</v>
      </c>
      <c r="J3157">
        <v>1.0247973619913604</v>
      </c>
      <c r="O3157" t="s">
        <v>2422</v>
      </c>
    </row>
    <row r="3158" spans="2:17">
      <c r="B3158" t="s">
        <v>4643</v>
      </c>
      <c r="C3158" t="s">
        <v>661</v>
      </c>
      <c r="D3158">
        <v>3.0594581308975103E-11</v>
      </c>
      <c r="E3158" t="s">
        <v>94</v>
      </c>
      <c r="H3158" t="s">
        <v>588</v>
      </c>
      <c r="I3158">
        <v>3.0594581308975103E-11</v>
      </c>
      <c r="J3158">
        <v>1.2214027581601699</v>
      </c>
      <c r="O3158" t="s">
        <v>641</v>
      </c>
      <c r="Q3158" t="s">
        <v>1672</v>
      </c>
    </row>
    <row r="3159" spans="2:17">
      <c r="B3159" t="s">
        <v>761</v>
      </c>
      <c r="C3159" t="s">
        <v>4455</v>
      </c>
      <c r="D3159">
        <v>9.4049250879260003E-7</v>
      </c>
      <c r="E3159" t="s">
        <v>94</v>
      </c>
      <c r="H3159" t="s">
        <v>588</v>
      </c>
      <c r="I3159">
        <v>9.4049250879260003E-7</v>
      </c>
      <c r="J3159">
        <v>1.2214027581601699</v>
      </c>
      <c r="O3159" t="s">
        <v>1752</v>
      </c>
      <c r="Q3159" t="s">
        <v>4644</v>
      </c>
    </row>
    <row r="3160" spans="2:17">
      <c r="B3160" t="s">
        <v>761</v>
      </c>
      <c r="C3160" t="s">
        <v>654</v>
      </c>
      <c r="D3160">
        <v>1.8495261046789401E-4</v>
      </c>
      <c r="E3160" t="s">
        <v>94</v>
      </c>
      <c r="H3160" t="s">
        <v>588</v>
      </c>
      <c r="I3160">
        <v>1.8495261046789401E-4</v>
      </c>
      <c r="J3160">
        <v>1.2214027581601699</v>
      </c>
      <c r="O3160" t="s">
        <v>641</v>
      </c>
      <c r="Q3160" t="s">
        <v>1643</v>
      </c>
    </row>
    <row r="3161" spans="2:17">
      <c r="B3161" t="s">
        <v>761</v>
      </c>
      <c r="C3161" t="s">
        <v>887</v>
      </c>
      <c r="D3161">
        <v>6.8854837059681897E-3</v>
      </c>
      <c r="E3161" t="s">
        <v>94</v>
      </c>
      <c r="H3161" t="s">
        <v>588</v>
      </c>
      <c r="I3161">
        <v>6.8854837059681897E-3</v>
      </c>
      <c r="J3161">
        <v>2.3379677046900045</v>
      </c>
      <c r="O3161" t="s">
        <v>1157</v>
      </c>
      <c r="Q3161" t="s">
        <v>4645</v>
      </c>
    </row>
    <row r="3162" spans="2:17">
      <c r="B3162" t="s">
        <v>761</v>
      </c>
      <c r="C3162" t="s">
        <v>658</v>
      </c>
      <c r="D3162">
        <v>1.49982684334269E-4</v>
      </c>
      <c r="E3162" t="s">
        <v>94</v>
      </c>
      <c r="H3162" t="s">
        <v>588</v>
      </c>
      <c r="I3162">
        <v>1.49982684334269E-4</v>
      </c>
      <c r="J3162">
        <v>1.2214027581601699</v>
      </c>
      <c r="O3162" t="s">
        <v>1157</v>
      </c>
      <c r="Q3162" t="s">
        <v>1552</v>
      </c>
    </row>
    <row r="3163" spans="2:17">
      <c r="B3163" t="s">
        <v>4646</v>
      </c>
      <c r="C3163" t="s">
        <v>661</v>
      </c>
      <c r="D3163">
        <v>6.1958078840068506E-8</v>
      </c>
      <c r="E3163" t="s">
        <v>94</v>
      </c>
      <c r="H3163" t="s">
        <v>588</v>
      </c>
      <c r="I3163">
        <v>6.1958078840068506E-8</v>
      </c>
      <c r="J3163">
        <v>1.2214027581601699</v>
      </c>
      <c r="O3163" t="s">
        <v>641</v>
      </c>
      <c r="Q3163" t="s">
        <v>1643</v>
      </c>
    </row>
    <row r="3164" spans="2:17">
      <c r="B3164" t="s">
        <v>4646</v>
      </c>
      <c r="C3164" t="s">
        <v>712</v>
      </c>
      <c r="D3164">
        <v>7.8092786267207304E-8</v>
      </c>
      <c r="E3164" t="s">
        <v>94</v>
      </c>
      <c r="H3164" t="s">
        <v>588</v>
      </c>
      <c r="I3164">
        <v>7.8092786267207304E-8</v>
      </c>
      <c r="J3164">
        <v>1.2214027581601699</v>
      </c>
      <c r="O3164" t="s">
        <v>2192</v>
      </c>
      <c r="Q3164" t="s">
        <v>4486</v>
      </c>
    </row>
    <row r="3165" spans="2:17">
      <c r="B3165" t="s">
        <v>762</v>
      </c>
      <c r="C3165" t="s">
        <v>887</v>
      </c>
      <c r="D3165">
        <v>3.61416029734836E-4</v>
      </c>
      <c r="E3165" t="s">
        <v>94</v>
      </c>
      <c r="H3165" t="s">
        <v>588</v>
      </c>
      <c r="I3165">
        <v>3.61416029734836E-4</v>
      </c>
      <c r="J3165">
        <v>1.3752314347495442</v>
      </c>
      <c r="O3165" t="s">
        <v>1157</v>
      </c>
      <c r="Q3165" t="s">
        <v>4425</v>
      </c>
    </row>
    <row r="3166" spans="2:17">
      <c r="B3166" t="s">
        <v>762</v>
      </c>
      <c r="C3166" t="s">
        <v>654</v>
      </c>
      <c r="D3166">
        <v>1.4008994720112299E-4</v>
      </c>
      <c r="E3166" t="s">
        <v>94</v>
      </c>
      <c r="H3166" t="s">
        <v>588</v>
      </c>
      <c r="I3166">
        <v>1.4008994720112299E-4</v>
      </c>
      <c r="J3166">
        <v>1.2214027581601699</v>
      </c>
      <c r="O3166" t="s">
        <v>641</v>
      </c>
      <c r="Q3166" t="s">
        <v>1643</v>
      </c>
    </row>
    <row r="3167" spans="2:17">
      <c r="B3167" t="s">
        <v>762</v>
      </c>
      <c r="C3167" t="s">
        <v>658</v>
      </c>
      <c r="D3167">
        <v>6.6269375827803E-5</v>
      </c>
      <c r="E3167" t="s">
        <v>94</v>
      </c>
      <c r="H3167" t="s">
        <v>588</v>
      </c>
      <c r="I3167">
        <v>6.6269375827803E-5</v>
      </c>
      <c r="J3167">
        <v>1.2214027581601699</v>
      </c>
      <c r="O3167" t="s">
        <v>1678</v>
      </c>
      <c r="Q3167" t="s">
        <v>1679</v>
      </c>
    </row>
    <row r="3168" spans="2:17">
      <c r="B3168" t="s">
        <v>4647</v>
      </c>
      <c r="C3168" t="s">
        <v>658</v>
      </c>
      <c r="D3168">
        <v>0.19245782807520401</v>
      </c>
      <c r="E3168" t="s">
        <v>890</v>
      </c>
      <c r="H3168" t="s">
        <v>588</v>
      </c>
      <c r="I3168">
        <v>0.19245782807520401</v>
      </c>
      <c r="J3168">
        <v>1.7293101253499219</v>
      </c>
      <c r="O3168" t="s">
        <v>851</v>
      </c>
      <c r="Q3168" t="s">
        <v>4395</v>
      </c>
    </row>
    <row r="3169" spans="2:17">
      <c r="B3169" t="s">
        <v>4648</v>
      </c>
      <c r="C3169" t="s">
        <v>744</v>
      </c>
      <c r="D3169">
        <v>3.7638298867678298E-2</v>
      </c>
      <c r="E3169" t="s">
        <v>94</v>
      </c>
      <c r="H3169" t="s">
        <v>588</v>
      </c>
      <c r="I3169">
        <v>3.7638298867678298E-2</v>
      </c>
      <c r="J3169">
        <v>1.0247973619913604</v>
      </c>
      <c r="N3169" t="s">
        <v>4649</v>
      </c>
      <c r="O3169" t="s">
        <v>641</v>
      </c>
      <c r="Q3169" t="s">
        <v>1643</v>
      </c>
    </row>
    <row r="3170" spans="2:17">
      <c r="B3170" t="s">
        <v>4650</v>
      </c>
      <c r="C3170" t="s">
        <v>883</v>
      </c>
      <c r="D3170">
        <v>3.0181211597759099E-6</v>
      </c>
      <c r="E3170" t="s">
        <v>94</v>
      </c>
      <c r="H3170" t="s">
        <v>1733</v>
      </c>
      <c r="I3170">
        <v>3.0181211597759099E-6</v>
      </c>
      <c r="K3170">
        <v>3.0181211597759099E-6</v>
      </c>
      <c r="L3170">
        <v>3.0181211597759099E-6</v>
      </c>
      <c r="O3170" t="s">
        <v>2045</v>
      </c>
      <c r="Q3170" t="s">
        <v>4642</v>
      </c>
    </row>
    <row r="3171" spans="2:17">
      <c r="B3171" t="s">
        <v>4650</v>
      </c>
      <c r="C3171" t="s">
        <v>4389</v>
      </c>
      <c r="D3171">
        <v>1.2514278600892301E-6</v>
      </c>
      <c r="E3171" t="s">
        <v>94</v>
      </c>
      <c r="H3171" t="s">
        <v>588</v>
      </c>
      <c r="I3171">
        <v>1.2514278600892301E-6</v>
      </c>
      <c r="J3171">
        <v>1.2775561233185384</v>
      </c>
      <c r="O3171" t="s">
        <v>2420</v>
      </c>
      <c r="Q3171" t="s">
        <v>4651</v>
      </c>
    </row>
    <row r="3172" spans="2:17">
      <c r="B3172" t="s">
        <v>4650</v>
      </c>
      <c r="C3172" t="s">
        <v>661</v>
      </c>
      <c r="D3172">
        <v>1.21902364472994E-7</v>
      </c>
      <c r="E3172" t="s">
        <v>94</v>
      </c>
      <c r="Q3172" t="s">
        <v>4652</v>
      </c>
    </row>
    <row r="3173" spans="2:17">
      <c r="B3173" t="s">
        <v>980</v>
      </c>
      <c r="C3173" t="s">
        <v>4653</v>
      </c>
      <c r="D3173">
        <v>1.7533595119379201E-4</v>
      </c>
      <c r="E3173" t="s">
        <v>94</v>
      </c>
      <c r="H3173" t="s">
        <v>588</v>
      </c>
      <c r="I3173">
        <v>1.7533595119379201E-4</v>
      </c>
      <c r="J3173">
        <v>1.760654165524179</v>
      </c>
      <c r="O3173" t="s">
        <v>2267</v>
      </c>
      <c r="Q3173" t="s">
        <v>4654</v>
      </c>
    </row>
    <row r="3174" spans="2:17">
      <c r="B3174" t="s">
        <v>980</v>
      </c>
      <c r="C3174" t="s">
        <v>881</v>
      </c>
      <c r="D3174">
        <v>9.7098856811146798E-7</v>
      </c>
      <c r="E3174" t="s">
        <v>94</v>
      </c>
      <c r="H3174" t="s">
        <v>588</v>
      </c>
      <c r="I3174">
        <v>9.7098856811146798E-7</v>
      </c>
      <c r="J3174">
        <v>1.0247973619913604</v>
      </c>
      <c r="O3174" t="s">
        <v>2422</v>
      </c>
    </row>
    <row r="3175" spans="2:17">
      <c r="B3175" t="s">
        <v>980</v>
      </c>
      <c r="C3175" t="s">
        <v>883</v>
      </c>
      <c r="D3175">
        <v>4.5838452545472901E-6</v>
      </c>
      <c r="E3175" t="s">
        <v>94</v>
      </c>
      <c r="H3175" t="s">
        <v>588</v>
      </c>
      <c r="I3175">
        <v>4.5838452545472901E-6</v>
      </c>
      <c r="J3175">
        <v>1.7450381821146503</v>
      </c>
      <c r="O3175" t="s">
        <v>2307</v>
      </c>
      <c r="Q3175" t="s">
        <v>2308</v>
      </c>
    </row>
    <row r="3176" spans="2:17">
      <c r="B3176" t="s">
        <v>980</v>
      </c>
      <c r="C3176" t="s">
        <v>661</v>
      </c>
      <c r="D3176">
        <v>1.4583066713153001E-4</v>
      </c>
      <c r="E3176" t="s">
        <v>94</v>
      </c>
      <c r="H3176" t="s">
        <v>588</v>
      </c>
      <c r="I3176">
        <v>1.4583066713153001E-4</v>
      </c>
      <c r="J3176">
        <v>1</v>
      </c>
      <c r="O3176" t="s">
        <v>1157</v>
      </c>
      <c r="Q3176" t="s">
        <v>4655</v>
      </c>
    </row>
    <row r="3177" spans="2:17">
      <c r="B3177" t="s">
        <v>980</v>
      </c>
      <c r="C3177" t="s">
        <v>4401</v>
      </c>
      <c r="D3177">
        <v>4.2076665482065199E-6</v>
      </c>
      <c r="E3177" t="s">
        <v>94</v>
      </c>
      <c r="H3177" t="s">
        <v>588</v>
      </c>
      <c r="I3177">
        <v>4.2076665482065199E-6</v>
      </c>
      <c r="J3177">
        <v>1.0247973619913604</v>
      </c>
      <c r="O3177" t="s">
        <v>1695</v>
      </c>
      <c r="Q3177" t="s">
        <v>4656</v>
      </c>
    </row>
    <row r="3178" spans="2:17">
      <c r="B3178" t="s">
        <v>980</v>
      </c>
      <c r="C3178" t="s">
        <v>712</v>
      </c>
      <c r="D3178">
        <v>1.7291821337976099E-7</v>
      </c>
      <c r="E3178" t="s">
        <v>94</v>
      </c>
      <c r="H3178" t="s">
        <v>588</v>
      </c>
      <c r="I3178">
        <v>1.7291821337976099E-7</v>
      </c>
      <c r="J3178">
        <v>1.0247973619913604</v>
      </c>
      <c r="O3178" t="s">
        <v>2028</v>
      </c>
    </row>
    <row r="3179" spans="2:17">
      <c r="B3179" t="s">
        <v>980</v>
      </c>
      <c r="C3179" t="s">
        <v>4389</v>
      </c>
      <c r="D3179">
        <v>4.7660509183130202E-7</v>
      </c>
      <c r="E3179" t="s">
        <v>94</v>
      </c>
      <c r="H3179" t="s">
        <v>588</v>
      </c>
      <c r="I3179">
        <v>4.7660509183130202E-7</v>
      </c>
      <c r="J3179">
        <v>1</v>
      </c>
      <c r="O3179" t="s">
        <v>1082</v>
      </c>
      <c r="Q3179" t="s">
        <v>2961</v>
      </c>
    </row>
    <row r="3180" spans="2:17">
      <c r="B3180" t="s">
        <v>763</v>
      </c>
      <c r="C3180" t="s">
        <v>883</v>
      </c>
      <c r="D3180">
        <v>2.8481336289282101E-9</v>
      </c>
      <c r="E3180" t="s">
        <v>94</v>
      </c>
      <c r="H3180" t="s">
        <v>588</v>
      </c>
      <c r="I3180">
        <v>2.8481336289282101E-9</v>
      </c>
      <c r="J3180">
        <v>1.7293101253499219</v>
      </c>
      <c r="O3180" t="s">
        <v>2307</v>
      </c>
      <c r="Q3180" t="s">
        <v>4426</v>
      </c>
    </row>
    <row r="3181" spans="2:17">
      <c r="B3181" t="s">
        <v>763</v>
      </c>
      <c r="C3181" t="s">
        <v>654</v>
      </c>
      <c r="D3181">
        <v>2.2023770813073902E-9</v>
      </c>
      <c r="E3181" t="s">
        <v>94</v>
      </c>
      <c r="H3181" t="s">
        <v>588</v>
      </c>
      <c r="I3181">
        <v>2.2023770813073902E-9</v>
      </c>
      <c r="J3181">
        <v>1.7293101253499219</v>
      </c>
      <c r="O3181" t="s">
        <v>641</v>
      </c>
      <c r="Q3181" t="s">
        <v>1643</v>
      </c>
    </row>
    <row r="3182" spans="2:17">
      <c r="B3182" t="s">
        <v>763</v>
      </c>
      <c r="C3182" t="s">
        <v>658</v>
      </c>
      <c r="D3182">
        <v>5.7436528301745904E-10</v>
      </c>
      <c r="E3182" t="s">
        <v>94</v>
      </c>
      <c r="H3182" t="s">
        <v>588</v>
      </c>
      <c r="I3182">
        <v>5.7436528301745904E-10</v>
      </c>
      <c r="J3182">
        <v>1.7293101253499219</v>
      </c>
      <c r="O3182" t="s">
        <v>871</v>
      </c>
      <c r="Q3182" t="s">
        <v>1679</v>
      </c>
    </row>
    <row r="3183" spans="2:17">
      <c r="B3183" t="s">
        <v>763</v>
      </c>
      <c r="C3183" t="s">
        <v>661</v>
      </c>
      <c r="D3183">
        <v>1.15405330369392E-9</v>
      </c>
      <c r="E3183" t="s">
        <v>94</v>
      </c>
      <c r="H3183" t="s">
        <v>588</v>
      </c>
      <c r="I3183">
        <v>1.15405330369392E-9</v>
      </c>
      <c r="J3183">
        <v>1.7450381821146503</v>
      </c>
      <c r="O3183" t="s">
        <v>855</v>
      </c>
    </row>
    <row r="3184" spans="2:17">
      <c r="B3184" t="s">
        <v>763</v>
      </c>
      <c r="C3184" t="s">
        <v>887</v>
      </c>
      <c r="D3184">
        <v>1.61055246396435E-7</v>
      </c>
      <c r="E3184" t="s">
        <v>94</v>
      </c>
      <c r="H3184" t="s">
        <v>588</v>
      </c>
      <c r="I3184">
        <v>1.61055246396435E-7</v>
      </c>
      <c r="J3184">
        <v>1.9265750720549795</v>
      </c>
      <c r="O3184" t="s">
        <v>1798</v>
      </c>
      <c r="Q3184" t="s">
        <v>4429</v>
      </c>
    </row>
    <row r="3185" spans="2:17">
      <c r="B3185" t="s">
        <v>4657</v>
      </c>
      <c r="C3185" t="s">
        <v>661</v>
      </c>
      <c r="D3185">
        <v>1.00201772887583E-5</v>
      </c>
      <c r="E3185" t="s">
        <v>94</v>
      </c>
      <c r="H3185" t="s">
        <v>588</v>
      </c>
      <c r="I3185">
        <v>1.00201772887583E-5</v>
      </c>
      <c r="J3185">
        <v>1.8523246175090917</v>
      </c>
      <c r="O3185" t="s">
        <v>1011</v>
      </c>
      <c r="Q3185" t="s">
        <v>4658</v>
      </c>
    </row>
    <row r="3186" spans="2:17">
      <c r="B3186" t="s">
        <v>4657</v>
      </c>
      <c r="C3186" t="s">
        <v>887</v>
      </c>
      <c r="D3186">
        <v>2.2540276109681302E-6</v>
      </c>
      <c r="E3186" t="s">
        <v>94</v>
      </c>
      <c r="H3186" t="s">
        <v>588</v>
      </c>
      <c r="I3186">
        <v>2.2540276109681302E-6</v>
      </c>
      <c r="J3186">
        <v>1.4139824580805163</v>
      </c>
      <c r="O3186" t="s">
        <v>952</v>
      </c>
      <c r="Q3186" t="s">
        <v>4659</v>
      </c>
    </row>
    <row r="3187" spans="2:17">
      <c r="B3187" t="s">
        <v>4660</v>
      </c>
      <c r="C3187" t="s">
        <v>4413</v>
      </c>
      <c r="D3187">
        <v>1.60020000561951E-6</v>
      </c>
      <c r="E3187" t="s">
        <v>94</v>
      </c>
      <c r="H3187" t="s">
        <v>588</v>
      </c>
      <c r="I3187">
        <v>1.60020000561951E-6</v>
      </c>
      <c r="J3187">
        <v>1.4056999999994499</v>
      </c>
      <c r="O3187" t="s">
        <v>2024</v>
      </c>
      <c r="Q3187" t="s">
        <v>4414</v>
      </c>
    </row>
    <row r="3188" spans="2:17">
      <c r="B3188" t="s">
        <v>653</v>
      </c>
      <c r="C3188" t="s">
        <v>4455</v>
      </c>
      <c r="D3188">
        <v>1.9175829093472199E-7</v>
      </c>
      <c r="E3188" t="s">
        <v>94</v>
      </c>
      <c r="H3188" t="s">
        <v>588</v>
      </c>
      <c r="I3188">
        <v>1.9175829093472199E-7</v>
      </c>
      <c r="J3188">
        <v>1</v>
      </c>
      <c r="O3188" t="s">
        <v>1157</v>
      </c>
      <c r="Q3188" t="s">
        <v>4518</v>
      </c>
    </row>
    <row r="3189" spans="2:17">
      <c r="B3189" t="s">
        <v>653</v>
      </c>
      <c r="C3189" t="s">
        <v>887</v>
      </c>
      <c r="D3189">
        <v>4.1375231307353198E-4</v>
      </c>
      <c r="E3189" t="s">
        <v>94</v>
      </c>
      <c r="H3189" t="s">
        <v>588</v>
      </c>
      <c r="I3189">
        <v>4.1375231307353198E-4</v>
      </c>
      <c r="J3189">
        <v>1.9448779379824532</v>
      </c>
      <c r="O3189" t="s">
        <v>1157</v>
      </c>
      <c r="Q3189" t="s">
        <v>4425</v>
      </c>
    </row>
    <row r="3190" spans="2:17">
      <c r="B3190" t="s">
        <v>653</v>
      </c>
      <c r="C3190" t="s">
        <v>654</v>
      </c>
      <c r="D3190">
        <v>2.0788632838173102E-5</v>
      </c>
      <c r="E3190" t="s">
        <v>94</v>
      </c>
      <c r="H3190" t="s">
        <v>588</v>
      </c>
      <c r="I3190">
        <v>2.0788632838173102E-5</v>
      </c>
      <c r="J3190">
        <v>1.7293101253499219</v>
      </c>
      <c r="O3190" t="s">
        <v>4661</v>
      </c>
      <c r="Q3190" t="s">
        <v>4662</v>
      </c>
    </row>
    <row r="3191" spans="2:17">
      <c r="B3191" t="s">
        <v>653</v>
      </c>
      <c r="C3191" t="s">
        <v>658</v>
      </c>
      <c r="D3191">
        <v>1.2696798972830099E-5</v>
      </c>
      <c r="E3191" t="s">
        <v>94</v>
      </c>
      <c r="H3191" t="s">
        <v>588</v>
      </c>
      <c r="I3191">
        <v>1.2696798972830099E-5</v>
      </c>
      <c r="J3191">
        <v>1.7293101253499219</v>
      </c>
      <c r="O3191" t="s">
        <v>1157</v>
      </c>
      <c r="Q3191" t="s">
        <v>1166</v>
      </c>
    </row>
    <row r="3192" spans="2:17">
      <c r="B3192" t="s">
        <v>656</v>
      </c>
      <c r="C3192" t="s">
        <v>887</v>
      </c>
      <c r="D3192">
        <v>2.2744800631767999E-4</v>
      </c>
      <c r="E3192" t="s">
        <v>94</v>
      </c>
      <c r="H3192" t="s">
        <v>588</v>
      </c>
      <c r="I3192">
        <v>2.2744800631767999E-4</v>
      </c>
      <c r="J3192">
        <v>1.2214027581601699</v>
      </c>
      <c r="O3192" t="s">
        <v>4663</v>
      </c>
      <c r="Q3192" t="s">
        <v>2110</v>
      </c>
    </row>
    <row r="3193" spans="2:17">
      <c r="B3193" t="s">
        <v>656</v>
      </c>
      <c r="C3193" t="s">
        <v>658</v>
      </c>
      <c r="D3193">
        <v>1.0385190121858899E-5</v>
      </c>
      <c r="E3193" t="s">
        <v>94</v>
      </c>
      <c r="H3193" t="s">
        <v>588</v>
      </c>
      <c r="I3193">
        <v>1.0385190121858899E-5</v>
      </c>
      <c r="J3193">
        <v>1.2214027581601699</v>
      </c>
      <c r="O3193" t="s">
        <v>1157</v>
      </c>
      <c r="Q3193" t="s">
        <v>1166</v>
      </c>
    </row>
    <row r="3194" spans="2:17">
      <c r="B3194" t="s">
        <v>656</v>
      </c>
      <c r="C3194" t="s">
        <v>4455</v>
      </c>
      <c r="D3194">
        <v>6.5196527445737896E-8</v>
      </c>
      <c r="E3194" t="s">
        <v>94</v>
      </c>
      <c r="H3194" t="s">
        <v>588</v>
      </c>
      <c r="I3194">
        <v>6.5196527445737896E-8</v>
      </c>
      <c r="J3194">
        <v>1.2214027581601699</v>
      </c>
      <c r="O3194" t="s">
        <v>1752</v>
      </c>
      <c r="Q3194" t="s">
        <v>1753</v>
      </c>
    </row>
    <row r="3195" spans="2:17">
      <c r="B3195" t="s">
        <v>656</v>
      </c>
      <c r="C3195" t="s">
        <v>654</v>
      </c>
      <c r="D3195">
        <v>1.04724306222303E-5</v>
      </c>
      <c r="E3195" t="s">
        <v>94</v>
      </c>
      <c r="H3195" t="s">
        <v>588</v>
      </c>
      <c r="I3195">
        <v>1.04724306222303E-5</v>
      </c>
      <c r="J3195">
        <v>1.2214027581601699</v>
      </c>
      <c r="O3195" t="s">
        <v>4661</v>
      </c>
      <c r="Q3195" t="s">
        <v>4662</v>
      </c>
    </row>
    <row r="3196" spans="2:17">
      <c r="B3196" t="s">
        <v>657</v>
      </c>
      <c r="C3196" t="s">
        <v>658</v>
      </c>
      <c r="D3196">
        <v>1.1432630490781799E-5</v>
      </c>
      <c r="E3196" t="s">
        <v>94</v>
      </c>
      <c r="H3196" t="s">
        <v>588</v>
      </c>
      <c r="I3196">
        <v>1.1432630490781799E-5</v>
      </c>
      <c r="J3196">
        <v>1.4139824580805163</v>
      </c>
      <c r="O3196" t="s">
        <v>1157</v>
      </c>
      <c r="Q3196" t="s">
        <v>1166</v>
      </c>
    </row>
    <row r="3197" spans="2:17">
      <c r="B3197" t="s">
        <v>657</v>
      </c>
      <c r="C3197" t="s">
        <v>887</v>
      </c>
      <c r="D3197">
        <v>2.3752470802527E-4</v>
      </c>
      <c r="E3197" t="s">
        <v>94</v>
      </c>
      <c r="H3197" t="s">
        <v>588</v>
      </c>
      <c r="I3197">
        <v>2.3752470802527E-4</v>
      </c>
      <c r="J3197">
        <v>1.5879940575975979</v>
      </c>
      <c r="O3197" t="s">
        <v>1157</v>
      </c>
      <c r="Q3197" t="s">
        <v>4425</v>
      </c>
    </row>
    <row r="3198" spans="2:17">
      <c r="B3198" t="s">
        <v>657</v>
      </c>
      <c r="C3198" t="s">
        <v>654</v>
      </c>
      <c r="D3198">
        <v>4.0325212392267901E-6</v>
      </c>
      <c r="E3198" t="s">
        <v>94</v>
      </c>
      <c r="H3198" t="s">
        <v>588</v>
      </c>
      <c r="I3198">
        <v>4.0325212392267901E-6</v>
      </c>
      <c r="J3198">
        <v>1.4139824580805163</v>
      </c>
      <c r="O3198" t="s">
        <v>4661</v>
      </c>
      <c r="Q3198" t="s">
        <v>4662</v>
      </c>
    </row>
    <row r="3199" spans="2:17">
      <c r="B3199" t="s">
        <v>4664</v>
      </c>
      <c r="C3199" t="s">
        <v>887</v>
      </c>
      <c r="D3199">
        <v>6.59847197613147E-8</v>
      </c>
      <c r="E3199" t="s">
        <v>94</v>
      </c>
      <c r="H3199" t="s">
        <v>588</v>
      </c>
      <c r="I3199">
        <v>6.59847197613147E-8</v>
      </c>
      <c r="J3199">
        <v>1.2214027581601699</v>
      </c>
      <c r="O3199" t="s">
        <v>4376</v>
      </c>
      <c r="Q3199" t="s">
        <v>2110</v>
      </c>
    </row>
    <row r="3200" spans="2:17">
      <c r="B3200" t="s">
        <v>4664</v>
      </c>
      <c r="C3200" t="s">
        <v>654</v>
      </c>
      <c r="D3200">
        <v>3.10169643528354E-8</v>
      </c>
      <c r="E3200" t="s">
        <v>94</v>
      </c>
      <c r="H3200" t="s">
        <v>588</v>
      </c>
      <c r="I3200">
        <v>3.10169643528354E-8</v>
      </c>
      <c r="J3200">
        <v>1.2214027581601699</v>
      </c>
      <c r="O3200" t="s">
        <v>4374</v>
      </c>
      <c r="Q3200" t="s">
        <v>4375</v>
      </c>
    </row>
    <row r="3201" spans="2:17">
      <c r="B3201" t="s">
        <v>4664</v>
      </c>
      <c r="C3201" t="s">
        <v>658</v>
      </c>
      <c r="D3201">
        <v>4.0685326060842499E-10</v>
      </c>
      <c r="E3201" t="s">
        <v>94</v>
      </c>
      <c r="H3201" t="s">
        <v>588</v>
      </c>
      <c r="I3201">
        <v>4.0685326060842499E-10</v>
      </c>
      <c r="J3201">
        <v>1.2214027581601699</v>
      </c>
      <c r="O3201" t="s">
        <v>871</v>
      </c>
      <c r="Q3201" t="s">
        <v>1679</v>
      </c>
    </row>
    <row r="3202" spans="2:17">
      <c r="B3202" t="s">
        <v>4665</v>
      </c>
      <c r="C3202" t="s">
        <v>654</v>
      </c>
      <c r="D3202">
        <v>3.7818759338641299E-11</v>
      </c>
      <c r="E3202" t="s">
        <v>94</v>
      </c>
      <c r="H3202" t="s">
        <v>588</v>
      </c>
      <c r="I3202">
        <v>3.7818759338641299E-11</v>
      </c>
      <c r="J3202">
        <v>2.2394398661220611</v>
      </c>
      <c r="O3202" t="s">
        <v>2069</v>
      </c>
      <c r="Q3202" t="s">
        <v>4483</v>
      </c>
    </row>
    <row r="3203" spans="2:17">
      <c r="B3203" t="s">
        <v>4666</v>
      </c>
      <c r="C3203" t="s">
        <v>4413</v>
      </c>
      <c r="D3203">
        <v>2.8871109208603699E-7</v>
      </c>
      <c r="E3203" t="s">
        <v>94</v>
      </c>
      <c r="H3203" t="s">
        <v>588</v>
      </c>
      <c r="I3203">
        <v>2.8871109208603699E-7</v>
      </c>
      <c r="J3203">
        <v>1.1051709180756477</v>
      </c>
      <c r="O3203" t="s">
        <v>834</v>
      </c>
      <c r="Q3203" t="s">
        <v>4477</v>
      </c>
    </row>
    <row r="3204" spans="2:17">
      <c r="B3204" t="s">
        <v>765</v>
      </c>
      <c r="C3204" t="s">
        <v>654</v>
      </c>
      <c r="D3204">
        <v>5.9641253256622295E-7</v>
      </c>
      <c r="E3204" t="s">
        <v>94</v>
      </c>
      <c r="H3204" t="s">
        <v>588</v>
      </c>
      <c r="I3204">
        <v>5.9641253256622295E-7</v>
      </c>
      <c r="J3204">
        <v>1.9265750720549795</v>
      </c>
      <c r="O3204" t="s">
        <v>2387</v>
      </c>
      <c r="Q3204" t="s">
        <v>2388</v>
      </c>
    </row>
    <row r="3205" spans="2:17">
      <c r="B3205" t="s">
        <v>765</v>
      </c>
      <c r="C3205" t="s">
        <v>658</v>
      </c>
      <c r="D3205">
        <v>4.3909758898083699E-7</v>
      </c>
      <c r="E3205" t="s">
        <v>94</v>
      </c>
      <c r="H3205" t="s">
        <v>588</v>
      </c>
      <c r="I3205">
        <v>4.3909758898083699E-7</v>
      </c>
      <c r="J3205">
        <v>1.2214027581601699</v>
      </c>
      <c r="O3205" t="s">
        <v>1678</v>
      </c>
      <c r="Q3205" t="s">
        <v>1679</v>
      </c>
    </row>
    <row r="3206" spans="2:17">
      <c r="B3206" t="s">
        <v>765</v>
      </c>
      <c r="C3206" t="s">
        <v>881</v>
      </c>
      <c r="D3206">
        <v>4.5119979270089101E-8</v>
      </c>
      <c r="E3206" t="s">
        <v>94</v>
      </c>
      <c r="H3206" t="s">
        <v>588</v>
      </c>
      <c r="I3206">
        <v>4.5119979270089101E-8</v>
      </c>
      <c r="J3206">
        <v>1.0247973619913604</v>
      </c>
      <c r="O3206" t="s">
        <v>2422</v>
      </c>
    </row>
    <row r="3207" spans="2:17">
      <c r="B3207" t="s">
        <v>765</v>
      </c>
      <c r="C3207" t="s">
        <v>883</v>
      </c>
      <c r="D3207">
        <v>4.1100446947912798E-8</v>
      </c>
      <c r="E3207" t="s">
        <v>94</v>
      </c>
      <c r="H3207" t="s">
        <v>588</v>
      </c>
      <c r="I3207">
        <v>4.1100446947912798E-8</v>
      </c>
      <c r="J3207">
        <v>1.7450381821146503</v>
      </c>
      <c r="O3207" t="s">
        <v>2307</v>
      </c>
      <c r="Q3207" t="s">
        <v>2308</v>
      </c>
    </row>
    <row r="3208" spans="2:17">
      <c r="B3208" t="s">
        <v>765</v>
      </c>
      <c r="C3208" t="s">
        <v>887</v>
      </c>
      <c r="D3208">
        <v>3.2882870470530999E-9</v>
      </c>
      <c r="E3208" t="s">
        <v>94</v>
      </c>
      <c r="H3208" t="s">
        <v>588</v>
      </c>
      <c r="I3208">
        <v>3.2882870470530999E-9</v>
      </c>
      <c r="J3208">
        <v>1.3498588075760032</v>
      </c>
      <c r="O3208" t="s">
        <v>871</v>
      </c>
      <c r="Q3208" t="s">
        <v>4444</v>
      </c>
    </row>
    <row r="3209" spans="2:17">
      <c r="B3209" t="s">
        <v>765</v>
      </c>
      <c r="C3209" t="s">
        <v>661</v>
      </c>
      <c r="D3209">
        <v>1.68994188842545E-7</v>
      </c>
      <c r="E3209" t="s">
        <v>94</v>
      </c>
      <c r="H3209" t="s">
        <v>588</v>
      </c>
      <c r="I3209">
        <v>1.68994188842545E-7</v>
      </c>
      <c r="J3209">
        <v>1.2214027581601699</v>
      </c>
      <c r="O3209" t="s">
        <v>641</v>
      </c>
      <c r="Q3209" t="s">
        <v>1672</v>
      </c>
    </row>
    <row r="3210" spans="2:17">
      <c r="B3210" t="s">
        <v>765</v>
      </c>
      <c r="C3210" t="s">
        <v>712</v>
      </c>
      <c r="D3210">
        <v>4.95344451465904E-9</v>
      </c>
      <c r="E3210" t="s">
        <v>94</v>
      </c>
      <c r="H3210" t="s">
        <v>588</v>
      </c>
      <c r="I3210">
        <v>4.95344451465904E-9</v>
      </c>
      <c r="J3210">
        <v>1.7450381821146503</v>
      </c>
      <c r="O3210" t="s">
        <v>2307</v>
      </c>
      <c r="Q3210" t="s">
        <v>4391</v>
      </c>
    </row>
    <row r="3211" spans="2:17">
      <c r="B3211" t="s">
        <v>828</v>
      </c>
      <c r="C3211" t="s">
        <v>658</v>
      </c>
      <c r="D3211">
        <v>5.7118288733075899E-14</v>
      </c>
      <c r="E3211" t="s">
        <v>94</v>
      </c>
      <c r="H3211" t="s">
        <v>588</v>
      </c>
      <c r="I3211">
        <v>5.7118288733075899E-14</v>
      </c>
      <c r="J3211">
        <v>1.2214027581601699</v>
      </c>
      <c r="O3211" t="s">
        <v>871</v>
      </c>
      <c r="Q3211" t="s">
        <v>1679</v>
      </c>
    </row>
    <row r="3212" spans="2:17">
      <c r="B3212" t="s">
        <v>828</v>
      </c>
      <c r="C3212" t="s">
        <v>4401</v>
      </c>
      <c r="D3212">
        <v>4.3884869275335398E-11</v>
      </c>
      <c r="E3212" t="s">
        <v>94</v>
      </c>
      <c r="H3212" t="s">
        <v>588</v>
      </c>
      <c r="I3212">
        <v>4.3884869275335398E-11</v>
      </c>
      <c r="J3212">
        <v>1.4139824580805163</v>
      </c>
      <c r="O3212" t="s">
        <v>3050</v>
      </c>
      <c r="Q3212" t="s">
        <v>3051</v>
      </c>
    </row>
    <row r="3213" spans="2:17">
      <c r="B3213" t="s">
        <v>828</v>
      </c>
      <c r="C3213" t="s">
        <v>887</v>
      </c>
      <c r="D3213">
        <v>8.9342021888948601E-11</v>
      </c>
      <c r="E3213" t="s">
        <v>94</v>
      </c>
      <c r="H3213" t="s">
        <v>588</v>
      </c>
      <c r="I3213">
        <v>8.9342021888948601E-11</v>
      </c>
      <c r="J3213">
        <v>1.3752314347495442</v>
      </c>
      <c r="O3213" t="s">
        <v>1157</v>
      </c>
      <c r="Q3213" t="s">
        <v>4425</v>
      </c>
    </row>
    <row r="3214" spans="2:17">
      <c r="B3214" t="s">
        <v>828</v>
      </c>
      <c r="C3214" t="s">
        <v>654</v>
      </c>
      <c r="D3214">
        <v>1.31787733359366E-9</v>
      </c>
      <c r="E3214" t="s">
        <v>94</v>
      </c>
      <c r="H3214" t="s">
        <v>588</v>
      </c>
      <c r="I3214">
        <v>1.31787733359366E-9</v>
      </c>
      <c r="J3214">
        <v>1.8068915230828115</v>
      </c>
      <c r="O3214" t="s">
        <v>1798</v>
      </c>
      <c r="Q3214" t="s">
        <v>4428</v>
      </c>
    </row>
    <row r="3215" spans="2:17">
      <c r="B3215" t="s">
        <v>892</v>
      </c>
      <c r="C3215" t="s">
        <v>661</v>
      </c>
      <c r="D3215">
        <v>1.10930185344946E-5</v>
      </c>
      <c r="E3215" t="s">
        <v>94</v>
      </c>
      <c r="H3215" t="s">
        <v>588</v>
      </c>
      <c r="I3215">
        <v>1.10930185344946E-5</v>
      </c>
      <c r="J3215">
        <v>1.2214027581601699</v>
      </c>
      <c r="O3215" t="s">
        <v>1708</v>
      </c>
    </row>
    <row r="3216" spans="2:17">
      <c r="B3216" t="s">
        <v>892</v>
      </c>
      <c r="C3216" t="s">
        <v>712</v>
      </c>
      <c r="D3216">
        <v>1.9270733406435501E-10</v>
      </c>
      <c r="E3216" t="s">
        <v>94</v>
      </c>
      <c r="H3216" t="s">
        <v>588</v>
      </c>
      <c r="I3216">
        <v>1.9270733406435501E-10</v>
      </c>
      <c r="J3216">
        <v>1.2214027581601699</v>
      </c>
      <c r="O3216" t="s">
        <v>1553</v>
      </c>
      <c r="Q3216" t="s">
        <v>1530</v>
      </c>
    </row>
    <row r="3217" spans="2:17">
      <c r="B3217" t="s">
        <v>892</v>
      </c>
      <c r="C3217" t="s">
        <v>881</v>
      </c>
      <c r="D3217">
        <v>1.4774435286044101E-6</v>
      </c>
      <c r="E3217" t="s">
        <v>94</v>
      </c>
      <c r="H3217" t="s">
        <v>588</v>
      </c>
      <c r="I3217">
        <v>1.4774435286044101E-6</v>
      </c>
      <c r="J3217">
        <v>1.5050999999999632</v>
      </c>
      <c r="O3217" t="s">
        <v>2024</v>
      </c>
      <c r="Q3217" t="s">
        <v>4667</v>
      </c>
    </row>
    <row r="3218" spans="2:17">
      <c r="B3218" t="s">
        <v>4668</v>
      </c>
      <c r="C3218" t="s">
        <v>658</v>
      </c>
      <c r="D3218">
        <v>2.5568337727807098E-12</v>
      </c>
      <c r="E3218" t="s">
        <v>94</v>
      </c>
      <c r="H3218" t="s">
        <v>588</v>
      </c>
      <c r="I3218">
        <v>2.5568337727807098E-12</v>
      </c>
      <c r="J3218">
        <v>1.2214027581601699</v>
      </c>
      <c r="O3218" t="s">
        <v>4669</v>
      </c>
      <c r="Q3218" t="s">
        <v>4670</v>
      </c>
    </row>
    <row r="3219" spans="2:17">
      <c r="B3219" t="s">
        <v>766</v>
      </c>
      <c r="C3219" t="s">
        <v>887</v>
      </c>
      <c r="D3219">
        <v>3.30307925105266E-6</v>
      </c>
      <c r="E3219" t="s">
        <v>94</v>
      </c>
      <c r="H3219" t="s">
        <v>588</v>
      </c>
      <c r="I3219">
        <v>3.30307925105266E-6</v>
      </c>
      <c r="J3219">
        <v>2.3299956944820703</v>
      </c>
      <c r="O3219" t="s">
        <v>1157</v>
      </c>
      <c r="Q3219" t="s">
        <v>4380</v>
      </c>
    </row>
    <row r="3220" spans="2:17">
      <c r="B3220" t="s">
        <v>766</v>
      </c>
      <c r="C3220" t="s">
        <v>661</v>
      </c>
      <c r="D3220">
        <v>9.3970473344400107E-6</v>
      </c>
      <c r="E3220" t="s">
        <v>94</v>
      </c>
      <c r="H3220" t="s">
        <v>588</v>
      </c>
      <c r="I3220">
        <v>9.3970473344400107E-6</v>
      </c>
      <c r="J3220">
        <v>1.2214027581601699</v>
      </c>
      <c r="O3220" t="s">
        <v>641</v>
      </c>
      <c r="Q3220" t="s">
        <v>1643</v>
      </c>
    </row>
    <row r="3221" spans="2:17">
      <c r="B3221" t="s">
        <v>766</v>
      </c>
      <c r="C3221" t="s">
        <v>654</v>
      </c>
      <c r="D3221">
        <v>5.312383854136E-8</v>
      </c>
      <c r="E3221" t="s">
        <v>94</v>
      </c>
      <c r="H3221" t="s">
        <v>588</v>
      </c>
      <c r="I3221">
        <v>5.312383854136E-8</v>
      </c>
      <c r="J3221">
        <v>1</v>
      </c>
      <c r="O3221" t="s">
        <v>1002</v>
      </c>
      <c r="Q3221" t="s">
        <v>1444</v>
      </c>
    </row>
    <row r="3222" spans="2:17">
      <c r="B3222" t="s">
        <v>766</v>
      </c>
      <c r="C3222" t="s">
        <v>658</v>
      </c>
      <c r="D3222">
        <v>1.2926833169880499E-9</v>
      </c>
      <c r="E3222" t="s">
        <v>94</v>
      </c>
      <c r="H3222" t="s">
        <v>588</v>
      </c>
      <c r="I3222">
        <v>1.2926833169880499E-9</v>
      </c>
      <c r="J3222">
        <v>1.2214027581601699</v>
      </c>
      <c r="O3222" t="s">
        <v>871</v>
      </c>
      <c r="Q3222" t="s">
        <v>1679</v>
      </c>
    </row>
    <row r="3223" spans="2:17">
      <c r="B3223" t="s">
        <v>766</v>
      </c>
      <c r="C3223" t="s">
        <v>712</v>
      </c>
      <c r="D3223">
        <v>5.6102317301108603E-6</v>
      </c>
      <c r="E3223" t="s">
        <v>94</v>
      </c>
      <c r="H3223" t="s">
        <v>1733</v>
      </c>
      <c r="I3223">
        <v>5.6102317301108603E-6</v>
      </c>
      <c r="K3223">
        <v>5.6102317301108603E-6</v>
      </c>
      <c r="L3223">
        <v>5.6102317301108603E-6</v>
      </c>
      <c r="O3223" t="s">
        <v>1657</v>
      </c>
      <c r="Q3223" t="s">
        <v>4642</v>
      </c>
    </row>
    <row r="3224" spans="2:17">
      <c r="B3224" t="s">
        <v>766</v>
      </c>
      <c r="C3224" t="s">
        <v>881</v>
      </c>
      <c r="D3224">
        <v>4.0164613417632002E-7</v>
      </c>
      <c r="E3224" t="s">
        <v>94</v>
      </c>
      <c r="H3224" t="s">
        <v>588</v>
      </c>
      <c r="I3224">
        <v>4.0164613417632002E-7</v>
      </c>
      <c r="J3224">
        <v>1.0247973619913604</v>
      </c>
      <c r="O3224" t="s">
        <v>2422</v>
      </c>
    </row>
    <row r="3225" spans="2:17">
      <c r="B3225" t="s">
        <v>893</v>
      </c>
      <c r="C3225" t="s">
        <v>661</v>
      </c>
      <c r="D3225">
        <v>3.4047188096631998E-4</v>
      </c>
      <c r="E3225" t="s">
        <v>890</v>
      </c>
      <c r="H3225" t="s">
        <v>588</v>
      </c>
      <c r="I3225">
        <v>3.4047188096631998E-4</v>
      </c>
      <c r="J3225">
        <v>1.760654165524179</v>
      </c>
      <c r="O3225" t="s">
        <v>882</v>
      </c>
      <c r="Q3225" t="s">
        <v>4591</v>
      </c>
    </row>
    <row r="3226" spans="2:17">
      <c r="B3226" t="s">
        <v>893</v>
      </c>
      <c r="C3226" t="s">
        <v>887</v>
      </c>
      <c r="D3226">
        <v>9.3840865608042296E-7</v>
      </c>
      <c r="E3226" t="s">
        <v>890</v>
      </c>
      <c r="H3226" t="s">
        <v>588</v>
      </c>
      <c r="I3226">
        <v>9.3840865608042296E-7</v>
      </c>
      <c r="J3226">
        <v>1.8068915230828115</v>
      </c>
      <c r="O3226" t="s">
        <v>871</v>
      </c>
      <c r="Q3226" t="s">
        <v>4444</v>
      </c>
    </row>
    <row r="3227" spans="2:17">
      <c r="B3227" t="s">
        <v>893</v>
      </c>
      <c r="C3227" t="s">
        <v>654</v>
      </c>
      <c r="D3227">
        <v>7.7342350980870801E-7</v>
      </c>
      <c r="E3227" t="s">
        <v>890</v>
      </c>
      <c r="H3227" t="s">
        <v>588</v>
      </c>
      <c r="I3227">
        <v>7.7342350980870801E-7</v>
      </c>
      <c r="J3227">
        <v>1.7293101253499219</v>
      </c>
      <c r="O3227" t="s">
        <v>4374</v>
      </c>
      <c r="Q3227" t="s">
        <v>4375</v>
      </c>
    </row>
    <row r="3228" spans="2:17">
      <c r="B3228" t="s">
        <v>4671</v>
      </c>
      <c r="C3228" t="s">
        <v>712</v>
      </c>
      <c r="D3228">
        <v>2.7589077072477099E-11</v>
      </c>
      <c r="E3228" t="s">
        <v>94</v>
      </c>
      <c r="H3228" t="s">
        <v>588</v>
      </c>
      <c r="I3228">
        <v>2.7589077072477099E-11</v>
      </c>
      <c r="J3228">
        <v>1.2214027581601699</v>
      </c>
      <c r="O3228" t="s">
        <v>3040</v>
      </c>
      <c r="Q3228" t="s">
        <v>4393</v>
      </c>
    </row>
    <row r="3229" spans="2:17">
      <c r="B3229" t="s">
        <v>4672</v>
      </c>
      <c r="C3229" t="s">
        <v>654</v>
      </c>
      <c r="D3229">
        <v>4.1027796874045798E-6</v>
      </c>
      <c r="E3229" t="s">
        <v>94</v>
      </c>
      <c r="H3229" t="s">
        <v>588</v>
      </c>
      <c r="I3229">
        <v>4.1027796874045798E-6</v>
      </c>
      <c r="J3229">
        <v>1.5639483159353722</v>
      </c>
      <c r="O3229" t="s">
        <v>1798</v>
      </c>
      <c r="Q3229" t="s">
        <v>4428</v>
      </c>
    </row>
    <row r="3230" spans="2:17">
      <c r="B3230" t="s">
        <v>4672</v>
      </c>
      <c r="C3230" t="s">
        <v>658</v>
      </c>
      <c r="D3230">
        <v>1.6500838785303599E-7</v>
      </c>
      <c r="E3230" t="s">
        <v>94</v>
      </c>
      <c r="H3230" t="s">
        <v>588</v>
      </c>
      <c r="I3230">
        <v>1.6500838785303599E-7</v>
      </c>
      <c r="J3230">
        <v>1.2214027581601699</v>
      </c>
      <c r="O3230" t="s">
        <v>871</v>
      </c>
      <c r="Q3230" t="s">
        <v>1679</v>
      </c>
    </row>
    <row r="3231" spans="2:17">
      <c r="B3231" t="s">
        <v>4672</v>
      </c>
      <c r="C3231" t="s">
        <v>887</v>
      </c>
      <c r="D3231">
        <v>2.5758828689124302E-4</v>
      </c>
      <c r="E3231" t="s">
        <v>94</v>
      </c>
      <c r="H3231" t="s">
        <v>588</v>
      </c>
      <c r="I3231">
        <v>2.5758828689124302E-4</v>
      </c>
      <c r="J3231">
        <v>2.1299993686840275</v>
      </c>
      <c r="O3231" t="s">
        <v>1157</v>
      </c>
      <c r="Q3231" t="s">
        <v>4380</v>
      </c>
    </row>
    <row r="3232" spans="2:17">
      <c r="B3232" t="s">
        <v>4673</v>
      </c>
      <c r="C3232" t="s">
        <v>883</v>
      </c>
      <c r="D3232">
        <v>8.8994665030446007E-3</v>
      </c>
      <c r="E3232" t="s">
        <v>94</v>
      </c>
      <c r="H3232" t="s">
        <v>588</v>
      </c>
      <c r="I3232">
        <v>8.8994665030446007E-3</v>
      </c>
      <c r="J3232">
        <v>1.2214027581601699</v>
      </c>
      <c r="O3232" t="s">
        <v>4446</v>
      </c>
      <c r="Q3232" t="s">
        <v>4447</v>
      </c>
    </row>
    <row r="3233" spans="2:17">
      <c r="B3233" t="s">
        <v>4673</v>
      </c>
      <c r="C3233" t="s">
        <v>661</v>
      </c>
      <c r="D3233">
        <v>1.86995865001911E-5</v>
      </c>
      <c r="E3233" t="s">
        <v>94</v>
      </c>
      <c r="H3233" t="s">
        <v>588</v>
      </c>
      <c r="I3233">
        <v>1.86995865001911E-5</v>
      </c>
      <c r="J3233">
        <v>1.2214027581601699</v>
      </c>
      <c r="O3233" t="s">
        <v>641</v>
      </c>
      <c r="Q3233" t="s">
        <v>1643</v>
      </c>
    </row>
    <row r="3234" spans="2:17">
      <c r="B3234" t="s">
        <v>894</v>
      </c>
      <c r="C3234" t="s">
        <v>654</v>
      </c>
      <c r="D3234">
        <v>1.1507072331145E-7</v>
      </c>
      <c r="E3234" t="s">
        <v>890</v>
      </c>
      <c r="H3234" t="s">
        <v>588</v>
      </c>
      <c r="I3234">
        <v>1.1507072331145E-7</v>
      </c>
      <c r="J3234">
        <v>1.7293101253499219</v>
      </c>
      <c r="O3234" t="s">
        <v>4374</v>
      </c>
      <c r="Q3234" t="s">
        <v>4375</v>
      </c>
    </row>
    <row r="3235" spans="2:17">
      <c r="B3235" t="s">
        <v>894</v>
      </c>
      <c r="C3235" t="s">
        <v>661</v>
      </c>
      <c r="D3235">
        <v>4.2740087185133801E-4</v>
      </c>
      <c r="E3235" t="s">
        <v>890</v>
      </c>
      <c r="H3235" t="s">
        <v>588</v>
      </c>
      <c r="I3235">
        <v>4.2740087185133801E-4</v>
      </c>
      <c r="J3235">
        <v>1.760654165524179</v>
      </c>
      <c r="O3235" t="s">
        <v>882</v>
      </c>
      <c r="Q3235" t="s">
        <v>4591</v>
      </c>
    </row>
    <row r="3236" spans="2:17">
      <c r="B3236" t="s">
        <v>894</v>
      </c>
      <c r="C3236" t="s">
        <v>887</v>
      </c>
      <c r="D3236">
        <v>1.3946575071633699E-7</v>
      </c>
      <c r="E3236" t="s">
        <v>890</v>
      </c>
      <c r="H3236" t="s">
        <v>588</v>
      </c>
      <c r="I3236">
        <v>1.3946575071633699E-7</v>
      </c>
      <c r="J3236">
        <v>1.8068915230828115</v>
      </c>
      <c r="O3236" t="s">
        <v>871</v>
      </c>
      <c r="Q3236" t="s">
        <v>4444</v>
      </c>
    </row>
    <row r="3237" spans="2:17">
      <c r="B3237" t="s">
        <v>4674</v>
      </c>
      <c r="C3237" t="s">
        <v>658</v>
      </c>
      <c r="D3237">
        <v>1.68515754438825E-9</v>
      </c>
      <c r="E3237" t="s">
        <v>94</v>
      </c>
      <c r="H3237" t="s">
        <v>588</v>
      </c>
      <c r="I3237">
        <v>1.68515754438825E-9</v>
      </c>
      <c r="J3237">
        <v>1.2214027581601699</v>
      </c>
      <c r="O3237" t="s">
        <v>4675</v>
      </c>
      <c r="Q3237" t="s">
        <v>1679</v>
      </c>
    </row>
    <row r="3238" spans="2:17">
      <c r="B3238" t="s">
        <v>829</v>
      </c>
      <c r="C3238" t="s">
        <v>654</v>
      </c>
      <c r="D3238">
        <v>6.2137867840241997E-8</v>
      </c>
      <c r="E3238" t="s">
        <v>94</v>
      </c>
      <c r="H3238" t="s">
        <v>588</v>
      </c>
      <c r="I3238">
        <v>6.2137867840241997E-8</v>
      </c>
      <c r="J3238">
        <v>1.2214027581601699</v>
      </c>
      <c r="O3238" t="s">
        <v>4374</v>
      </c>
      <c r="Q3238" t="s">
        <v>4375</v>
      </c>
    </row>
    <row r="3239" spans="2:17">
      <c r="B3239" t="s">
        <v>829</v>
      </c>
      <c r="C3239" t="s">
        <v>658</v>
      </c>
      <c r="D3239">
        <v>2.9930080922314002E-6</v>
      </c>
      <c r="E3239" t="s">
        <v>94</v>
      </c>
      <c r="H3239" t="s">
        <v>588</v>
      </c>
      <c r="I3239">
        <v>2.9930080922314002E-6</v>
      </c>
      <c r="J3239">
        <v>1.2214027581601699</v>
      </c>
      <c r="O3239" t="s">
        <v>871</v>
      </c>
      <c r="Q3239" t="s">
        <v>1679</v>
      </c>
    </row>
    <row r="3240" spans="2:17">
      <c r="B3240" t="s">
        <v>829</v>
      </c>
      <c r="C3240" t="s">
        <v>887</v>
      </c>
      <c r="D3240">
        <v>5.6263336588978403E-6</v>
      </c>
      <c r="E3240" t="s">
        <v>94</v>
      </c>
      <c r="H3240" t="s">
        <v>588</v>
      </c>
      <c r="I3240">
        <v>5.6263336588978403E-6</v>
      </c>
      <c r="J3240">
        <v>1.2214027581601699</v>
      </c>
      <c r="O3240" t="s">
        <v>4376</v>
      </c>
      <c r="Q3240" t="s">
        <v>2110</v>
      </c>
    </row>
    <row r="3241" spans="2:17">
      <c r="B3241" t="s">
        <v>1554</v>
      </c>
      <c r="C3241" t="s">
        <v>658</v>
      </c>
      <c r="D3241">
        <v>4.0080192795679801E-13</v>
      </c>
      <c r="E3241" t="s">
        <v>94</v>
      </c>
      <c r="H3241" t="s">
        <v>588</v>
      </c>
      <c r="I3241">
        <v>4.0080192795679801E-13</v>
      </c>
      <c r="J3241">
        <v>1.2214027581601699</v>
      </c>
      <c r="O3241" t="s">
        <v>1678</v>
      </c>
      <c r="Q3241" t="s">
        <v>1679</v>
      </c>
    </row>
    <row r="3242" spans="2:17">
      <c r="B3242" t="s">
        <v>4676</v>
      </c>
      <c r="C3242" t="s">
        <v>654</v>
      </c>
      <c r="D3242">
        <v>2.84684096892201E-8</v>
      </c>
      <c r="E3242" t="s">
        <v>94</v>
      </c>
      <c r="H3242" t="s">
        <v>588</v>
      </c>
      <c r="I3242">
        <v>2.84684096892201E-8</v>
      </c>
      <c r="J3242">
        <v>1.2214027581601699</v>
      </c>
      <c r="O3242" t="s">
        <v>4374</v>
      </c>
      <c r="Q3242" t="s">
        <v>4375</v>
      </c>
    </row>
    <row r="3243" spans="2:17">
      <c r="B3243" t="s">
        <v>4676</v>
      </c>
      <c r="C3243" t="s">
        <v>887</v>
      </c>
      <c r="D3243">
        <v>1.2920020282440299E-7</v>
      </c>
      <c r="E3243" t="s">
        <v>94</v>
      </c>
      <c r="Q3243" t="s">
        <v>1776</v>
      </c>
    </row>
    <row r="3244" spans="2:17">
      <c r="B3244" t="s">
        <v>4677</v>
      </c>
      <c r="C3244" t="s">
        <v>887</v>
      </c>
      <c r="D3244">
        <v>1.0870017532025499E-9</v>
      </c>
      <c r="E3244" t="s">
        <v>94</v>
      </c>
      <c r="H3244" t="s">
        <v>588</v>
      </c>
      <c r="I3244">
        <v>1.0870017532025499E-9</v>
      </c>
      <c r="J3244">
        <v>1.2214027581601699</v>
      </c>
      <c r="O3244" t="s">
        <v>4376</v>
      </c>
      <c r="Q3244" t="s">
        <v>2110</v>
      </c>
    </row>
    <row r="3245" spans="2:17">
      <c r="B3245" t="s">
        <v>4677</v>
      </c>
      <c r="C3245" t="s">
        <v>654</v>
      </c>
      <c r="D3245">
        <v>5.1579971279252098E-10</v>
      </c>
      <c r="E3245" t="s">
        <v>94</v>
      </c>
      <c r="H3245" t="s">
        <v>588</v>
      </c>
      <c r="I3245">
        <v>5.1579971279252098E-10</v>
      </c>
      <c r="J3245">
        <v>1.2214027581601699</v>
      </c>
      <c r="O3245" t="s">
        <v>4374</v>
      </c>
      <c r="Q3245" t="s">
        <v>4678</v>
      </c>
    </row>
    <row r="3246" spans="2:17">
      <c r="B3246" t="s">
        <v>4677</v>
      </c>
      <c r="C3246" t="s">
        <v>658</v>
      </c>
      <c r="D3246">
        <v>6.7670322747509401E-12</v>
      </c>
      <c r="E3246" t="s">
        <v>94</v>
      </c>
      <c r="H3246" t="s">
        <v>588</v>
      </c>
      <c r="I3246">
        <v>6.7670322747509401E-12</v>
      </c>
      <c r="J3246">
        <v>1.2214027581601699</v>
      </c>
      <c r="O3246" t="s">
        <v>871</v>
      </c>
      <c r="Q3246" t="s">
        <v>1679</v>
      </c>
    </row>
    <row r="3247" spans="2:17">
      <c r="B3247" t="s">
        <v>4679</v>
      </c>
      <c r="C3247" t="s">
        <v>887</v>
      </c>
      <c r="D3247">
        <v>3.5840094633536598E-8</v>
      </c>
      <c r="E3247" t="s">
        <v>94</v>
      </c>
      <c r="H3247" t="s">
        <v>588</v>
      </c>
      <c r="I3247">
        <v>3.5840094633536598E-8</v>
      </c>
      <c r="J3247">
        <v>1.0247973619913604</v>
      </c>
      <c r="O3247" t="s">
        <v>4680</v>
      </c>
      <c r="Q3247" t="s">
        <v>4681</v>
      </c>
    </row>
    <row r="3248" spans="2:17">
      <c r="B3248" t="s">
        <v>4682</v>
      </c>
      <c r="C3248" t="s">
        <v>4413</v>
      </c>
      <c r="D3248">
        <v>9.5637959986462399E-7</v>
      </c>
      <c r="E3248" t="s">
        <v>94</v>
      </c>
      <c r="H3248" t="s">
        <v>588</v>
      </c>
      <c r="I3248">
        <v>9.5637959986462399E-7</v>
      </c>
      <c r="J3248">
        <v>1.2090000000000638</v>
      </c>
      <c r="O3248" t="s">
        <v>589</v>
      </c>
      <c r="Q3248" t="s">
        <v>4414</v>
      </c>
    </row>
    <row r="3249" spans="2:17">
      <c r="B3249" t="s">
        <v>4683</v>
      </c>
      <c r="C3249" t="s">
        <v>654</v>
      </c>
      <c r="D3249">
        <v>1.9711595776504002E-12</v>
      </c>
      <c r="E3249" t="s">
        <v>94</v>
      </c>
      <c r="H3249" t="s">
        <v>588</v>
      </c>
      <c r="I3249">
        <v>1.9711595776504002E-12</v>
      </c>
      <c r="J3249">
        <v>1.7293101253499219</v>
      </c>
      <c r="O3249" t="s">
        <v>2069</v>
      </c>
      <c r="Q3249" t="s">
        <v>4483</v>
      </c>
    </row>
    <row r="3250" spans="2:17">
      <c r="B3250" t="s">
        <v>4684</v>
      </c>
      <c r="C3250" t="s">
        <v>661</v>
      </c>
      <c r="D3250">
        <v>3.2160510812622302E-8</v>
      </c>
      <c r="E3250" t="s">
        <v>890</v>
      </c>
      <c r="H3250" t="s">
        <v>588</v>
      </c>
      <c r="I3250">
        <v>3.2160510812622302E-8</v>
      </c>
      <c r="J3250">
        <v>1.7293101253499219</v>
      </c>
      <c r="O3250" t="s">
        <v>851</v>
      </c>
      <c r="Q3250" t="s">
        <v>4395</v>
      </c>
    </row>
    <row r="3251" spans="2:17">
      <c r="B3251" t="s">
        <v>4685</v>
      </c>
      <c r="C3251" t="s">
        <v>661</v>
      </c>
      <c r="D3251">
        <v>0.12833918987291901</v>
      </c>
      <c r="E3251" t="s">
        <v>890</v>
      </c>
      <c r="H3251" t="s">
        <v>588</v>
      </c>
      <c r="I3251">
        <v>0.12833918987291901</v>
      </c>
      <c r="J3251">
        <v>1.2214027581601699</v>
      </c>
      <c r="O3251" t="s">
        <v>956</v>
      </c>
      <c r="Q3251" t="s">
        <v>4686</v>
      </c>
    </row>
    <row r="3252" spans="2:17">
      <c r="B3252" t="s">
        <v>4687</v>
      </c>
      <c r="C3252" t="s">
        <v>887</v>
      </c>
      <c r="D3252">
        <v>14.015873986372</v>
      </c>
      <c r="E3252" t="s">
        <v>890</v>
      </c>
      <c r="H3252" t="s">
        <v>588</v>
      </c>
      <c r="I3252">
        <v>14.015873986372</v>
      </c>
      <c r="J3252">
        <v>1.7450381821146503</v>
      </c>
      <c r="O3252" t="s">
        <v>855</v>
      </c>
    </row>
    <row r="3253" spans="2:17">
      <c r="B3253" t="s">
        <v>4687</v>
      </c>
      <c r="C3253" t="s">
        <v>658</v>
      </c>
      <c r="D3253">
        <v>1.1569124963267899E-7</v>
      </c>
      <c r="E3253" t="s">
        <v>890</v>
      </c>
      <c r="H3253" t="s">
        <v>588</v>
      </c>
      <c r="I3253">
        <v>1.1569124963267899E-7</v>
      </c>
      <c r="J3253">
        <v>1.7293101253499219</v>
      </c>
      <c r="O3253" t="s">
        <v>851</v>
      </c>
      <c r="Q3253" t="s">
        <v>4395</v>
      </c>
    </row>
    <row r="3254" spans="2:17">
      <c r="B3254" t="s">
        <v>895</v>
      </c>
      <c r="C3254" t="s">
        <v>661</v>
      </c>
      <c r="D3254">
        <v>2.1007839463879299E-4</v>
      </c>
      <c r="E3254" t="s">
        <v>890</v>
      </c>
      <c r="H3254" t="s">
        <v>588</v>
      </c>
      <c r="I3254">
        <v>2.1007839463879299E-4</v>
      </c>
      <c r="J3254">
        <v>1.760654165524179</v>
      </c>
      <c r="O3254" t="s">
        <v>882</v>
      </c>
      <c r="Q3254" t="s">
        <v>4591</v>
      </c>
    </row>
    <row r="3255" spans="2:17">
      <c r="B3255" t="s">
        <v>895</v>
      </c>
      <c r="C3255" t="s">
        <v>887</v>
      </c>
      <c r="D3255">
        <v>1.3155889477541899E-7</v>
      </c>
      <c r="E3255" t="s">
        <v>890</v>
      </c>
      <c r="H3255" t="s">
        <v>588</v>
      </c>
      <c r="I3255">
        <v>1.3155889477541899E-7</v>
      </c>
      <c r="J3255">
        <v>1.8068915230828115</v>
      </c>
      <c r="O3255" t="s">
        <v>871</v>
      </c>
      <c r="Q3255" t="s">
        <v>4444</v>
      </c>
    </row>
    <row r="3256" spans="2:17">
      <c r="B3256" t="s">
        <v>895</v>
      </c>
      <c r="C3256" t="s">
        <v>654</v>
      </c>
      <c r="D3256">
        <v>1.08669225170257E-7</v>
      </c>
      <c r="E3256" t="s">
        <v>890</v>
      </c>
      <c r="H3256" t="s">
        <v>588</v>
      </c>
      <c r="I3256">
        <v>1.08669225170257E-7</v>
      </c>
      <c r="J3256">
        <v>1.7293101253499219</v>
      </c>
      <c r="O3256" t="s">
        <v>4374</v>
      </c>
      <c r="Q3256" t="s">
        <v>4375</v>
      </c>
    </row>
    <row r="3257" spans="2:17">
      <c r="B3257" t="s">
        <v>4688</v>
      </c>
      <c r="C3257" t="s">
        <v>887</v>
      </c>
      <c r="D3257">
        <v>1.99324505412619E-7</v>
      </c>
      <c r="E3257" t="s">
        <v>890</v>
      </c>
      <c r="H3257" t="s">
        <v>588</v>
      </c>
      <c r="I3257">
        <v>1.99324505412619E-7</v>
      </c>
      <c r="J3257">
        <v>1.8068915230828115</v>
      </c>
      <c r="O3257" t="s">
        <v>871</v>
      </c>
      <c r="Q3257" t="s">
        <v>4444</v>
      </c>
    </row>
    <row r="3258" spans="2:17">
      <c r="B3258" t="s">
        <v>4688</v>
      </c>
      <c r="C3258" t="s">
        <v>654</v>
      </c>
      <c r="D3258">
        <v>1.57327164836529E-7</v>
      </c>
      <c r="E3258" t="s">
        <v>890</v>
      </c>
      <c r="H3258" t="s">
        <v>588</v>
      </c>
      <c r="I3258">
        <v>1.57327164836529E-7</v>
      </c>
      <c r="J3258">
        <v>1.7293101253499219</v>
      </c>
      <c r="O3258" t="s">
        <v>4374</v>
      </c>
      <c r="Q3258" t="s">
        <v>4375</v>
      </c>
    </row>
    <row r="3259" spans="2:17">
      <c r="B3259" t="s">
        <v>4689</v>
      </c>
      <c r="C3259" t="s">
        <v>887</v>
      </c>
      <c r="D3259">
        <v>2.8495351271056999E-8</v>
      </c>
      <c r="E3259" t="s">
        <v>890</v>
      </c>
      <c r="H3259" t="s">
        <v>588</v>
      </c>
      <c r="I3259">
        <v>2.8495351271056999E-8</v>
      </c>
      <c r="J3259">
        <v>1.8068915230828115</v>
      </c>
      <c r="O3259" t="s">
        <v>871</v>
      </c>
      <c r="Q3259" t="s">
        <v>4444</v>
      </c>
    </row>
    <row r="3260" spans="2:17">
      <c r="B3260" t="s">
        <v>4689</v>
      </c>
      <c r="C3260" t="s">
        <v>654</v>
      </c>
      <c r="D3260">
        <v>2.3788400812148298E-8</v>
      </c>
      <c r="E3260" t="s">
        <v>890</v>
      </c>
      <c r="H3260" t="s">
        <v>588</v>
      </c>
      <c r="I3260">
        <v>2.3788400812148298E-8</v>
      </c>
      <c r="J3260">
        <v>1.7293101253499219</v>
      </c>
      <c r="O3260" t="s">
        <v>4374</v>
      </c>
      <c r="Q3260" t="s">
        <v>4375</v>
      </c>
    </row>
    <row r="3261" spans="2:17">
      <c r="B3261" t="s">
        <v>896</v>
      </c>
      <c r="C3261" t="s">
        <v>887</v>
      </c>
      <c r="D3261">
        <v>2.8495351271056999E-8</v>
      </c>
      <c r="E3261" t="s">
        <v>890</v>
      </c>
      <c r="H3261" t="s">
        <v>588</v>
      </c>
      <c r="I3261">
        <v>2.8495351271056999E-8</v>
      </c>
      <c r="J3261">
        <v>1.8068915230828115</v>
      </c>
      <c r="O3261" t="s">
        <v>871</v>
      </c>
      <c r="Q3261" t="s">
        <v>4444</v>
      </c>
    </row>
    <row r="3262" spans="2:17">
      <c r="B3262" t="s">
        <v>896</v>
      </c>
      <c r="C3262" t="s">
        <v>654</v>
      </c>
      <c r="D3262">
        <v>2.3788400812148298E-8</v>
      </c>
      <c r="E3262" t="s">
        <v>890</v>
      </c>
      <c r="H3262" t="s">
        <v>588</v>
      </c>
      <c r="I3262">
        <v>2.3788400812148298E-8</v>
      </c>
      <c r="J3262">
        <v>1.7293101253499219</v>
      </c>
      <c r="O3262" t="s">
        <v>4374</v>
      </c>
      <c r="Q3262" t="s">
        <v>4375</v>
      </c>
    </row>
    <row r="3263" spans="2:17">
      <c r="B3263" t="s">
        <v>896</v>
      </c>
      <c r="C3263" t="s">
        <v>658</v>
      </c>
      <c r="D3263">
        <v>1.52010817090932E-5</v>
      </c>
      <c r="E3263" t="s">
        <v>890</v>
      </c>
      <c r="H3263" t="s">
        <v>588</v>
      </c>
      <c r="I3263">
        <v>1.52010817090932E-5</v>
      </c>
      <c r="J3263">
        <v>1.760654165524179</v>
      </c>
      <c r="O3263" t="s">
        <v>2381</v>
      </c>
      <c r="Q3263" t="s">
        <v>3161</v>
      </c>
    </row>
    <row r="3264" spans="2:17">
      <c r="B3264" t="s">
        <v>4690</v>
      </c>
      <c r="C3264" t="s">
        <v>1613</v>
      </c>
      <c r="D3264">
        <v>9.2983325647124101E-6</v>
      </c>
      <c r="E3264" t="s">
        <v>640</v>
      </c>
      <c r="H3264" t="s">
        <v>588</v>
      </c>
      <c r="I3264">
        <v>9.2983325647124101E-6</v>
      </c>
      <c r="J3264">
        <v>1.1051709180756477</v>
      </c>
      <c r="N3264" t="s">
        <v>4691</v>
      </c>
      <c r="O3264" t="s">
        <v>1757</v>
      </c>
      <c r="Q3264" t="s">
        <v>4692</v>
      </c>
    </row>
    <row r="3265" spans="2:17">
      <c r="B3265" t="s">
        <v>4690</v>
      </c>
      <c r="C3265" t="s">
        <v>1613</v>
      </c>
      <c r="D3265">
        <v>2.8654263085835899E-6</v>
      </c>
      <c r="E3265" t="s">
        <v>640</v>
      </c>
      <c r="H3265" t="s">
        <v>588</v>
      </c>
      <c r="I3265">
        <v>2.8654263085835899E-6</v>
      </c>
      <c r="J3265">
        <v>1.1051709180756477</v>
      </c>
      <c r="N3265" t="s">
        <v>4691</v>
      </c>
      <c r="O3265" t="s">
        <v>3570</v>
      </c>
      <c r="Q3265" t="s">
        <v>979</v>
      </c>
    </row>
    <row r="3266" spans="2:17">
      <c r="B3266" t="s">
        <v>4690</v>
      </c>
      <c r="C3266" t="s">
        <v>1613</v>
      </c>
      <c r="D3266">
        <v>6.8465117036352205E-8</v>
      </c>
      <c r="E3266" t="s">
        <v>640</v>
      </c>
      <c r="H3266" t="s">
        <v>588</v>
      </c>
      <c r="I3266">
        <v>6.8465117036352205E-8</v>
      </c>
      <c r="J3266">
        <v>1.1051709180756477</v>
      </c>
      <c r="N3266" t="s">
        <v>4691</v>
      </c>
      <c r="O3266" t="s">
        <v>4693</v>
      </c>
      <c r="Q3266" t="s">
        <v>4694</v>
      </c>
    </row>
    <row r="3267" spans="2:17">
      <c r="B3267" t="s">
        <v>4695</v>
      </c>
      <c r="C3267" t="s">
        <v>787</v>
      </c>
      <c r="D3267">
        <v>1.6638887223183101E-4</v>
      </c>
      <c r="E3267" t="s">
        <v>94</v>
      </c>
      <c r="H3267" t="s">
        <v>588</v>
      </c>
      <c r="I3267">
        <v>1.6638887223183101E-4</v>
      </c>
      <c r="J3267">
        <v>1.1712995782321958</v>
      </c>
      <c r="N3267" t="s">
        <v>4696</v>
      </c>
      <c r="O3267" t="s">
        <v>1435</v>
      </c>
    </row>
    <row r="3268" spans="2:17">
      <c r="B3268" t="s">
        <v>769</v>
      </c>
      <c r="C3268" t="s">
        <v>744</v>
      </c>
      <c r="D3268">
        <v>9.3554970719348899E-7</v>
      </c>
      <c r="E3268" t="s">
        <v>94</v>
      </c>
      <c r="H3268" t="s">
        <v>588</v>
      </c>
      <c r="I3268">
        <v>9.3554970719348899E-7</v>
      </c>
      <c r="J3268">
        <v>1.151909910168909</v>
      </c>
      <c r="N3268" t="s">
        <v>770</v>
      </c>
      <c r="O3268" t="s">
        <v>4697</v>
      </c>
      <c r="Q3268" t="s">
        <v>4698</v>
      </c>
    </row>
    <row r="3269" spans="2:17">
      <c r="B3269" t="s">
        <v>769</v>
      </c>
      <c r="C3269" t="s">
        <v>744</v>
      </c>
      <c r="D3269">
        <v>2.8042613304870099E-7</v>
      </c>
      <c r="E3269" t="s">
        <v>94</v>
      </c>
      <c r="H3269" t="s">
        <v>588</v>
      </c>
      <c r="I3269">
        <v>2.8042613304870099E-7</v>
      </c>
      <c r="J3269">
        <v>1</v>
      </c>
      <c r="N3269" t="s">
        <v>770</v>
      </c>
      <c r="O3269" t="s">
        <v>1675</v>
      </c>
      <c r="Q3269" t="s">
        <v>4699</v>
      </c>
    </row>
    <row r="3270" spans="2:17">
      <c r="B3270" t="s">
        <v>4700</v>
      </c>
      <c r="C3270" t="s">
        <v>787</v>
      </c>
      <c r="D3270">
        <v>2.6629667467540198E-4</v>
      </c>
      <c r="E3270" t="s">
        <v>94</v>
      </c>
      <c r="H3270" t="s">
        <v>588</v>
      </c>
      <c r="I3270">
        <v>2.6629667467540198E-4</v>
      </c>
      <c r="J3270">
        <v>1.0247973619913604</v>
      </c>
      <c r="N3270" t="s">
        <v>4701</v>
      </c>
      <c r="O3270" t="s">
        <v>855</v>
      </c>
      <c r="Q3270" t="s">
        <v>4595</v>
      </c>
    </row>
    <row r="3271" spans="2:17">
      <c r="B3271" t="s">
        <v>4700</v>
      </c>
      <c r="C3271" t="s">
        <v>787</v>
      </c>
      <c r="D3271">
        <v>3.2271708193311801E-6</v>
      </c>
      <c r="E3271" t="s">
        <v>94</v>
      </c>
      <c r="H3271" t="s">
        <v>588</v>
      </c>
      <c r="I3271">
        <v>3.2271708193311801E-6</v>
      </c>
      <c r="J3271">
        <v>1.0247973619913604</v>
      </c>
      <c r="N3271" t="s">
        <v>4701</v>
      </c>
      <c r="O3271" t="s">
        <v>855</v>
      </c>
      <c r="Q3271" t="s">
        <v>4595</v>
      </c>
    </row>
    <row r="3272" spans="2:17">
      <c r="B3272" t="s">
        <v>4702</v>
      </c>
      <c r="C3272" t="s">
        <v>787</v>
      </c>
      <c r="D3272">
        <v>4.3252564098896098E-4</v>
      </c>
      <c r="E3272" t="s">
        <v>94</v>
      </c>
      <c r="H3272" t="s">
        <v>588</v>
      </c>
      <c r="I3272">
        <v>4.3252564098896098E-4</v>
      </c>
      <c r="J3272">
        <v>1.1051709180756477</v>
      </c>
      <c r="N3272" t="s">
        <v>4703</v>
      </c>
      <c r="O3272" t="s">
        <v>2780</v>
      </c>
      <c r="Q3272" t="s">
        <v>4704</v>
      </c>
    </row>
    <row r="3273" spans="2:17">
      <c r="B3273" t="s">
        <v>4702</v>
      </c>
      <c r="C3273" t="s">
        <v>787</v>
      </c>
      <c r="D3273">
        <v>6.5344002134640397E-6</v>
      </c>
      <c r="E3273" t="s">
        <v>94</v>
      </c>
      <c r="H3273" t="s">
        <v>588</v>
      </c>
      <c r="I3273">
        <v>6.5344002134640397E-6</v>
      </c>
      <c r="J3273">
        <v>1.1051709180756477</v>
      </c>
      <c r="N3273" t="s">
        <v>4703</v>
      </c>
      <c r="O3273" t="s">
        <v>2780</v>
      </c>
      <c r="Q3273" t="s">
        <v>4704</v>
      </c>
    </row>
    <row r="3274" spans="2:17">
      <c r="B3274" t="s">
        <v>4705</v>
      </c>
      <c r="C3274" t="s">
        <v>787</v>
      </c>
      <c r="D3274">
        <v>5.6180638409682399E-4</v>
      </c>
      <c r="E3274" t="s">
        <v>94</v>
      </c>
      <c r="H3274" t="s">
        <v>588</v>
      </c>
      <c r="I3274">
        <v>5.6180638409682399E-4</v>
      </c>
      <c r="J3274">
        <v>1.1051709180756477</v>
      </c>
      <c r="N3274" t="s">
        <v>4706</v>
      </c>
      <c r="O3274" t="s">
        <v>2780</v>
      </c>
      <c r="Q3274" t="s">
        <v>979</v>
      </c>
    </row>
    <row r="3275" spans="2:17">
      <c r="B3275" t="s">
        <v>4705</v>
      </c>
      <c r="C3275" t="s">
        <v>787</v>
      </c>
      <c r="D3275">
        <v>8.4874045810333602E-6</v>
      </c>
      <c r="E3275" t="s">
        <v>94</v>
      </c>
      <c r="H3275" t="s">
        <v>588</v>
      </c>
      <c r="I3275">
        <v>8.4874045810333602E-6</v>
      </c>
      <c r="J3275">
        <v>1.1051709180756477</v>
      </c>
      <c r="N3275" t="s">
        <v>4706</v>
      </c>
      <c r="O3275" t="s">
        <v>2780</v>
      </c>
      <c r="Q3275" t="s">
        <v>979</v>
      </c>
    </row>
    <row r="3276" spans="2:17">
      <c r="B3276" t="s">
        <v>4707</v>
      </c>
      <c r="C3276" t="s">
        <v>787</v>
      </c>
      <c r="D3276">
        <v>5.5320554775005E-5</v>
      </c>
      <c r="E3276" t="s">
        <v>94</v>
      </c>
      <c r="H3276" t="s">
        <v>588</v>
      </c>
      <c r="I3276">
        <v>5.5320554775005E-5</v>
      </c>
      <c r="J3276">
        <v>1.2505791921887124</v>
      </c>
      <c r="N3276" t="s">
        <v>4708</v>
      </c>
      <c r="O3276" t="s">
        <v>2969</v>
      </c>
      <c r="Q3276" t="s">
        <v>979</v>
      </c>
    </row>
    <row r="3277" spans="2:17">
      <c r="B3277" t="s">
        <v>4707</v>
      </c>
      <c r="C3277" t="s">
        <v>787</v>
      </c>
      <c r="D3277">
        <v>5.5320386526960597E-5</v>
      </c>
      <c r="E3277" t="s">
        <v>94</v>
      </c>
      <c r="H3277" t="s">
        <v>588</v>
      </c>
      <c r="I3277">
        <v>5.5320386526960597E-5</v>
      </c>
      <c r="J3277">
        <v>1.2505791921887124</v>
      </c>
      <c r="N3277" t="s">
        <v>4708</v>
      </c>
      <c r="O3277" t="s">
        <v>4709</v>
      </c>
      <c r="Q3277" t="s">
        <v>979</v>
      </c>
    </row>
    <row r="3278" spans="2:17">
      <c r="B3278" t="s">
        <v>4710</v>
      </c>
      <c r="C3278" t="s">
        <v>661</v>
      </c>
      <c r="D3278">
        <v>2.06437354374197E-7</v>
      </c>
      <c r="E3278" t="s">
        <v>890</v>
      </c>
      <c r="H3278" t="s">
        <v>588</v>
      </c>
      <c r="I3278">
        <v>2.06437354374197E-7</v>
      </c>
      <c r="J3278">
        <v>1.7293101253499219</v>
      </c>
      <c r="O3278" t="s">
        <v>851</v>
      </c>
      <c r="Q3278" t="s">
        <v>4395</v>
      </c>
    </row>
    <row r="3279" spans="2:17">
      <c r="B3279" t="s">
        <v>4710</v>
      </c>
      <c r="C3279" t="s">
        <v>658</v>
      </c>
      <c r="D3279">
        <v>9.00861348172192E-11</v>
      </c>
      <c r="E3279" t="s">
        <v>890</v>
      </c>
      <c r="H3279" t="s">
        <v>588</v>
      </c>
      <c r="I3279">
        <v>9.00861348172192E-11</v>
      </c>
      <c r="J3279">
        <v>1.2214027581601699</v>
      </c>
      <c r="O3279" t="s">
        <v>956</v>
      </c>
      <c r="Q3279" t="s">
        <v>4400</v>
      </c>
    </row>
    <row r="3280" spans="2:17">
      <c r="B3280" t="s">
        <v>4711</v>
      </c>
      <c r="C3280" t="s">
        <v>744</v>
      </c>
      <c r="D3280">
        <v>5.6533997043894099E-2</v>
      </c>
      <c r="E3280" t="s">
        <v>94</v>
      </c>
      <c r="H3280" t="s">
        <v>588</v>
      </c>
      <c r="I3280">
        <v>5.6533997043894099E-2</v>
      </c>
      <c r="J3280">
        <v>1.0247973619913604</v>
      </c>
      <c r="N3280" t="s">
        <v>4712</v>
      </c>
      <c r="O3280" t="s">
        <v>3956</v>
      </c>
      <c r="Q3280" t="s">
        <v>4713</v>
      </c>
    </row>
    <row r="3281" spans="2:17">
      <c r="B3281" t="s">
        <v>4714</v>
      </c>
      <c r="C3281" t="s">
        <v>887</v>
      </c>
      <c r="D3281">
        <v>6.93542912195484E-12</v>
      </c>
      <c r="E3281" t="s">
        <v>94</v>
      </c>
      <c r="H3281" t="s">
        <v>588</v>
      </c>
      <c r="I3281">
        <v>6.93542912195484E-12</v>
      </c>
      <c r="J3281">
        <v>2.2948383063747997</v>
      </c>
      <c r="O3281" t="s">
        <v>871</v>
      </c>
      <c r="Q3281" t="s">
        <v>4444</v>
      </c>
    </row>
    <row r="3282" spans="2:17">
      <c r="B3282" t="s">
        <v>4714</v>
      </c>
      <c r="C3282" t="s">
        <v>654</v>
      </c>
      <c r="D3282">
        <v>5.6203512104632102E-12</v>
      </c>
      <c r="E3282" t="s">
        <v>94</v>
      </c>
      <c r="H3282" t="s">
        <v>588</v>
      </c>
      <c r="I3282">
        <v>5.6203512104632102E-12</v>
      </c>
      <c r="J3282">
        <v>1.2214027581601699</v>
      </c>
      <c r="O3282" t="s">
        <v>4374</v>
      </c>
      <c r="Q3282" t="s">
        <v>4375</v>
      </c>
    </row>
    <row r="3283" spans="2:17">
      <c r="B3283" t="s">
        <v>4715</v>
      </c>
      <c r="C3283" t="s">
        <v>787</v>
      </c>
      <c r="D3283">
        <v>6.6659802226946201E-4</v>
      </c>
      <c r="E3283" t="s">
        <v>94</v>
      </c>
      <c r="N3283" t="s">
        <v>4716</v>
      </c>
      <c r="Q3283" t="s">
        <v>4717</v>
      </c>
    </row>
    <row r="3284" spans="2:17">
      <c r="B3284" t="s">
        <v>4715</v>
      </c>
      <c r="C3284" t="s">
        <v>787</v>
      </c>
      <c r="D3284">
        <v>4.0504872990713998E-3</v>
      </c>
      <c r="E3284" t="s">
        <v>94</v>
      </c>
      <c r="N3284" t="s">
        <v>4716</v>
      </c>
      <c r="Q3284" t="s">
        <v>4717</v>
      </c>
    </row>
    <row r="3285" spans="2:17">
      <c r="B3285" t="s">
        <v>4715</v>
      </c>
      <c r="C3285" t="s">
        <v>787</v>
      </c>
      <c r="D3285">
        <v>5.5821013990262101E-5</v>
      </c>
      <c r="E3285" t="s">
        <v>94</v>
      </c>
      <c r="N3285" t="s">
        <v>4716</v>
      </c>
      <c r="Q3285" t="s">
        <v>4717</v>
      </c>
    </row>
    <row r="3286" spans="2:17">
      <c r="B3286" t="s">
        <v>1556</v>
      </c>
      <c r="C3286" t="s">
        <v>787</v>
      </c>
      <c r="D3286">
        <v>3.4618417300140902E-4</v>
      </c>
      <c r="E3286" t="s">
        <v>94</v>
      </c>
      <c r="H3286" t="s">
        <v>588</v>
      </c>
      <c r="I3286">
        <v>3.4618417300140902E-4</v>
      </c>
      <c r="J3286">
        <v>1.0247973619913604</v>
      </c>
      <c r="N3286" t="s">
        <v>1557</v>
      </c>
      <c r="O3286" t="s">
        <v>2387</v>
      </c>
      <c r="Q3286" t="s">
        <v>979</v>
      </c>
    </row>
    <row r="3287" spans="2:17">
      <c r="B3287" t="s">
        <v>1556</v>
      </c>
      <c r="C3287" t="s">
        <v>787</v>
      </c>
      <c r="D3287">
        <v>2.2797328135194399E-4</v>
      </c>
      <c r="E3287" t="s">
        <v>94</v>
      </c>
      <c r="H3287" t="s">
        <v>588</v>
      </c>
      <c r="I3287">
        <v>2.2797328135194399E-4</v>
      </c>
      <c r="J3287">
        <v>1.0247973619913604</v>
      </c>
      <c r="N3287" t="s">
        <v>1557</v>
      </c>
      <c r="O3287" t="s">
        <v>2387</v>
      </c>
      <c r="Q3287" t="s">
        <v>979</v>
      </c>
    </row>
    <row r="3288" spans="2:17">
      <c r="B3288" t="s">
        <v>1556</v>
      </c>
      <c r="C3288" t="s">
        <v>787</v>
      </c>
      <c r="D3288">
        <v>5.6706913036114103E-5</v>
      </c>
      <c r="E3288" t="s">
        <v>94</v>
      </c>
      <c r="H3288" t="s">
        <v>588</v>
      </c>
      <c r="I3288">
        <v>5.6706913036114103E-5</v>
      </c>
      <c r="J3288">
        <v>1.0247973619913604</v>
      </c>
      <c r="N3288" t="s">
        <v>1557</v>
      </c>
      <c r="O3288" t="s">
        <v>2387</v>
      </c>
      <c r="Q3288" t="s">
        <v>979</v>
      </c>
    </row>
    <row r="3289" spans="2:17">
      <c r="B3289" t="s">
        <v>983</v>
      </c>
      <c r="C3289" t="s">
        <v>787</v>
      </c>
      <c r="D3289">
        <v>4.3171238893308104E-3</v>
      </c>
      <c r="E3289" t="s">
        <v>94</v>
      </c>
      <c r="H3289" t="s">
        <v>588</v>
      </c>
      <c r="I3289">
        <v>4.3171238893308104E-3</v>
      </c>
      <c r="J3289">
        <v>1.0247973619913604</v>
      </c>
      <c r="N3289" t="s">
        <v>984</v>
      </c>
      <c r="O3289" t="s">
        <v>2387</v>
      </c>
      <c r="Q3289" t="s">
        <v>979</v>
      </c>
    </row>
    <row r="3290" spans="2:17">
      <c r="B3290" t="s">
        <v>983</v>
      </c>
      <c r="C3290" t="s">
        <v>787</v>
      </c>
      <c r="D3290">
        <v>7.4124917734703297E-3</v>
      </c>
      <c r="E3290" t="s">
        <v>94</v>
      </c>
      <c r="H3290" t="s">
        <v>588</v>
      </c>
      <c r="I3290">
        <v>7.4124917734703297E-3</v>
      </c>
      <c r="J3290">
        <v>1.0247973619913604</v>
      </c>
      <c r="N3290" t="s">
        <v>984</v>
      </c>
      <c r="O3290" t="s">
        <v>2387</v>
      </c>
      <c r="Q3290" t="s">
        <v>979</v>
      </c>
    </row>
    <row r="3291" spans="2:17">
      <c r="B3291" t="s">
        <v>983</v>
      </c>
      <c r="C3291" t="s">
        <v>787</v>
      </c>
      <c r="D3291">
        <v>1.6271275121946802E-2</v>
      </c>
      <c r="E3291" t="s">
        <v>94</v>
      </c>
      <c r="H3291" t="s">
        <v>588</v>
      </c>
      <c r="I3291">
        <v>1.6271275121946802E-2</v>
      </c>
      <c r="J3291">
        <v>1.0247973619913604</v>
      </c>
      <c r="N3291" t="s">
        <v>984</v>
      </c>
      <c r="O3291" t="s">
        <v>2387</v>
      </c>
      <c r="Q3291" t="s">
        <v>979</v>
      </c>
    </row>
    <row r="3292" spans="2:17">
      <c r="B3292" t="s">
        <v>4718</v>
      </c>
      <c r="C3292" t="s">
        <v>787</v>
      </c>
      <c r="D3292">
        <v>3.66423044045464E-4</v>
      </c>
      <c r="E3292" t="s">
        <v>94</v>
      </c>
      <c r="N3292" t="s">
        <v>4719</v>
      </c>
      <c r="Q3292" t="s">
        <v>4720</v>
      </c>
    </row>
    <row r="3293" spans="2:17">
      <c r="B3293" t="s">
        <v>4718</v>
      </c>
      <c r="C3293" t="s">
        <v>787</v>
      </c>
      <c r="D3293">
        <v>1.1866681988172199E-3</v>
      </c>
      <c r="E3293" t="s">
        <v>94</v>
      </c>
      <c r="N3293" t="s">
        <v>4719</v>
      </c>
      <c r="Q3293" t="s">
        <v>4720</v>
      </c>
    </row>
    <row r="3294" spans="2:17">
      <c r="B3294" t="s">
        <v>772</v>
      </c>
      <c r="C3294" t="s">
        <v>887</v>
      </c>
      <c r="D3294">
        <v>4.0166641371347298E-7</v>
      </c>
      <c r="E3294" t="s">
        <v>94</v>
      </c>
      <c r="H3294" t="s">
        <v>588</v>
      </c>
      <c r="I3294">
        <v>4.0166641371347298E-7</v>
      </c>
      <c r="J3294">
        <v>3.7099935175465824</v>
      </c>
      <c r="O3294" t="s">
        <v>1157</v>
      </c>
      <c r="Q3294" t="s">
        <v>4380</v>
      </c>
    </row>
    <row r="3295" spans="2:17">
      <c r="B3295" t="s">
        <v>772</v>
      </c>
      <c r="C3295" t="s">
        <v>712</v>
      </c>
      <c r="D3295">
        <v>7.3721354596660099E-9</v>
      </c>
      <c r="E3295" t="s">
        <v>94</v>
      </c>
      <c r="H3295" t="s">
        <v>588</v>
      </c>
      <c r="I3295">
        <v>7.3721354596660099E-9</v>
      </c>
      <c r="J3295">
        <v>1.0247973619913604</v>
      </c>
      <c r="O3295" t="s">
        <v>2422</v>
      </c>
    </row>
    <row r="3296" spans="2:17">
      <c r="B3296" t="s">
        <v>772</v>
      </c>
      <c r="C3296" t="s">
        <v>661</v>
      </c>
      <c r="D3296">
        <v>3.6643250450442199E-9</v>
      </c>
      <c r="E3296" t="s">
        <v>94</v>
      </c>
      <c r="H3296" t="s">
        <v>588</v>
      </c>
      <c r="I3296">
        <v>3.6643250450442199E-9</v>
      </c>
      <c r="J3296">
        <v>2.2394398661220611</v>
      </c>
      <c r="O3296" t="s">
        <v>641</v>
      </c>
      <c r="Q3296" t="s">
        <v>1643</v>
      </c>
    </row>
    <row r="3297" spans="2:17">
      <c r="B3297" t="s">
        <v>772</v>
      </c>
      <c r="C3297" t="s">
        <v>881</v>
      </c>
      <c r="D3297">
        <v>1.56069260864004E-8</v>
      </c>
      <c r="E3297" t="s">
        <v>94</v>
      </c>
      <c r="H3297" t="s">
        <v>588</v>
      </c>
      <c r="I3297">
        <v>1.56069260864004E-8</v>
      </c>
      <c r="J3297">
        <v>1.0247973619913604</v>
      </c>
      <c r="O3297" t="s">
        <v>952</v>
      </c>
    </row>
    <row r="3298" spans="2:17">
      <c r="B3298" t="s">
        <v>772</v>
      </c>
      <c r="C3298" t="s">
        <v>658</v>
      </c>
      <c r="D3298">
        <v>3.4174590319567397E-11</v>
      </c>
      <c r="E3298" t="s">
        <v>94</v>
      </c>
      <c r="H3298" t="s">
        <v>588</v>
      </c>
      <c r="I3298">
        <v>3.4174590319567397E-11</v>
      </c>
      <c r="J3298">
        <v>2.2394398661220611</v>
      </c>
      <c r="O3298" t="s">
        <v>1678</v>
      </c>
      <c r="Q3298" t="s">
        <v>1679</v>
      </c>
    </row>
    <row r="3299" spans="2:17">
      <c r="B3299" t="s">
        <v>772</v>
      </c>
      <c r="C3299" t="s">
        <v>654</v>
      </c>
      <c r="D3299">
        <v>3.7672650133936299E-9</v>
      </c>
      <c r="E3299" t="s">
        <v>94</v>
      </c>
      <c r="H3299" t="s">
        <v>588</v>
      </c>
      <c r="I3299">
        <v>3.7672650133936299E-9</v>
      </c>
      <c r="J3299">
        <v>2.2394398661220611</v>
      </c>
      <c r="O3299" t="s">
        <v>641</v>
      </c>
      <c r="Q3299" t="s">
        <v>1643</v>
      </c>
    </row>
    <row r="3300" spans="2:17">
      <c r="B3300" t="s">
        <v>4721</v>
      </c>
      <c r="C3300" t="s">
        <v>787</v>
      </c>
      <c r="D3300">
        <v>7.5160367884598505E-9</v>
      </c>
      <c r="E3300" t="s">
        <v>640</v>
      </c>
      <c r="H3300" t="s">
        <v>588</v>
      </c>
      <c r="I3300">
        <v>7.5160367884598505E-9</v>
      </c>
      <c r="J3300">
        <v>1.0247973619913604</v>
      </c>
      <c r="N3300" t="s">
        <v>4722</v>
      </c>
      <c r="O3300" t="s">
        <v>2192</v>
      </c>
      <c r="Q3300" t="s">
        <v>4610</v>
      </c>
    </row>
    <row r="3301" spans="2:17">
      <c r="B3301" t="s">
        <v>4723</v>
      </c>
      <c r="C3301" t="s">
        <v>661</v>
      </c>
      <c r="D3301">
        <v>4.3755929814662899E-13</v>
      </c>
      <c r="E3301" t="s">
        <v>94</v>
      </c>
      <c r="H3301" t="s">
        <v>588</v>
      </c>
      <c r="I3301">
        <v>4.3755929814662899E-13</v>
      </c>
      <c r="J3301">
        <v>2.1250254709396241</v>
      </c>
      <c r="O3301" t="s">
        <v>1157</v>
      </c>
      <c r="Q3301" t="s">
        <v>4420</v>
      </c>
    </row>
    <row r="3302" spans="2:17">
      <c r="B3302" t="s">
        <v>4723</v>
      </c>
      <c r="C3302" t="s">
        <v>654</v>
      </c>
      <c r="D3302">
        <v>6.9518654075990504E-7</v>
      </c>
      <c r="E3302" t="s">
        <v>94</v>
      </c>
      <c r="H3302" t="s">
        <v>588</v>
      </c>
      <c r="I3302">
        <v>6.9518654075990504E-7</v>
      </c>
      <c r="J3302">
        <v>1.2214027581601699</v>
      </c>
      <c r="O3302" t="s">
        <v>4374</v>
      </c>
      <c r="Q3302" t="s">
        <v>4375</v>
      </c>
    </row>
    <row r="3303" spans="2:17">
      <c r="B3303" t="s">
        <v>4723</v>
      </c>
      <c r="C3303" t="s">
        <v>887</v>
      </c>
      <c r="D3303">
        <v>1.0740367626492399E-6</v>
      </c>
      <c r="E3303" t="s">
        <v>94</v>
      </c>
      <c r="H3303" t="s">
        <v>588</v>
      </c>
      <c r="I3303">
        <v>1.0740367626492399E-6</v>
      </c>
      <c r="J3303">
        <v>1.6700031395316093</v>
      </c>
      <c r="O3303" t="s">
        <v>1157</v>
      </c>
      <c r="Q3303" t="s">
        <v>4380</v>
      </c>
    </row>
    <row r="3304" spans="2:17">
      <c r="B3304" t="s">
        <v>4723</v>
      </c>
      <c r="C3304" t="s">
        <v>883</v>
      </c>
      <c r="D3304">
        <v>1.19559682313902E-8</v>
      </c>
      <c r="E3304" t="s">
        <v>94</v>
      </c>
      <c r="H3304" t="s">
        <v>588</v>
      </c>
      <c r="I3304">
        <v>1.19559682313902E-8</v>
      </c>
      <c r="J3304">
        <v>3.2097414186806645</v>
      </c>
      <c r="O3304" t="s">
        <v>3149</v>
      </c>
      <c r="Q3304" t="s">
        <v>4381</v>
      </c>
    </row>
    <row r="3305" spans="2:17">
      <c r="B3305" t="s">
        <v>830</v>
      </c>
      <c r="C3305" t="s">
        <v>887</v>
      </c>
      <c r="D3305">
        <v>4.4234071653963499E-12</v>
      </c>
      <c r="E3305" t="s">
        <v>94</v>
      </c>
      <c r="Q3305" t="s">
        <v>1776</v>
      </c>
    </row>
    <row r="3306" spans="2:17">
      <c r="B3306" t="s">
        <v>4724</v>
      </c>
      <c r="C3306" t="s">
        <v>712</v>
      </c>
      <c r="D3306">
        <v>4.5981795120795202E-11</v>
      </c>
      <c r="E3306" t="s">
        <v>94</v>
      </c>
      <c r="H3306" t="s">
        <v>588</v>
      </c>
      <c r="I3306">
        <v>4.5981795120795202E-11</v>
      </c>
      <c r="J3306">
        <v>2.2394398661220611</v>
      </c>
      <c r="O3306" t="s">
        <v>3040</v>
      </c>
      <c r="Q3306" t="s">
        <v>4393</v>
      </c>
    </row>
    <row r="3307" spans="2:17">
      <c r="B3307" t="s">
        <v>4725</v>
      </c>
      <c r="C3307" t="s">
        <v>661</v>
      </c>
      <c r="D3307">
        <v>3.0252068879468299E-4</v>
      </c>
      <c r="E3307" t="s">
        <v>890</v>
      </c>
      <c r="H3307" t="s">
        <v>588</v>
      </c>
      <c r="I3307">
        <v>3.0252068879468299E-4</v>
      </c>
      <c r="J3307">
        <v>1.7293101253499219</v>
      </c>
      <c r="O3307" t="s">
        <v>851</v>
      </c>
      <c r="Q3307" t="s">
        <v>4395</v>
      </c>
    </row>
    <row r="3308" spans="2:17">
      <c r="B3308" t="s">
        <v>4725</v>
      </c>
      <c r="C3308" t="s">
        <v>658</v>
      </c>
      <c r="D3308">
        <v>2.1987536990727599E-9</v>
      </c>
      <c r="E3308" t="s">
        <v>890</v>
      </c>
      <c r="H3308" t="s">
        <v>588</v>
      </c>
      <c r="I3308">
        <v>2.1987536990727599E-9</v>
      </c>
      <c r="J3308">
        <v>1.7293101253499219</v>
      </c>
      <c r="O3308" t="s">
        <v>851</v>
      </c>
      <c r="Q3308" t="s">
        <v>4395</v>
      </c>
    </row>
    <row r="3309" spans="2:17">
      <c r="B3309" t="s">
        <v>4726</v>
      </c>
      <c r="C3309" t="s">
        <v>787</v>
      </c>
      <c r="D3309">
        <v>8.6287016612125096E-6</v>
      </c>
      <c r="E3309" t="s">
        <v>94</v>
      </c>
      <c r="H3309" t="s">
        <v>588</v>
      </c>
      <c r="I3309">
        <v>8.6287016612125096E-6</v>
      </c>
      <c r="J3309">
        <v>1.0247973619913604</v>
      </c>
      <c r="N3309" t="s">
        <v>4727</v>
      </c>
      <c r="O3309" t="s">
        <v>2004</v>
      </c>
      <c r="Q3309" t="s">
        <v>2005</v>
      </c>
    </row>
    <row r="3310" spans="2:17">
      <c r="B3310" t="s">
        <v>4726</v>
      </c>
      <c r="C3310" t="s">
        <v>787</v>
      </c>
      <c r="D3310">
        <v>4.8051222827245698E-4</v>
      </c>
      <c r="E3310" t="s">
        <v>94</v>
      </c>
      <c r="H3310" t="s">
        <v>588</v>
      </c>
      <c r="I3310">
        <v>4.8051222827245698E-4</v>
      </c>
      <c r="J3310">
        <v>1.0247973619913604</v>
      </c>
      <c r="N3310" t="s">
        <v>4727</v>
      </c>
      <c r="O3310" t="s">
        <v>2006</v>
      </c>
      <c r="Q3310" t="s">
        <v>1679</v>
      </c>
    </row>
    <row r="3311" spans="2:17">
      <c r="B3311" t="s">
        <v>4726</v>
      </c>
      <c r="C3311" t="s">
        <v>787</v>
      </c>
      <c r="D3311">
        <v>9.56173464931472E-8</v>
      </c>
      <c r="E3311" t="s">
        <v>94</v>
      </c>
      <c r="H3311" t="s">
        <v>588</v>
      </c>
      <c r="I3311">
        <v>9.56173464931472E-8</v>
      </c>
      <c r="J3311">
        <v>1.0247973619913604</v>
      </c>
      <c r="N3311" t="s">
        <v>4727</v>
      </c>
      <c r="O3311" t="s">
        <v>2004</v>
      </c>
      <c r="Q3311" t="s">
        <v>2005</v>
      </c>
    </row>
    <row r="3312" spans="2:17">
      <c r="B3312" t="s">
        <v>4728</v>
      </c>
      <c r="C3312" t="s">
        <v>744</v>
      </c>
      <c r="D3312">
        <v>1.9650733603016998E-3</v>
      </c>
      <c r="E3312" t="s">
        <v>94</v>
      </c>
      <c r="H3312" t="s">
        <v>588</v>
      </c>
      <c r="I3312">
        <v>1.9650733603016998E-3</v>
      </c>
      <c r="J3312">
        <v>1.1051709180756477</v>
      </c>
      <c r="N3312" t="s">
        <v>4729</v>
      </c>
      <c r="O3312" t="s">
        <v>4388</v>
      </c>
      <c r="Q3312" t="s">
        <v>979</v>
      </c>
    </row>
    <row r="3313" spans="2:17">
      <c r="B3313" t="s">
        <v>4730</v>
      </c>
      <c r="C3313" t="s">
        <v>4389</v>
      </c>
      <c r="D3313">
        <v>2.0100327850910902E-12</v>
      </c>
      <c r="E3313" t="s">
        <v>94</v>
      </c>
      <c r="H3313" t="s">
        <v>588</v>
      </c>
      <c r="I3313">
        <v>2.0100327850910902E-12</v>
      </c>
      <c r="J3313">
        <v>1.2214027581601699</v>
      </c>
      <c r="O3313" t="s">
        <v>641</v>
      </c>
      <c r="Q3313" t="s">
        <v>1643</v>
      </c>
    </row>
    <row r="3314" spans="2:17">
      <c r="B3314" t="s">
        <v>4730</v>
      </c>
      <c r="C3314" t="s">
        <v>654</v>
      </c>
      <c r="D3314">
        <v>2.4186738089581798E-7</v>
      </c>
      <c r="E3314" t="s">
        <v>94</v>
      </c>
      <c r="H3314" t="s">
        <v>588</v>
      </c>
      <c r="I3314">
        <v>2.4186738089581798E-7</v>
      </c>
      <c r="J3314">
        <v>1.5639483159353722</v>
      </c>
      <c r="O3314" t="s">
        <v>1798</v>
      </c>
      <c r="Q3314" t="s">
        <v>4428</v>
      </c>
    </row>
    <row r="3315" spans="2:17">
      <c r="B3315" t="s">
        <v>4730</v>
      </c>
      <c r="C3315" t="s">
        <v>658</v>
      </c>
      <c r="D3315">
        <v>1.05439319936133E-8</v>
      </c>
      <c r="E3315" t="s">
        <v>94</v>
      </c>
      <c r="H3315" t="s">
        <v>588</v>
      </c>
      <c r="I3315">
        <v>1.05439319936133E-8</v>
      </c>
      <c r="J3315">
        <v>1.2214027581601699</v>
      </c>
      <c r="O3315" t="s">
        <v>871</v>
      </c>
      <c r="Q3315" t="s">
        <v>1679</v>
      </c>
    </row>
    <row r="3316" spans="2:17">
      <c r="B3316" t="s">
        <v>4730</v>
      </c>
      <c r="C3316" t="s">
        <v>887</v>
      </c>
      <c r="D3316">
        <v>2.0579654293459599E-5</v>
      </c>
      <c r="E3316" t="s">
        <v>94</v>
      </c>
      <c r="H3316" t="s">
        <v>588</v>
      </c>
      <c r="I3316">
        <v>2.0579654293459599E-5</v>
      </c>
      <c r="J3316">
        <v>1.9900010395875201</v>
      </c>
      <c r="O3316" t="s">
        <v>1157</v>
      </c>
      <c r="Q3316" t="s">
        <v>4380</v>
      </c>
    </row>
    <row r="3317" spans="2:17">
      <c r="B3317" t="s">
        <v>4730</v>
      </c>
      <c r="C3317" t="s">
        <v>712</v>
      </c>
      <c r="D3317">
        <v>3.2575502249085503E-8</v>
      </c>
      <c r="E3317" t="s">
        <v>94</v>
      </c>
      <c r="H3317" t="s">
        <v>588</v>
      </c>
      <c r="I3317">
        <v>3.2575502249085503E-8</v>
      </c>
      <c r="J3317">
        <v>1.2214027581601699</v>
      </c>
      <c r="O3317" t="s">
        <v>2485</v>
      </c>
      <c r="Q3317" t="s">
        <v>4731</v>
      </c>
    </row>
    <row r="3318" spans="2:17">
      <c r="B3318" t="s">
        <v>4732</v>
      </c>
      <c r="C3318" t="s">
        <v>887</v>
      </c>
      <c r="D3318">
        <v>7.0816951849400496E-8</v>
      </c>
      <c r="E3318" t="s">
        <v>94</v>
      </c>
      <c r="H3318" t="s">
        <v>588</v>
      </c>
      <c r="I3318">
        <v>7.0816951849400496E-8</v>
      </c>
      <c r="J3318">
        <v>1.2775561233185384</v>
      </c>
      <c r="O3318" t="s">
        <v>1628</v>
      </c>
      <c r="Q3318" t="s">
        <v>4733</v>
      </c>
    </row>
    <row r="3319" spans="2:17">
      <c r="B3319" t="s">
        <v>4734</v>
      </c>
      <c r="C3319" t="s">
        <v>887</v>
      </c>
      <c r="D3319">
        <v>1.7263706610256999E-6</v>
      </c>
      <c r="E3319" t="s">
        <v>94</v>
      </c>
      <c r="H3319" t="s">
        <v>588</v>
      </c>
      <c r="I3319">
        <v>1.7263706610256999E-6</v>
      </c>
      <c r="J3319">
        <v>1.2775561233185384</v>
      </c>
      <c r="O3319" t="s">
        <v>2420</v>
      </c>
      <c r="Q3319" t="s">
        <v>4735</v>
      </c>
    </row>
    <row r="3320" spans="2:17">
      <c r="B3320" t="s">
        <v>506</v>
      </c>
      <c r="C3320" t="s">
        <v>887</v>
      </c>
      <c r="D3320">
        <v>7.4088128552442706E-8</v>
      </c>
      <c r="E3320" t="s">
        <v>94</v>
      </c>
      <c r="H3320" t="s">
        <v>588</v>
      </c>
      <c r="I3320">
        <v>7.4088128552442706E-8</v>
      </c>
      <c r="J3320">
        <v>1.4341253160944203</v>
      </c>
      <c r="O3320" t="s">
        <v>798</v>
      </c>
      <c r="Q3320" t="s">
        <v>2143</v>
      </c>
    </row>
    <row r="3321" spans="2:17">
      <c r="B3321" t="s">
        <v>773</v>
      </c>
      <c r="C3321" t="s">
        <v>661</v>
      </c>
      <c r="D3321">
        <v>2.9882370342092499E-3</v>
      </c>
      <c r="E3321" t="s">
        <v>94</v>
      </c>
      <c r="H3321" t="s">
        <v>588</v>
      </c>
      <c r="I3321">
        <v>2.9882370342092499E-3</v>
      </c>
      <c r="J3321">
        <v>1.2214027581601699</v>
      </c>
      <c r="O3321" t="s">
        <v>641</v>
      </c>
      <c r="Q3321" t="s">
        <v>1643</v>
      </c>
    </row>
    <row r="3322" spans="2:17">
      <c r="B3322" t="s">
        <v>773</v>
      </c>
      <c r="C3322" t="s">
        <v>883</v>
      </c>
      <c r="D3322">
        <v>0.247129173744811</v>
      </c>
      <c r="E3322" t="s">
        <v>94</v>
      </c>
      <c r="H3322" t="s">
        <v>588</v>
      </c>
      <c r="I3322">
        <v>0.247129173744811</v>
      </c>
      <c r="J3322">
        <v>1.2214027581601699</v>
      </c>
      <c r="O3322" t="s">
        <v>4446</v>
      </c>
      <c r="Q3322" t="s">
        <v>4447</v>
      </c>
    </row>
    <row r="3323" spans="2:17">
      <c r="B3323" t="s">
        <v>773</v>
      </c>
      <c r="C3323" t="s">
        <v>712</v>
      </c>
      <c r="D3323">
        <v>1.32630177686691E-4</v>
      </c>
      <c r="E3323" t="s">
        <v>94</v>
      </c>
      <c r="H3323" t="s">
        <v>588</v>
      </c>
      <c r="I3323">
        <v>1.32630177686691E-4</v>
      </c>
      <c r="J3323">
        <v>2.2394398661220611</v>
      </c>
      <c r="O3323" t="s">
        <v>1054</v>
      </c>
    </row>
    <row r="3324" spans="2:17">
      <c r="B3324" t="s">
        <v>4736</v>
      </c>
      <c r="C3324" t="s">
        <v>661</v>
      </c>
      <c r="D3324">
        <v>7.3024523683023704E-6</v>
      </c>
      <c r="E3324" t="s">
        <v>890</v>
      </c>
      <c r="H3324" t="s">
        <v>588</v>
      </c>
      <c r="I3324">
        <v>7.3024523683023704E-6</v>
      </c>
      <c r="J3324">
        <v>1.7293101253499219</v>
      </c>
      <c r="O3324" t="s">
        <v>851</v>
      </c>
      <c r="Q3324" t="s">
        <v>4395</v>
      </c>
    </row>
    <row r="3325" spans="2:17">
      <c r="B3325" t="s">
        <v>831</v>
      </c>
      <c r="C3325" t="s">
        <v>883</v>
      </c>
      <c r="D3325">
        <v>1.4410994053517401E-6</v>
      </c>
      <c r="E3325" t="s">
        <v>94</v>
      </c>
      <c r="Q3325" t="s">
        <v>4737</v>
      </c>
    </row>
    <row r="3326" spans="2:17">
      <c r="B3326" t="s">
        <v>831</v>
      </c>
      <c r="C3326" t="s">
        <v>661</v>
      </c>
      <c r="D3326">
        <v>1.2395235886252999E-3</v>
      </c>
      <c r="E3326" t="s">
        <v>94</v>
      </c>
      <c r="H3326" t="s">
        <v>588</v>
      </c>
      <c r="I3326">
        <v>1.2395235886252999E-3</v>
      </c>
      <c r="J3326">
        <v>1.2505791921887124</v>
      </c>
      <c r="O3326" t="s">
        <v>855</v>
      </c>
    </row>
    <row r="3327" spans="2:17">
      <c r="B3327" t="s">
        <v>4738</v>
      </c>
      <c r="C3327" t="s">
        <v>787</v>
      </c>
      <c r="D3327">
        <v>1.25428809410074E-6</v>
      </c>
      <c r="E3327" t="s">
        <v>94</v>
      </c>
      <c r="H3327" t="s">
        <v>588</v>
      </c>
      <c r="I3327">
        <v>1.25428809410074E-6</v>
      </c>
      <c r="J3327">
        <v>1.4139824580805163</v>
      </c>
      <c r="N3327" t="s">
        <v>4739</v>
      </c>
      <c r="O3327" t="s">
        <v>1082</v>
      </c>
      <c r="Q3327" t="s">
        <v>4740</v>
      </c>
    </row>
    <row r="3328" spans="2:17">
      <c r="B3328" t="s">
        <v>4738</v>
      </c>
      <c r="C3328" t="s">
        <v>787</v>
      </c>
      <c r="D3328">
        <v>1.04967065387618E-6</v>
      </c>
      <c r="E3328" t="s">
        <v>94</v>
      </c>
      <c r="H3328" t="s">
        <v>588</v>
      </c>
      <c r="I3328">
        <v>1.04967065387618E-6</v>
      </c>
      <c r="J3328">
        <v>1.4139824580805163</v>
      </c>
      <c r="N3328" t="s">
        <v>4739</v>
      </c>
      <c r="O3328" t="s">
        <v>798</v>
      </c>
      <c r="Q3328" t="s">
        <v>979</v>
      </c>
    </row>
    <row r="3329" spans="2:17">
      <c r="B3329" t="s">
        <v>4741</v>
      </c>
      <c r="C3329" t="s">
        <v>744</v>
      </c>
      <c r="D3329">
        <v>2.4492687096032699E-6</v>
      </c>
      <c r="E3329" t="s">
        <v>94</v>
      </c>
      <c r="H3329" t="s">
        <v>588</v>
      </c>
      <c r="I3329">
        <v>2.4492687096032699E-6</v>
      </c>
      <c r="J3329">
        <v>1.0247973619913604</v>
      </c>
      <c r="N3329" t="s">
        <v>4742</v>
      </c>
      <c r="O3329" t="s">
        <v>3595</v>
      </c>
      <c r="Q3329" t="s">
        <v>1679</v>
      </c>
    </row>
    <row r="3330" spans="2:17">
      <c r="B3330" t="s">
        <v>4743</v>
      </c>
      <c r="C3330" t="s">
        <v>744</v>
      </c>
      <c r="D3330">
        <v>6.9056284790261802E-6</v>
      </c>
      <c r="E3330" t="s">
        <v>94</v>
      </c>
      <c r="H3330" t="s">
        <v>588</v>
      </c>
      <c r="I3330">
        <v>6.9056284790261802E-6</v>
      </c>
      <c r="J3330">
        <v>1.0247973619913604</v>
      </c>
      <c r="N3330" t="s">
        <v>4744</v>
      </c>
      <c r="O3330" t="s">
        <v>1779</v>
      </c>
      <c r="Q3330" t="s">
        <v>4745</v>
      </c>
    </row>
    <row r="3331" spans="2:17">
      <c r="B3331" t="s">
        <v>1560</v>
      </c>
      <c r="C3331" t="s">
        <v>744</v>
      </c>
      <c r="D3331">
        <v>1.29272275244705E-3</v>
      </c>
      <c r="E3331" t="s">
        <v>94</v>
      </c>
      <c r="H3331" t="s">
        <v>588</v>
      </c>
      <c r="I3331">
        <v>1.29272275244705E-3</v>
      </c>
      <c r="J3331">
        <v>1.0247973619913604</v>
      </c>
      <c r="N3331" t="s">
        <v>1561</v>
      </c>
      <c r="O3331" t="s">
        <v>1745</v>
      </c>
      <c r="Q3331" t="s">
        <v>4746</v>
      </c>
    </row>
    <row r="3332" spans="2:17">
      <c r="B3332" t="s">
        <v>1560</v>
      </c>
      <c r="C3332" t="s">
        <v>744</v>
      </c>
      <c r="D3332">
        <v>7.3001004885892997E-7</v>
      </c>
      <c r="E3332" t="s">
        <v>94</v>
      </c>
      <c r="H3332" t="s">
        <v>588</v>
      </c>
      <c r="I3332">
        <v>7.3001004885892997E-7</v>
      </c>
      <c r="J3332">
        <v>1.0247973619913604</v>
      </c>
      <c r="N3332" t="s">
        <v>1561</v>
      </c>
      <c r="O3332" t="s">
        <v>1745</v>
      </c>
      <c r="Q3332" t="s">
        <v>4746</v>
      </c>
    </row>
    <row r="3333" spans="2:17">
      <c r="B3333" t="s">
        <v>1560</v>
      </c>
      <c r="C3333" t="s">
        <v>744</v>
      </c>
      <c r="D3333">
        <v>2.4666587322209402E-5</v>
      </c>
      <c r="E3333" t="s">
        <v>94</v>
      </c>
      <c r="H3333" t="s">
        <v>588</v>
      </c>
      <c r="I3333">
        <v>2.4666587322209402E-5</v>
      </c>
      <c r="J3333">
        <v>1.0247973619913604</v>
      </c>
      <c r="N3333" t="s">
        <v>1561</v>
      </c>
      <c r="O3333" t="s">
        <v>1745</v>
      </c>
      <c r="Q3333" t="s">
        <v>4746</v>
      </c>
    </row>
    <row r="3334" spans="2:17">
      <c r="B3334" t="s">
        <v>4747</v>
      </c>
      <c r="C3334" t="s">
        <v>744</v>
      </c>
      <c r="D3334">
        <v>2.8168460946800598E-3</v>
      </c>
      <c r="E3334" t="s">
        <v>94</v>
      </c>
      <c r="N3334" t="s">
        <v>4748</v>
      </c>
      <c r="Q3334" t="s">
        <v>1776</v>
      </c>
    </row>
    <row r="3335" spans="2:17">
      <c r="B3335" t="s">
        <v>4749</v>
      </c>
      <c r="C3335" t="s">
        <v>787</v>
      </c>
      <c r="D3335">
        <v>2.16918643909475E-4</v>
      </c>
      <c r="E3335" t="s">
        <v>94</v>
      </c>
      <c r="N3335" t="s">
        <v>4750</v>
      </c>
      <c r="Q3335" t="s">
        <v>4751</v>
      </c>
    </row>
    <row r="3336" spans="2:17">
      <c r="B3336" t="s">
        <v>4752</v>
      </c>
      <c r="C3336" t="s">
        <v>883</v>
      </c>
      <c r="D3336">
        <v>3.0048120581138102E-4</v>
      </c>
      <c r="E3336" t="s">
        <v>94</v>
      </c>
      <c r="H3336" t="s">
        <v>588</v>
      </c>
      <c r="I3336">
        <v>3.0048120581138102E-4</v>
      </c>
      <c r="J3336">
        <v>1.2214027581601699</v>
      </c>
      <c r="O3336" t="s">
        <v>4446</v>
      </c>
      <c r="Q3336" t="s">
        <v>4447</v>
      </c>
    </row>
    <row r="3337" spans="2:17">
      <c r="B3337" t="s">
        <v>4752</v>
      </c>
      <c r="C3337" t="s">
        <v>887</v>
      </c>
      <c r="D3337">
        <v>2.1603331809177501E-9</v>
      </c>
      <c r="E3337" t="s">
        <v>94</v>
      </c>
      <c r="H3337" t="s">
        <v>588</v>
      </c>
      <c r="I3337">
        <v>2.1603331809177501E-9</v>
      </c>
      <c r="J3337">
        <v>2.2948383063747997</v>
      </c>
      <c r="O3337" t="s">
        <v>871</v>
      </c>
      <c r="Q3337" t="s">
        <v>4444</v>
      </c>
    </row>
    <row r="3338" spans="2:17">
      <c r="B3338" t="s">
        <v>4752</v>
      </c>
      <c r="C3338" t="s">
        <v>654</v>
      </c>
      <c r="D3338">
        <v>1.78505156342098E-9</v>
      </c>
      <c r="E3338" t="s">
        <v>94</v>
      </c>
      <c r="H3338" t="s">
        <v>588</v>
      </c>
      <c r="I3338">
        <v>1.78505156342098E-9</v>
      </c>
      <c r="J3338">
        <v>1.2214027581601699</v>
      </c>
      <c r="O3338" t="s">
        <v>4374</v>
      </c>
      <c r="Q3338" t="s">
        <v>4375</v>
      </c>
    </row>
    <row r="3339" spans="2:17">
      <c r="B3339" t="s">
        <v>4752</v>
      </c>
      <c r="C3339" t="s">
        <v>661</v>
      </c>
      <c r="D3339">
        <v>4.0082716721111898E-11</v>
      </c>
      <c r="E3339" t="s">
        <v>94</v>
      </c>
      <c r="Q3339" t="s">
        <v>1776</v>
      </c>
    </row>
    <row r="3340" spans="2:17">
      <c r="B3340" t="s">
        <v>4753</v>
      </c>
      <c r="C3340" t="s">
        <v>661</v>
      </c>
      <c r="D3340">
        <v>8.5174298320872797E-6</v>
      </c>
      <c r="E3340" t="s">
        <v>890</v>
      </c>
      <c r="H3340" t="s">
        <v>588</v>
      </c>
      <c r="I3340">
        <v>8.5174298320872797E-6</v>
      </c>
      <c r="J3340">
        <v>1.7293101253499219</v>
      </c>
      <c r="O3340" t="s">
        <v>851</v>
      </c>
      <c r="Q3340" t="s">
        <v>4395</v>
      </c>
    </row>
    <row r="3341" spans="2:17">
      <c r="B3341" t="s">
        <v>4754</v>
      </c>
      <c r="C3341" t="s">
        <v>661</v>
      </c>
      <c r="D3341">
        <v>1.37843443645783E-2</v>
      </c>
      <c r="E3341" t="s">
        <v>890</v>
      </c>
      <c r="H3341" t="s">
        <v>588</v>
      </c>
      <c r="I3341">
        <v>1.37843443645783E-2</v>
      </c>
      <c r="J3341">
        <v>1.7293101253499219</v>
      </c>
      <c r="O3341" t="s">
        <v>851</v>
      </c>
      <c r="Q3341" t="s">
        <v>4395</v>
      </c>
    </row>
    <row r="3342" spans="2:17">
      <c r="B3342" t="s">
        <v>832</v>
      </c>
      <c r="C3342" t="s">
        <v>887</v>
      </c>
      <c r="D3342">
        <v>2.1946347300573201E-7</v>
      </c>
      <c r="E3342" t="s">
        <v>94</v>
      </c>
      <c r="Q3342" t="s">
        <v>1776</v>
      </c>
    </row>
    <row r="3343" spans="2:17">
      <c r="B3343" t="s">
        <v>774</v>
      </c>
      <c r="C3343" t="s">
        <v>883</v>
      </c>
      <c r="D3343">
        <v>6.3004058158488904E-2</v>
      </c>
      <c r="E3343" t="s">
        <v>94</v>
      </c>
      <c r="H3343" t="s">
        <v>588</v>
      </c>
      <c r="I3343">
        <v>6.3004058158488904E-2</v>
      </c>
      <c r="J3343">
        <v>1.2214027581601699</v>
      </c>
      <c r="O3343" t="s">
        <v>4446</v>
      </c>
      <c r="Q3343" t="s">
        <v>4447</v>
      </c>
    </row>
    <row r="3344" spans="2:17">
      <c r="B3344" t="s">
        <v>774</v>
      </c>
      <c r="C3344" t="s">
        <v>654</v>
      </c>
      <c r="D3344">
        <v>2.0518147890269901E-9</v>
      </c>
      <c r="E3344" t="s">
        <v>94</v>
      </c>
      <c r="H3344" t="s">
        <v>588</v>
      </c>
      <c r="I3344">
        <v>2.0518147890269901E-9</v>
      </c>
      <c r="J3344">
        <v>1.1891099436471448</v>
      </c>
      <c r="O3344" t="s">
        <v>1082</v>
      </c>
      <c r="Q3344" t="s">
        <v>2961</v>
      </c>
    </row>
    <row r="3345" spans="2:17">
      <c r="B3345" t="s">
        <v>774</v>
      </c>
      <c r="C3345" t="s">
        <v>661</v>
      </c>
      <c r="D3345">
        <v>5.1546118246656803E-3</v>
      </c>
      <c r="E3345" t="s">
        <v>94</v>
      </c>
      <c r="H3345" t="s">
        <v>588</v>
      </c>
      <c r="I3345">
        <v>5.1546118246656803E-3</v>
      </c>
      <c r="J3345">
        <v>1.2214027581601699</v>
      </c>
      <c r="O3345" t="s">
        <v>641</v>
      </c>
      <c r="Q3345" t="s">
        <v>1643</v>
      </c>
    </row>
    <row r="3346" spans="2:17">
      <c r="B3346" t="s">
        <v>774</v>
      </c>
      <c r="C3346" t="s">
        <v>4401</v>
      </c>
      <c r="D3346">
        <v>3.4228408488119001E-11</v>
      </c>
      <c r="E3346" t="s">
        <v>94</v>
      </c>
      <c r="H3346" t="s">
        <v>588</v>
      </c>
      <c r="I3346">
        <v>3.4228408488119001E-11</v>
      </c>
      <c r="J3346">
        <v>1.2214027581601699</v>
      </c>
      <c r="O3346" t="s">
        <v>641</v>
      </c>
      <c r="Q3346" t="s">
        <v>1643</v>
      </c>
    </row>
    <row r="3347" spans="2:17">
      <c r="B3347" t="s">
        <v>774</v>
      </c>
      <c r="C3347" t="s">
        <v>712</v>
      </c>
      <c r="D3347">
        <v>3.4630504167847598E-4</v>
      </c>
      <c r="E3347" t="s">
        <v>94</v>
      </c>
      <c r="H3347" t="s">
        <v>588</v>
      </c>
      <c r="I3347">
        <v>3.4630504167847598E-4</v>
      </c>
      <c r="J3347">
        <v>1.2214027581601699</v>
      </c>
      <c r="O3347" t="s">
        <v>2192</v>
      </c>
      <c r="Q3347" t="s">
        <v>4486</v>
      </c>
    </row>
    <row r="3348" spans="2:17">
      <c r="B3348" t="s">
        <v>774</v>
      </c>
      <c r="C3348" t="s">
        <v>887</v>
      </c>
      <c r="D3348">
        <v>1.00720885654998E-4</v>
      </c>
      <c r="E3348" t="s">
        <v>94</v>
      </c>
      <c r="Q3348" t="s">
        <v>1776</v>
      </c>
    </row>
    <row r="3349" spans="2:17">
      <c r="B3349" t="s">
        <v>775</v>
      </c>
      <c r="C3349" t="s">
        <v>881</v>
      </c>
      <c r="D3349">
        <v>1.0919756865900301E-7</v>
      </c>
      <c r="E3349" t="s">
        <v>94</v>
      </c>
      <c r="H3349" t="s">
        <v>588</v>
      </c>
      <c r="I3349">
        <v>1.0919756865900301E-7</v>
      </c>
      <c r="J3349">
        <v>1.0247973619913604</v>
      </c>
      <c r="O3349" t="s">
        <v>952</v>
      </c>
    </row>
    <row r="3350" spans="2:17">
      <c r="B3350" t="s">
        <v>775</v>
      </c>
      <c r="C3350" t="s">
        <v>661</v>
      </c>
      <c r="D3350">
        <v>3.0636755140228799E-6</v>
      </c>
      <c r="E3350" t="s">
        <v>94</v>
      </c>
      <c r="H3350" t="s">
        <v>588</v>
      </c>
      <c r="I3350">
        <v>3.0636755140228799E-6</v>
      </c>
      <c r="J3350">
        <v>1.6651279234122232</v>
      </c>
      <c r="O3350" t="s">
        <v>1649</v>
      </c>
      <c r="Q3350" t="s">
        <v>4432</v>
      </c>
    </row>
    <row r="3351" spans="2:17">
      <c r="B3351" t="s">
        <v>775</v>
      </c>
      <c r="C3351" t="s">
        <v>712</v>
      </c>
      <c r="D3351">
        <v>1.4591622071331801E-8</v>
      </c>
      <c r="E3351" t="s">
        <v>94</v>
      </c>
      <c r="H3351" t="s">
        <v>588</v>
      </c>
      <c r="I3351">
        <v>1.4591622071331801E-8</v>
      </c>
      <c r="J3351">
        <v>1.0247973619913604</v>
      </c>
      <c r="O3351" t="s">
        <v>2028</v>
      </c>
    </row>
    <row r="3352" spans="2:17">
      <c r="B3352" t="s">
        <v>4755</v>
      </c>
      <c r="C3352" t="s">
        <v>744</v>
      </c>
      <c r="D3352">
        <v>8.6164202942783704E-4</v>
      </c>
      <c r="E3352" t="s">
        <v>94</v>
      </c>
      <c r="H3352" t="s">
        <v>588</v>
      </c>
      <c r="I3352">
        <v>8.6164202942783704E-4</v>
      </c>
      <c r="J3352">
        <v>1.0247973619913604</v>
      </c>
      <c r="N3352" t="s">
        <v>4756</v>
      </c>
      <c r="O3352" t="s">
        <v>641</v>
      </c>
      <c r="Q3352" t="s">
        <v>1643</v>
      </c>
    </row>
    <row r="3353" spans="2:17">
      <c r="B3353" t="s">
        <v>4755</v>
      </c>
      <c r="C3353" t="s">
        <v>744</v>
      </c>
      <c r="D3353">
        <v>4.79725021789553E-3</v>
      </c>
      <c r="E3353" t="s">
        <v>94</v>
      </c>
      <c r="H3353" t="s">
        <v>588</v>
      </c>
      <c r="I3353">
        <v>4.79725021789553E-3</v>
      </c>
      <c r="J3353">
        <v>1.0247973619913604</v>
      </c>
      <c r="N3353" t="s">
        <v>4756</v>
      </c>
      <c r="O3353" t="s">
        <v>641</v>
      </c>
      <c r="Q3353" t="s">
        <v>1643</v>
      </c>
    </row>
    <row r="3354" spans="2:17">
      <c r="B3354" t="s">
        <v>4755</v>
      </c>
      <c r="C3354" t="s">
        <v>744</v>
      </c>
      <c r="D3354">
        <v>5.9150560939100205E-4</v>
      </c>
      <c r="E3354" t="s">
        <v>94</v>
      </c>
      <c r="H3354" t="s">
        <v>588</v>
      </c>
      <c r="I3354">
        <v>5.9150560939100205E-4</v>
      </c>
      <c r="J3354">
        <v>1.0247973619913604</v>
      </c>
      <c r="N3354" t="s">
        <v>4756</v>
      </c>
      <c r="O3354" t="s">
        <v>641</v>
      </c>
      <c r="Q3354" t="s">
        <v>1643</v>
      </c>
    </row>
    <row r="3355" spans="2:17">
      <c r="B3355" t="s">
        <v>4755</v>
      </c>
      <c r="C3355" t="s">
        <v>744</v>
      </c>
      <c r="D3355">
        <v>6.7534105009208801E-4</v>
      </c>
      <c r="E3355" t="s">
        <v>94</v>
      </c>
      <c r="H3355" t="s">
        <v>588</v>
      </c>
      <c r="I3355">
        <v>6.7534105009208801E-4</v>
      </c>
      <c r="J3355">
        <v>1.0247973619913604</v>
      </c>
      <c r="N3355" t="s">
        <v>4756</v>
      </c>
      <c r="O3355" t="s">
        <v>641</v>
      </c>
      <c r="Q3355" t="s">
        <v>1643</v>
      </c>
    </row>
    <row r="3356" spans="2:17">
      <c r="B3356" t="s">
        <v>4755</v>
      </c>
      <c r="C3356" t="s">
        <v>744</v>
      </c>
      <c r="D3356">
        <v>1.6254760447044099E-3</v>
      </c>
      <c r="E3356" t="s">
        <v>94</v>
      </c>
      <c r="H3356" t="s">
        <v>588</v>
      </c>
      <c r="I3356">
        <v>1.6254760447044099E-3</v>
      </c>
      <c r="J3356">
        <v>1.0247973619913604</v>
      </c>
      <c r="N3356" t="s">
        <v>4756</v>
      </c>
      <c r="O3356" t="s">
        <v>641</v>
      </c>
      <c r="Q3356" t="s">
        <v>1643</v>
      </c>
    </row>
    <row r="3357" spans="2:17">
      <c r="B3357" t="s">
        <v>4755</v>
      </c>
      <c r="C3357" t="s">
        <v>744</v>
      </c>
      <c r="D3357">
        <v>2.4498578782650903E-4</v>
      </c>
      <c r="E3357" t="s">
        <v>94</v>
      </c>
      <c r="H3357" t="s">
        <v>588</v>
      </c>
      <c r="I3357">
        <v>2.4498578782650903E-4</v>
      </c>
      <c r="J3357">
        <v>1.0247973619913604</v>
      </c>
      <c r="N3357" t="s">
        <v>4756</v>
      </c>
      <c r="O3357" t="s">
        <v>641</v>
      </c>
      <c r="Q3357" t="s">
        <v>1643</v>
      </c>
    </row>
    <row r="3358" spans="2:17">
      <c r="B3358" t="s">
        <v>4755</v>
      </c>
      <c r="C3358" t="s">
        <v>744</v>
      </c>
      <c r="D3358">
        <v>1.2528740860329099E-3</v>
      </c>
      <c r="E3358" t="s">
        <v>94</v>
      </c>
      <c r="H3358" t="s">
        <v>588</v>
      </c>
      <c r="I3358">
        <v>1.2528740860329099E-3</v>
      </c>
      <c r="J3358">
        <v>1.0247973619913604</v>
      </c>
      <c r="N3358" t="s">
        <v>4756</v>
      </c>
      <c r="O3358" t="s">
        <v>641</v>
      </c>
      <c r="Q3358" t="s">
        <v>1643</v>
      </c>
    </row>
    <row r="3359" spans="2:17">
      <c r="B3359" t="s">
        <v>4755</v>
      </c>
      <c r="C3359" t="s">
        <v>744</v>
      </c>
      <c r="D3359">
        <v>2.7591175039624401E-3</v>
      </c>
      <c r="E3359" t="s">
        <v>94</v>
      </c>
      <c r="H3359" t="s">
        <v>588</v>
      </c>
      <c r="I3359">
        <v>2.7591175039624401E-3</v>
      </c>
      <c r="J3359">
        <v>1.0247973619913604</v>
      </c>
      <c r="N3359" t="s">
        <v>4756</v>
      </c>
      <c r="O3359" t="s">
        <v>641</v>
      </c>
      <c r="Q3359" t="s">
        <v>1643</v>
      </c>
    </row>
    <row r="3360" spans="2:17">
      <c r="B3360" t="s">
        <v>4757</v>
      </c>
      <c r="C3360" t="s">
        <v>744</v>
      </c>
      <c r="D3360">
        <v>2.7786532621504701E-2</v>
      </c>
      <c r="E3360" t="s">
        <v>94</v>
      </c>
      <c r="H3360" t="s">
        <v>588</v>
      </c>
      <c r="I3360">
        <v>2.7786532621504701E-2</v>
      </c>
      <c r="J3360">
        <v>1.0247973619913604</v>
      </c>
      <c r="N3360" t="s">
        <v>4758</v>
      </c>
      <c r="O3360" t="s">
        <v>1752</v>
      </c>
      <c r="Q3360" t="s">
        <v>4759</v>
      </c>
    </row>
    <row r="3361" spans="2:17">
      <c r="B3361" t="s">
        <v>4760</v>
      </c>
      <c r="C3361" t="s">
        <v>661</v>
      </c>
      <c r="D3361">
        <v>3.7886660378658803E-5</v>
      </c>
      <c r="E3361" t="s">
        <v>94</v>
      </c>
      <c r="H3361" t="s">
        <v>588</v>
      </c>
      <c r="I3361">
        <v>3.7886660378658803E-5</v>
      </c>
      <c r="J3361">
        <v>1.151909910168909</v>
      </c>
      <c r="O3361" t="s">
        <v>1649</v>
      </c>
      <c r="Q3361" t="s">
        <v>4432</v>
      </c>
    </row>
    <row r="3362" spans="2:17">
      <c r="B3362" t="s">
        <v>4761</v>
      </c>
      <c r="C3362" t="s">
        <v>661</v>
      </c>
      <c r="D3362">
        <v>1.3681844468449301E-4</v>
      </c>
      <c r="E3362" t="s">
        <v>94</v>
      </c>
      <c r="H3362" t="s">
        <v>588</v>
      </c>
      <c r="I3362">
        <v>1.3681844468449301E-4</v>
      </c>
      <c r="J3362">
        <v>1.2214027581601699</v>
      </c>
      <c r="O3362" t="s">
        <v>2485</v>
      </c>
      <c r="Q3362" t="s">
        <v>4762</v>
      </c>
    </row>
    <row r="3363" spans="2:17">
      <c r="B3363" t="s">
        <v>4761</v>
      </c>
      <c r="C3363" t="s">
        <v>883</v>
      </c>
      <c r="D3363">
        <v>1.17033983325265E-8</v>
      </c>
      <c r="E3363" t="s">
        <v>94</v>
      </c>
      <c r="H3363" t="s">
        <v>588</v>
      </c>
      <c r="I3363">
        <v>1.17033983325265E-8</v>
      </c>
      <c r="J3363">
        <v>1.2214027581601699</v>
      </c>
      <c r="O3363" t="s">
        <v>1628</v>
      </c>
      <c r="Q3363" t="s">
        <v>4398</v>
      </c>
    </row>
    <row r="3364" spans="2:17">
      <c r="B3364" t="s">
        <v>4761</v>
      </c>
      <c r="C3364" t="s">
        <v>712</v>
      </c>
      <c r="D3364">
        <v>6.3844896296527302E-13</v>
      </c>
      <c r="E3364" t="s">
        <v>94</v>
      </c>
      <c r="H3364" t="s">
        <v>588</v>
      </c>
      <c r="I3364">
        <v>6.3844896296527302E-13</v>
      </c>
      <c r="J3364">
        <v>1.2214027581601699</v>
      </c>
      <c r="O3364" t="s">
        <v>2440</v>
      </c>
      <c r="Q3364" t="s">
        <v>4391</v>
      </c>
    </row>
    <row r="3365" spans="2:17">
      <c r="B3365" t="s">
        <v>4761</v>
      </c>
      <c r="C3365" t="s">
        <v>4389</v>
      </c>
      <c r="D3365">
        <v>1.4331720041420901E-5</v>
      </c>
      <c r="E3365" t="s">
        <v>94</v>
      </c>
      <c r="H3365" t="s">
        <v>588</v>
      </c>
      <c r="I3365">
        <v>1.4331720041420901E-5</v>
      </c>
      <c r="J3365">
        <v>1.2214027581601699</v>
      </c>
      <c r="O3365" t="s">
        <v>641</v>
      </c>
      <c r="Q3365" t="s">
        <v>1672</v>
      </c>
    </row>
    <row r="3366" spans="2:17">
      <c r="B3366" t="s">
        <v>776</v>
      </c>
      <c r="C3366" t="s">
        <v>654</v>
      </c>
      <c r="D3366">
        <v>5.33170669819232E-5</v>
      </c>
      <c r="E3366" t="s">
        <v>94</v>
      </c>
      <c r="H3366" t="s">
        <v>588</v>
      </c>
      <c r="I3366">
        <v>5.33170669819232E-5</v>
      </c>
      <c r="J3366">
        <v>1.0247973619913604</v>
      </c>
      <c r="O3366" t="s">
        <v>641</v>
      </c>
      <c r="Q3366" t="s">
        <v>1643</v>
      </c>
    </row>
    <row r="3367" spans="2:17">
      <c r="B3367" t="s">
        <v>776</v>
      </c>
      <c r="C3367" t="s">
        <v>658</v>
      </c>
      <c r="D3367">
        <v>2.7636751893002999E-5</v>
      </c>
      <c r="E3367" t="s">
        <v>94</v>
      </c>
      <c r="H3367" t="s">
        <v>588</v>
      </c>
      <c r="I3367">
        <v>2.7636751893002999E-5</v>
      </c>
      <c r="J3367">
        <v>1.0247973619913604</v>
      </c>
      <c r="O3367" t="s">
        <v>1157</v>
      </c>
      <c r="Q3367" t="s">
        <v>1166</v>
      </c>
    </row>
    <row r="3368" spans="2:17">
      <c r="B3368" t="s">
        <v>776</v>
      </c>
      <c r="C3368" t="s">
        <v>4455</v>
      </c>
      <c r="D3368">
        <v>2.4469608749932099E-8</v>
      </c>
      <c r="E3368" t="s">
        <v>94</v>
      </c>
      <c r="H3368" t="s">
        <v>588</v>
      </c>
      <c r="I3368">
        <v>2.4469608749932099E-8</v>
      </c>
      <c r="J3368">
        <v>1.0247973619913604</v>
      </c>
      <c r="O3368" t="s">
        <v>1752</v>
      </c>
      <c r="Q3368" t="s">
        <v>4763</v>
      </c>
    </row>
    <row r="3369" spans="2:17">
      <c r="B3369" t="s">
        <v>776</v>
      </c>
      <c r="C3369" t="s">
        <v>887</v>
      </c>
      <c r="D3369">
        <v>1.02012174727858E-2</v>
      </c>
      <c r="E3369" t="s">
        <v>94</v>
      </c>
      <c r="H3369" t="s">
        <v>588</v>
      </c>
      <c r="I3369">
        <v>1.02012174727858E-2</v>
      </c>
      <c r="J3369">
        <v>2.1898021598007404</v>
      </c>
      <c r="O3369" t="s">
        <v>1157</v>
      </c>
      <c r="Q3369" t="s">
        <v>4380</v>
      </c>
    </row>
    <row r="3370" spans="2:17">
      <c r="B3370" t="s">
        <v>4764</v>
      </c>
      <c r="C3370" t="s">
        <v>654</v>
      </c>
      <c r="D3370">
        <v>1.2778085599317501E-10</v>
      </c>
      <c r="E3370" t="s">
        <v>94</v>
      </c>
      <c r="H3370" t="s">
        <v>588</v>
      </c>
      <c r="I3370">
        <v>1.2778085599317501E-10</v>
      </c>
      <c r="J3370">
        <v>1.2214027581601699</v>
      </c>
      <c r="O3370" t="s">
        <v>1082</v>
      </c>
      <c r="Q3370" t="s">
        <v>4765</v>
      </c>
    </row>
    <row r="3371" spans="2:17">
      <c r="B3371" t="s">
        <v>4766</v>
      </c>
      <c r="C3371" t="s">
        <v>654</v>
      </c>
      <c r="D3371">
        <v>3.2355367910870601E-6</v>
      </c>
      <c r="E3371" t="s">
        <v>94</v>
      </c>
      <c r="H3371" t="s">
        <v>588</v>
      </c>
      <c r="I3371">
        <v>3.2355367910870601E-6</v>
      </c>
      <c r="J3371">
        <v>1.2214027581601699</v>
      </c>
      <c r="O3371" t="s">
        <v>641</v>
      </c>
      <c r="Q3371" t="s">
        <v>1643</v>
      </c>
    </row>
    <row r="3372" spans="2:17">
      <c r="B3372" t="s">
        <v>4767</v>
      </c>
      <c r="C3372" t="s">
        <v>887</v>
      </c>
      <c r="D3372">
        <v>5.0208287687315803E-6</v>
      </c>
      <c r="E3372" t="s">
        <v>94</v>
      </c>
      <c r="H3372" t="s">
        <v>588</v>
      </c>
      <c r="I3372">
        <v>5.0208287687315803E-6</v>
      </c>
      <c r="J3372">
        <v>1.2214027581601699</v>
      </c>
      <c r="O3372" t="s">
        <v>4768</v>
      </c>
      <c r="Q3372" t="s">
        <v>842</v>
      </c>
    </row>
    <row r="3373" spans="2:17">
      <c r="B3373" t="s">
        <v>275</v>
      </c>
      <c r="C3373" t="s">
        <v>658</v>
      </c>
      <c r="D3373">
        <v>1.5341763732648999E-8</v>
      </c>
      <c r="E3373" t="s">
        <v>94</v>
      </c>
      <c r="H3373" t="s">
        <v>588</v>
      </c>
      <c r="I3373">
        <v>1.5341763732648999E-8</v>
      </c>
      <c r="J3373">
        <v>1.2214027581601699</v>
      </c>
      <c r="O3373" t="s">
        <v>1157</v>
      </c>
      <c r="Q3373" t="s">
        <v>1166</v>
      </c>
    </row>
    <row r="3374" spans="2:17">
      <c r="B3374" t="s">
        <v>275</v>
      </c>
      <c r="C3374" t="s">
        <v>654</v>
      </c>
      <c r="D3374">
        <v>2.6869421835866101E-8</v>
      </c>
      <c r="E3374" t="s">
        <v>94</v>
      </c>
      <c r="H3374" t="s">
        <v>588</v>
      </c>
      <c r="I3374">
        <v>2.6869421835866101E-8</v>
      </c>
      <c r="J3374">
        <v>1.2214027581601699</v>
      </c>
      <c r="O3374" t="s">
        <v>641</v>
      </c>
      <c r="Q3374" t="s">
        <v>1672</v>
      </c>
    </row>
    <row r="3375" spans="2:17">
      <c r="B3375" t="s">
        <v>275</v>
      </c>
      <c r="C3375" t="s">
        <v>661</v>
      </c>
      <c r="D3375">
        <v>8.5717858245330995E-7</v>
      </c>
      <c r="E3375" t="s">
        <v>94</v>
      </c>
      <c r="H3375" t="s">
        <v>588</v>
      </c>
      <c r="I3375">
        <v>8.5717858245330995E-7</v>
      </c>
      <c r="J3375">
        <v>1.2214027581601699</v>
      </c>
      <c r="O3375" t="s">
        <v>641</v>
      </c>
      <c r="Q3375" t="s">
        <v>1672</v>
      </c>
    </row>
    <row r="3376" spans="2:17">
      <c r="B3376" t="s">
        <v>275</v>
      </c>
      <c r="C3376" t="s">
        <v>4455</v>
      </c>
      <c r="D3376">
        <v>5.2472802310551E-10</v>
      </c>
      <c r="E3376" t="s">
        <v>94</v>
      </c>
      <c r="H3376" t="s">
        <v>588</v>
      </c>
      <c r="I3376">
        <v>5.2472802310551E-10</v>
      </c>
      <c r="J3376">
        <v>1.2214027581601699</v>
      </c>
      <c r="O3376" t="s">
        <v>1752</v>
      </c>
      <c r="Q3376" t="s">
        <v>1753</v>
      </c>
    </row>
    <row r="3377" spans="2:17">
      <c r="B3377" t="s">
        <v>275</v>
      </c>
      <c r="C3377" t="s">
        <v>887</v>
      </c>
      <c r="D3377">
        <v>3.8542056121162498E-8</v>
      </c>
      <c r="E3377" t="s">
        <v>94</v>
      </c>
      <c r="H3377" t="s">
        <v>588</v>
      </c>
      <c r="I3377">
        <v>3.8542056121162498E-8</v>
      </c>
      <c r="J3377">
        <v>1.4341253160944203</v>
      </c>
      <c r="O3377" t="s">
        <v>798</v>
      </c>
      <c r="Q3377" t="s">
        <v>2143</v>
      </c>
    </row>
    <row r="3378" spans="2:17">
      <c r="B3378" t="s">
        <v>777</v>
      </c>
      <c r="C3378" t="s">
        <v>883</v>
      </c>
      <c r="D3378">
        <v>3.5026000715434199E-7</v>
      </c>
      <c r="E3378" t="s">
        <v>94</v>
      </c>
      <c r="H3378" t="s">
        <v>588</v>
      </c>
      <c r="I3378">
        <v>3.5026000715434199E-7</v>
      </c>
      <c r="J3378">
        <v>1.2214027581601699</v>
      </c>
      <c r="O3378" t="s">
        <v>641</v>
      </c>
      <c r="Q3378" t="s">
        <v>1643</v>
      </c>
    </row>
    <row r="3379" spans="2:17">
      <c r="B3379" t="s">
        <v>777</v>
      </c>
      <c r="C3379" t="s">
        <v>661</v>
      </c>
      <c r="D3379">
        <v>4.06841575536459E-4</v>
      </c>
      <c r="E3379" t="s">
        <v>94</v>
      </c>
      <c r="H3379" t="s">
        <v>588</v>
      </c>
      <c r="I3379">
        <v>4.06841575536459E-4</v>
      </c>
      <c r="J3379">
        <v>1.2505791921887124</v>
      </c>
      <c r="O3379" t="s">
        <v>1675</v>
      </c>
      <c r="Q3379" t="s">
        <v>4490</v>
      </c>
    </row>
    <row r="3380" spans="2:17">
      <c r="B3380" t="s">
        <v>777</v>
      </c>
      <c r="C3380" t="s">
        <v>881</v>
      </c>
      <c r="D3380">
        <v>7.9703794759733494E-6</v>
      </c>
      <c r="E3380" t="s">
        <v>94</v>
      </c>
      <c r="H3380" t="s">
        <v>588</v>
      </c>
      <c r="I3380">
        <v>7.9703794759733494E-6</v>
      </c>
      <c r="J3380">
        <v>1.0247973619913604</v>
      </c>
      <c r="O3380" t="s">
        <v>2422</v>
      </c>
    </row>
    <row r="3381" spans="2:17">
      <c r="B3381" t="s">
        <v>777</v>
      </c>
      <c r="C3381" t="s">
        <v>712</v>
      </c>
      <c r="D3381">
        <v>2.2140432156145401E-5</v>
      </c>
      <c r="E3381" t="s">
        <v>94</v>
      </c>
      <c r="H3381" t="s">
        <v>588</v>
      </c>
      <c r="I3381">
        <v>2.2140432156145401E-5</v>
      </c>
      <c r="J3381">
        <v>1.2214027581601699</v>
      </c>
      <c r="O3381" t="s">
        <v>1752</v>
      </c>
      <c r="Q3381" t="s">
        <v>1753</v>
      </c>
    </row>
    <row r="3382" spans="2:17">
      <c r="B3382" t="s">
        <v>778</v>
      </c>
      <c r="C3382" t="s">
        <v>887</v>
      </c>
      <c r="D3382">
        <v>2.32327107482362E-7</v>
      </c>
      <c r="E3382" t="s">
        <v>94</v>
      </c>
      <c r="H3382" t="s">
        <v>588</v>
      </c>
      <c r="I3382">
        <v>2.32327107482362E-7</v>
      </c>
      <c r="J3382">
        <v>1.7450381821146503</v>
      </c>
      <c r="O3382" t="s">
        <v>1700</v>
      </c>
      <c r="Q3382" t="s">
        <v>4769</v>
      </c>
    </row>
    <row r="3383" spans="2:17">
      <c r="B3383" t="s">
        <v>4770</v>
      </c>
      <c r="C3383" t="s">
        <v>661</v>
      </c>
      <c r="D3383">
        <v>1.07040989651229E-5</v>
      </c>
      <c r="E3383" t="s">
        <v>890</v>
      </c>
      <c r="H3383" t="s">
        <v>588</v>
      </c>
      <c r="I3383">
        <v>1.07040989651229E-5</v>
      </c>
      <c r="J3383">
        <v>1.7293101253499219</v>
      </c>
      <c r="O3383" t="s">
        <v>851</v>
      </c>
      <c r="Q3383" t="s">
        <v>4395</v>
      </c>
    </row>
    <row r="3384" spans="2:17">
      <c r="B3384" t="s">
        <v>4771</v>
      </c>
      <c r="C3384" t="s">
        <v>661</v>
      </c>
      <c r="D3384">
        <v>1.1204005967372699E-6</v>
      </c>
      <c r="E3384" t="s">
        <v>890</v>
      </c>
      <c r="H3384" t="s">
        <v>588</v>
      </c>
      <c r="I3384">
        <v>1.1204005967372699E-6</v>
      </c>
      <c r="J3384">
        <v>1.7293101253499219</v>
      </c>
      <c r="O3384" t="s">
        <v>851</v>
      </c>
      <c r="Q3384" t="s">
        <v>4395</v>
      </c>
    </row>
    <row r="3385" spans="2:17">
      <c r="B3385" t="s">
        <v>4772</v>
      </c>
      <c r="C3385" t="s">
        <v>661</v>
      </c>
      <c r="D3385">
        <v>5.9148581936717601E-8</v>
      </c>
      <c r="E3385" t="s">
        <v>890</v>
      </c>
      <c r="H3385" t="s">
        <v>588</v>
      </c>
      <c r="I3385">
        <v>5.9148581936717601E-8</v>
      </c>
      <c r="J3385">
        <v>1.7293101253499219</v>
      </c>
      <c r="O3385" t="s">
        <v>851</v>
      </c>
      <c r="Q3385" t="s">
        <v>4395</v>
      </c>
    </row>
    <row r="3386" spans="2:17">
      <c r="B3386" t="s">
        <v>4773</v>
      </c>
      <c r="C3386" t="s">
        <v>4413</v>
      </c>
      <c r="D3386">
        <v>2.04825600718986E-6</v>
      </c>
      <c r="E3386" t="s">
        <v>94</v>
      </c>
      <c r="H3386" t="s">
        <v>588</v>
      </c>
      <c r="I3386">
        <v>2.04825600718986E-6</v>
      </c>
      <c r="J3386">
        <v>1.4056999999994499</v>
      </c>
      <c r="O3386" t="s">
        <v>2024</v>
      </c>
      <c r="Q3386" t="s">
        <v>4414</v>
      </c>
    </row>
    <row r="3387" spans="2:17">
      <c r="B3387" t="s">
        <v>780</v>
      </c>
      <c r="C3387" t="s">
        <v>887</v>
      </c>
      <c r="D3387">
        <v>4.3019046169825801E-12</v>
      </c>
      <c r="E3387" t="s">
        <v>94</v>
      </c>
      <c r="H3387" t="s">
        <v>588</v>
      </c>
      <c r="I3387">
        <v>4.3019046169825801E-12</v>
      </c>
      <c r="J3387">
        <v>2.2948383063747997</v>
      </c>
      <c r="O3387" t="s">
        <v>871</v>
      </c>
      <c r="Q3387" t="s">
        <v>4444</v>
      </c>
    </row>
    <row r="3388" spans="2:17">
      <c r="B3388" t="s">
        <v>780</v>
      </c>
      <c r="C3388" t="s">
        <v>654</v>
      </c>
      <c r="D3388">
        <v>2.2268055364644101E-9</v>
      </c>
      <c r="E3388" t="s">
        <v>94</v>
      </c>
      <c r="H3388" t="s">
        <v>588</v>
      </c>
      <c r="I3388">
        <v>2.2268055364644101E-9</v>
      </c>
      <c r="J3388">
        <v>1.2505791921887124</v>
      </c>
      <c r="O3388" t="s">
        <v>4527</v>
      </c>
      <c r="Q3388" t="s">
        <v>4528</v>
      </c>
    </row>
    <row r="3389" spans="2:17">
      <c r="B3389" t="s">
        <v>780</v>
      </c>
      <c r="C3389" t="s">
        <v>883</v>
      </c>
      <c r="D3389">
        <v>2.4885487742584102E-11</v>
      </c>
      <c r="E3389" t="s">
        <v>94</v>
      </c>
      <c r="H3389" t="s">
        <v>588</v>
      </c>
      <c r="I3389">
        <v>2.4885487742584102E-11</v>
      </c>
      <c r="J3389">
        <v>2.2394398661220611</v>
      </c>
      <c r="O3389" t="s">
        <v>641</v>
      </c>
      <c r="Q3389" t="s">
        <v>1672</v>
      </c>
    </row>
    <row r="3390" spans="2:17">
      <c r="B3390" t="s">
        <v>780</v>
      </c>
      <c r="C3390" t="s">
        <v>661</v>
      </c>
      <c r="D3390">
        <v>7.6381734248451297E-8</v>
      </c>
      <c r="E3390" t="s">
        <v>94</v>
      </c>
      <c r="H3390" t="s">
        <v>588</v>
      </c>
      <c r="I3390">
        <v>7.6381734248451297E-8</v>
      </c>
      <c r="J3390">
        <v>1.0247973619913604</v>
      </c>
      <c r="O3390" t="s">
        <v>1649</v>
      </c>
      <c r="Q3390" t="s">
        <v>4432</v>
      </c>
    </row>
    <row r="3391" spans="2:17">
      <c r="B3391" t="s">
        <v>4774</v>
      </c>
      <c r="C3391" t="s">
        <v>4413</v>
      </c>
      <c r="D3391">
        <v>1.5939659997746399E-6</v>
      </c>
      <c r="E3391" t="s">
        <v>94</v>
      </c>
      <c r="H3391" t="s">
        <v>588</v>
      </c>
      <c r="I3391">
        <v>1.5939659997746399E-6</v>
      </c>
      <c r="J3391">
        <v>1.2090000000000638</v>
      </c>
      <c r="O3391" t="s">
        <v>589</v>
      </c>
      <c r="Q3391" t="s">
        <v>4414</v>
      </c>
    </row>
    <row r="3392" spans="2:17">
      <c r="B3392" t="s">
        <v>4775</v>
      </c>
      <c r="C3392" t="s">
        <v>887</v>
      </c>
      <c r="D3392">
        <v>2.4095381590003799E-11</v>
      </c>
      <c r="E3392" t="s">
        <v>94</v>
      </c>
      <c r="H3392" t="s">
        <v>588</v>
      </c>
      <c r="I3392">
        <v>2.4095381590003799E-11</v>
      </c>
      <c r="J3392">
        <v>2.2948383063747997</v>
      </c>
      <c r="O3392" t="s">
        <v>871</v>
      </c>
      <c r="Q3392" t="s">
        <v>4444</v>
      </c>
    </row>
    <row r="3393" spans="2:17">
      <c r="B3393" t="s">
        <v>4775</v>
      </c>
      <c r="C3393" t="s">
        <v>654</v>
      </c>
      <c r="D3393">
        <v>1.9949915657329099E-11</v>
      </c>
      <c r="E3393" t="s">
        <v>94</v>
      </c>
      <c r="H3393" t="s">
        <v>588</v>
      </c>
      <c r="I3393">
        <v>1.9949915657329099E-11</v>
      </c>
      <c r="J3393">
        <v>1.2214027581601699</v>
      </c>
      <c r="O3393" t="s">
        <v>4374</v>
      </c>
      <c r="Q3393" t="s">
        <v>4375</v>
      </c>
    </row>
    <row r="3394" spans="2:17">
      <c r="B3394" t="s">
        <v>898</v>
      </c>
      <c r="C3394" t="s">
        <v>654</v>
      </c>
      <c r="D3394">
        <v>5.0175043604843101E-8</v>
      </c>
      <c r="E3394" t="s">
        <v>890</v>
      </c>
      <c r="H3394" t="s">
        <v>588</v>
      </c>
      <c r="I3394">
        <v>5.0175043604843101E-8</v>
      </c>
      <c r="J3394">
        <v>1.7293101253499219</v>
      </c>
      <c r="O3394" t="s">
        <v>4374</v>
      </c>
      <c r="Q3394" t="s">
        <v>4375</v>
      </c>
    </row>
    <row r="3395" spans="2:17">
      <c r="B3395" t="s">
        <v>898</v>
      </c>
      <c r="C3395" t="s">
        <v>887</v>
      </c>
      <c r="D3395">
        <v>6.0754205192335604E-8</v>
      </c>
      <c r="E3395" t="s">
        <v>890</v>
      </c>
      <c r="H3395" t="s">
        <v>588</v>
      </c>
      <c r="I3395">
        <v>6.0754205192335604E-8</v>
      </c>
      <c r="J3395">
        <v>1.8068915230828115</v>
      </c>
      <c r="O3395" t="s">
        <v>871</v>
      </c>
      <c r="Q3395" t="s">
        <v>4444</v>
      </c>
    </row>
    <row r="3396" spans="2:17">
      <c r="B3396" t="s">
        <v>4776</v>
      </c>
      <c r="C3396" t="s">
        <v>887</v>
      </c>
      <c r="D3396">
        <v>3.7952847110957501E-8</v>
      </c>
      <c r="E3396" t="s">
        <v>890</v>
      </c>
      <c r="H3396" t="s">
        <v>588</v>
      </c>
      <c r="I3396">
        <v>3.7952847110957501E-8</v>
      </c>
      <c r="J3396">
        <v>1.8068915230828115</v>
      </c>
      <c r="O3396" t="s">
        <v>871</v>
      </c>
      <c r="Q3396" t="s">
        <v>4444</v>
      </c>
    </row>
    <row r="3397" spans="2:17">
      <c r="B3397" t="s">
        <v>4776</v>
      </c>
      <c r="C3397" t="s">
        <v>654</v>
      </c>
      <c r="D3397">
        <v>3.1326876622450003E-8</v>
      </c>
      <c r="E3397" t="s">
        <v>890</v>
      </c>
      <c r="H3397" t="s">
        <v>588</v>
      </c>
      <c r="I3397">
        <v>3.1326876622450003E-8</v>
      </c>
      <c r="J3397">
        <v>1.7293101253499219</v>
      </c>
      <c r="O3397" t="s">
        <v>4374</v>
      </c>
      <c r="Q3397" t="s">
        <v>4375</v>
      </c>
    </row>
    <row r="3398" spans="2:17">
      <c r="B3398" t="s">
        <v>4776</v>
      </c>
      <c r="C3398" t="s">
        <v>661</v>
      </c>
      <c r="D3398">
        <v>7.9684908311266402E-5</v>
      </c>
      <c r="E3398" t="s">
        <v>890</v>
      </c>
      <c r="H3398" t="s">
        <v>588</v>
      </c>
      <c r="I3398">
        <v>7.9684908311266402E-5</v>
      </c>
      <c r="J3398">
        <v>1.760654165524179</v>
      </c>
      <c r="O3398" t="s">
        <v>882</v>
      </c>
      <c r="Q3398" t="s">
        <v>4591</v>
      </c>
    </row>
    <row r="3399" spans="2:17">
      <c r="B3399" t="s">
        <v>4777</v>
      </c>
      <c r="C3399" t="s">
        <v>661</v>
      </c>
      <c r="D3399">
        <v>1.2314262273669699E-7</v>
      </c>
      <c r="E3399" t="s">
        <v>890</v>
      </c>
      <c r="H3399" t="s">
        <v>588</v>
      </c>
      <c r="I3399">
        <v>1.2314262273669699E-7</v>
      </c>
      <c r="J3399">
        <v>1.4139824580805163</v>
      </c>
      <c r="O3399" t="s">
        <v>798</v>
      </c>
      <c r="Q3399" t="s">
        <v>3413</v>
      </c>
    </row>
    <row r="3400" spans="2:17">
      <c r="B3400" t="s">
        <v>4777</v>
      </c>
      <c r="C3400" t="s">
        <v>658</v>
      </c>
      <c r="D3400">
        <v>1.15197937398846E-8</v>
      </c>
      <c r="E3400" t="s">
        <v>890</v>
      </c>
      <c r="H3400" t="s">
        <v>588</v>
      </c>
      <c r="I3400">
        <v>1.15197937398846E-8</v>
      </c>
      <c r="J3400">
        <v>1.4139824580805163</v>
      </c>
      <c r="O3400" t="s">
        <v>798</v>
      </c>
      <c r="Q3400" t="s">
        <v>3413</v>
      </c>
    </row>
    <row r="3401" spans="2:17">
      <c r="B3401" t="s">
        <v>781</v>
      </c>
      <c r="C3401" t="s">
        <v>654</v>
      </c>
      <c r="D3401">
        <v>6.6494143381857702E-8</v>
      </c>
      <c r="E3401" t="s">
        <v>94</v>
      </c>
      <c r="H3401" t="s">
        <v>588</v>
      </c>
      <c r="I3401">
        <v>6.6494143381857702E-8</v>
      </c>
      <c r="J3401">
        <v>2.2533180987712971</v>
      </c>
      <c r="O3401" t="s">
        <v>2069</v>
      </c>
      <c r="Q3401" t="s">
        <v>4528</v>
      </c>
    </row>
    <row r="3402" spans="2:17">
      <c r="B3402" t="s">
        <v>781</v>
      </c>
      <c r="C3402" t="s">
        <v>887</v>
      </c>
      <c r="D3402">
        <v>1.4677040728245099E-11</v>
      </c>
      <c r="E3402" t="s">
        <v>94</v>
      </c>
      <c r="H3402" t="s">
        <v>588</v>
      </c>
      <c r="I3402">
        <v>1.4677040728245099E-11</v>
      </c>
      <c r="J3402">
        <v>2.7699322188095197</v>
      </c>
      <c r="O3402" t="s">
        <v>1157</v>
      </c>
      <c r="Q3402" t="s">
        <v>4380</v>
      </c>
    </row>
    <row r="3403" spans="2:17">
      <c r="B3403" t="s">
        <v>782</v>
      </c>
      <c r="C3403" t="s">
        <v>712</v>
      </c>
      <c r="D3403">
        <v>3.8288157530800103E-7</v>
      </c>
      <c r="E3403" t="s">
        <v>94</v>
      </c>
      <c r="H3403" t="s">
        <v>588</v>
      </c>
      <c r="I3403">
        <v>3.8288157530800103E-7</v>
      </c>
      <c r="J3403">
        <v>2.2394398661220611</v>
      </c>
      <c r="O3403" t="s">
        <v>1054</v>
      </c>
    </row>
    <row r="3404" spans="2:17">
      <c r="B3404" t="s">
        <v>782</v>
      </c>
      <c r="C3404" t="s">
        <v>661</v>
      </c>
      <c r="D3404">
        <v>2.4204632291822199E-8</v>
      </c>
      <c r="E3404" t="s">
        <v>94</v>
      </c>
      <c r="H3404" t="s">
        <v>588</v>
      </c>
      <c r="I3404">
        <v>2.4204632291822199E-8</v>
      </c>
      <c r="J3404">
        <v>3.4252631380972876</v>
      </c>
      <c r="O3404" t="s">
        <v>1157</v>
      </c>
      <c r="Q3404" t="s">
        <v>4420</v>
      </c>
    </row>
    <row r="3405" spans="2:17">
      <c r="B3405" t="s">
        <v>4778</v>
      </c>
      <c r="C3405" t="s">
        <v>654</v>
      </c>
      <c r="D3405">
        <v>2.0380589735443801E-9</v>
      </c>
      <c r="E3405" t="s">
        <v>94</v>
      </c>
      <c r="H3405" t="s">
        <v>588</v>
      </c>
      <c r="I3405">
        <v>2.0380589735443801E-9</v>
      </c>
      <c r="J3405">
        <v>2.2394398661220611</v>
      </c>
      <c r="O3405" t="s">
        <v>4374</v>
      </c>
      <c r="Q3405" t="s">
        <v>4375</v>
      </c>
    </row>
    <row r="3406" spans="2:17">
      <c r="B3406" t="s">
        <v>4778</v>
      </c>
      <c r="C3406" t="s">
        <v>887</v>
      </c>
      <c r="D3406">
        <v>2.4967777301862299E-9</v>
      </c>
      <c r="E3406" t="s">
        <v>94</v>
      </c>
      <c r="H3406" t="s">
        <v>588</v>
      </c>
      <c r="I3406">
        <v>2.4967777301862299E-9</v>
      </c>
      <c r="J3406">
        <v>2.1099959153946091</v>
      </c>
      <c r="O3406" t="s">
        <v>1157</v>
      </c>
      <c r="Q3406" t="s">
        <v>4380</v>
      </c>
    </row>
    <row r="3407" spans="2:17">
      <c r="B3407" t="s">
        <v>4779</v>
      </c>
      <c r="C3407" t="s">
        <v>883</v>
      </c>
      <c r="D3407">
        <v>1.7365567475947499E-9</v>
      </c>
      <c r="E3407" t="s">
        <v>94</v>
      </c>
      <c r="H3407" t="s">
        <v>588</v>
      </c>
      <c r="I3407">
        <v>1.7365567475947499E-9</v>
      </c>
      <c r="J3407">
        <v>3.2097414186806645</v>
      </c>
      <c r="O3407" t="s">
        <v>3149</v>
      </c>
      <c r="Q3407" t="s">
        <v>4381</v>
      </c>
    </row>
    <row r="3408" spans="2:17">
      <c r="B3408" t="s">
        <v>783</v>
      </c>
      <c r="C3408" t="s">
        <v>661</v>
      </c>
      <c r="D3408">
        <v>5.3975585931530701E-4</v>
      </c>
      <c r="E3408" t="s">
        <v>94</v>
      </c>
      <c r="H3408" t="s">
        <v>588</v>
      </c>
      <c r="I3408">
        <v>5.3975585931530701E-4</v>
      </c>
      <c r="J3408">
        <v>1.2505791921887124</v>
      </c>
      <c r="O3408" t="s">
        <v>1675</v>
      </c>
      <c r="Q3408" t="s">
        <v>1563</v>
      </c>
    </row>
    <row r="3409" spans="2:17">
      <c r="B3409" t="s">
        <v>783</v>
      </c>
      <c r="C3409" t="s">
        <v>883</v>
      </c>
      <c r="D3409">
        <v>5.0352017609807203E-6</v>
      </c>
      <c r="E3409" t="s">
        <v>94</v>
      </c>
      <c r="H3409" t="s">
        <v>588</v>
      </c>
      <c r="I3409">
        <v>5.0352017609807203E-6</v>
      </c>
      <c r="J3409">
        <v>1.2214027581601699</v>
      </c>
      <c r="O3409" t="s">
        <v>952</v>
      </c>
      <c r="Q3409" t="s">
        <v>4780</v>
      </c>
    </row>
    <row r="3410" spans="2:17">
      <c r="B3410" t="s">
        <v>783</v>
      </c>
      <c r="C3410" t="s">
        <v>712</v>
      </c>
      <c r="D3410">
        <v>2.8865957062022798E-5</v>
      </c>
      <c r="E3410" t="s">
        <v>94</v>
      </c>
      <c r="H3410" t="s">
        <v>588</v>
      </c>
      <c r="I3410">
        <v>2.8865957062022798E-5</v>
      </c>
      <c r="J3410">
        <v>1.2214027581601699</v>
      </c>
      <c r="O3410" t="s">
        <v>1532</v>
      </c>
      <c r="Q3410" t="s">
        <v>1540</v>
      </c>
    </row>
    <row r="3411" spans="2:17">
      <c r="B3411" t="s">
        <v>783</v>
      </c>
      <c r="C3411" t="s">
        <v>881</v>
      </c>
      <c r="D3411">
        <v>3.02048251489773E-3</v>
      </c>
      <c r="E3411" t="s">
        <v>94</v>
      </c>
      <c r="Q3411" t="s">
        <v>4492</v>
      </c>
    </row>
    <row r="3412" spans="2:17">
      <c r="B3412" t="s">
        <v>833</v>
      </c>
      <c r="C3412" t="s">
        <v>661</v>
      </c>
      <c r="D3412">
        <v>1.08987935039097E-8</v>
      </c>
      <c r="E3412" t="s">
        <v>94</v>
      </c>
      <c r="H3412" t="s">
        <v>588</v>
      </c>
      <c r="I3412">
        <v>1.08987935039097E-8</v>
      </c>
      <c r="J3412">
        <v>1.7293101253499219</v>
      </c>
      <c r="O3412" t="s">
        <v>1678</v>
      </c>
      <c r="Q3412" t="s">
        <v>1679</v>
      </c>
    </row>
    <row r="3413" spans="2:17">
      <c r="B3413" t="s">
        <v>833</v>
      </c>
      <c r="C3413" t="s">
        <v>883</v>
      </c>
      <c r="D3413">
        <v>2.1519076368654199E-8</v>
      </c>
      <c r="E3413" t="s">
        <v>94</v>
      </c>
      <c r="H3413" t="s">
        <v>588</v>
      </c>
      <c r="I3413">
        <v>2.1519076368654199E-8</v>
      </c>
      <c r="J3413">
        <v>1.7293101253499219</v>
      </c>
      <c r="O3413" t="s">
        <v>2307</v>
      </c>
      <c r="Q3413" t="s">
        <v>4466</v>
      </c>
    </row>
    <row r="3414" spans="2:17">
      <c r="B3414" t="s">
        <v>833</v>
      </c>
      <c r="C3414" t="s">
        <v>658</v>
      </c>
      <c r="D3414">
        <v>1.37848919068609E-9</v>
      </c>
      <c r="E3414" t="s">
        <v>94</v>
      </c>
      <c r="H3414" t="s">
        <v>588</v>
      </c>
      <c r="I3414">
        <v>1.37848919068609E-9</v>
      </c>
      <c r="J3414">
        <v>1.2214027581601699</v>
      </c>
      <c r="O3414" t="s">
        <v>871</v>
      </c>
      <c r="Q3414" t="s">
        <v>1679</v>
      </c>
    </row>
    <row r="3415" spans="2:17">
      <c r="B3415" t="s">
        <v>833</v>
      </c>
      <c r="C3415" t="s">
        <v>654</v>
      </c>
      <c r="D3415">
        <v>8.7653431484279996E-8</v>
      </c>
      <c r="E3415" t="s">
        <v>94</v>
      </c>
      <c r="H3415" t="s">
        <v>588</v>
      </c>
      <c r="I3415">
        <v>8.7653431484279996E-8</v>
      </c>
      <c r="J3415">
        <v>1.8068915230828115</v>
      </c>
      <c r="O3415" t="s">
        <v>1798</v>
      </c>
      <c r="Q3415" t="s">
        <v>4428</v>
      </c>
    </row>
    <row r="3416" spans="2:17">
      <c r="B3416" t="s">
        <v>833</v>
      </c>
      <c r="C3416" t="s">
        <v>887</v>
      </c>
      <c r="D3416">
        <v>3.7724118585603501E-6</v>
      </c>
      <c r="E3416" t="s">
        <v>94</v>
      </c>
      <c r="H3416" t="s">
        <v>588</v>
      </c>
      <c r="I3416">
        <v>3.7724118585603501E-6</v>
      </c>
      <c r="J3416">
        <v>1.3752314347495442</v>
      </c>
      <c r="O3416" t="s">
        <v>1157</v>
      </c>
      <c r="Q3416" t="s">
        <v>4425</v>
      </c>
    </row>
    <row r="3417" spans="2:17">
      <c r="B3417" t="s">
        <v>4781</v>
      </c>
      <c r="C3417" t="s">
        <v>883</v>
      </c>
      <c r="D3417">
        <v>1.02434810087851E-7</v>
      </c>
      <c r="E3417" t="s">
        <v>94</v>
      </c>
      <c r="H3417" t="s">
        <v>588</v>
      </c>
      <c r="I3417">
        <v>1.02434810087851E-7</v>
      </c>
      <c r="J3417">
        <v>1.7450381821146503</v>
      </c>
      <c r="O3417" t="s">
        <v>2307</v>
      </c>
      <c r="Q3417" t="s">
        <v>2308</v>
      </c>
    </row>
    <row r="3418" spans="2:17">
      <c r="B3418" t="s">
        <v>4781</v>
      </c>
      <c r="C3418" t="s">
        <v>661</v>
      </c>
      <c r="D3418">
        <v>9.700066547002609E-10</v>
      </c>
      <c r="E3418" t="s">
        <v>94</v>
      </c>
      <c r="H3418" t="s">
        <v>588</v>
      </c>
      <c r="I3418">
        <v>9.700066547002609E-10</v>
      </c>
      <c r="J3418">
        <v>1</v>
      </c>
      <c r="O3418" t="s">
        <v>1157</v>
      </c>
      <c r="Q3418" t="s">
        <v>4391</v>
      </c>
    </row>
    <row r="3419" spans="2:17">
      <c r="B3419" t="s">
        <v>4781</v>
      </c>
      <c r="C3419" t="s">
        <v>712</v>
      </c>
      <c r="D3419">
        <v>3.2188468549499201E-9</v>
      </c>
      <c r="E3419" t="s">
        <v>94</v>
      </c>
      <c r="H3419" t="s">
        <v>588</v>
      </c>
      <c r="I3419">
        <v>3.2188468549499201E-9</v>
      </c>
      <c r="J3419">
        <v>1.7450381821146503</v>
      </c>
      <c r="O3419" t="s">
        <v>2307</v>
      </c>
      <c r="Q3419" t="s">
        <v>4391</v>
      </c>
    </row>
    <row r="3420" spans="2:17">
      <c r="B3420" t="s">
        <v>4782</v>
      </c>
      <c r="C3420" t="s">
        <v>887</v>
      </c>
      <c r="D3420">
        <v>3.87902322143222E-11</v>
      </c>
      <c r="E3420" t="s">
        <v>94</v>
      </c>
      <c r="H3420" t="s">
        <v>588</v>
      </c>
      <c r="I3420">
        <v>3.87902322143222E-11</v>
      </c>
      <c r="J3420">
        <v>2.2948383063747997</v>
      </c>
      <c r="O3420" t="s">
        <v>871</v>
      </c>
      <c r="Q3420" t="s">
        <v>4444</v>
      </c>
    </row>
    <row r="3421" spans="2:17">
      <c r="B3421" t="s">
        <v>4782</v>
      </c>
      <c r="C3421" t="s">
        <v>654</v>
      </c>
      <c r="D3421">
        <v>3.2174301063546598E-11</v>
      </c>
      <c r="E3421" t="s">
        <v>94</v>
      </c>
      <c r="H3421" t="s">
        <v>588</v>
      </c>
      <c r="I3421">
        <v>3.2174301063546598E-11</v>
      </c>
      <c r="J3421">
        <v>1.2214027581601699</v>
      </c>
      <c r="O3421" t="s">
        <v>4374</v>
      </c>
      <c r="Q3421" t="s">
        <v>4375</v>
      </c>
    </row>
    <row r="3422" spans="2:17">
      <c r="B3422" t="s">
        <v>4783</v>
      </c>
      <c r="C3422" t="s">
        <v>658</v>
      </c>
      <c r="D3422">
        <v>2.3039587479769201E-9</v>
      </c>
      <c r="E3422" t="s">
        <v>890</v>
      </c>
      <c r="H3422" t="s">
        <v>588</v>
      </c>
      <c r="I3422">
        <v>2.3039587479769201E-9</v>
      </c>
      <c r="J3422">
        <v>1.4139824580805163</v>
      </c>
      <c r="O3422" t="s">
        <v>798</v>
      </c>
      <c r="Q3422" t="s">
        <v>3413</v>
      </c>
    </row>
    <row r="3423" spans="2:17">
      <c r="B3423" t="s">
        <v>4783</v>
      </c>
      <c r="C3423" t="s">
        <v>661</v>
      </c>
      <c r="D3423">
        <v>3.2573209885190998E-10</v>
      </c>
      <c r="E3423" t="s">
        <v>890</v>
      </c>
      <c r="H3423" t="s">
        <v>588</v>
      </c>
      <c r="I3423">
        <v>3.2573209885190998E-10</v>
      </c>
      <c r="J3423">
        <v>1.4139824580805163</v>
      </c>
      <c r="O3423" t="s">
        <v>798</v>
      </c>
      <c r="Q3423" t="s">
        <v>3413</v>
      </c>
    </row>
    <row r="3424" spans="2:17">
      <c r="B3424" t="s">
        <v>899</v>
      </c>
      <c r="C3424" t="s">
        <v>654</v>
      </c>
      <c r="D3424">
        <v>9.0926006334348295E-8</v>
      </c>
      <c r="E3424" t="s">
        <v>890</v>
      </c>
      <c r="H3424" t="s">
        <v>588</v>
      </c>
      <c r="I3424">
        <v>9.0926006334348295E-8</v>
      </c>
      <c r="J3424">
        <v>1.7293101253499219</v>
      </c>
      <c r="O3424" t="s">
        <v>4374</v>
      </c>
      <c r="Q3424" t="s">
        <v>4375</v>
      </c>
    </row>
    <row r="3425" spans="2:17">
      <c r="B3425" t="s">
        <v>899</v>
      </c>
      <c r="C3425" t="s">
        <v>661</v>
      </c>
      <c r="D3425">
        <v>1.66613899196284E-4</v>
      </c>
      <c r="E3425" t="s">
        <v>890</v>
      </c>
      <c r="H3425" t="s">
        <v>588</v>
      </c>
      <c r="I3425">
        <v>1.66613899196284E-4</v>
      </c>
      <c r="J3425">
        <v>1.760654165524179</v>
      </c>
      <c r="O3425" t="s">
        <v>882</v>
      </c>
      <c r="Q3425" t="s">
        <v>4591</v>
      </c>
    </row>
    <row r="3426" spans="2:17">
      <c r="B3426" t="s">
        <v>899</v>
      </c>
      <c r="C3426" t="s">
        <v>887</v>
      </c>
      <c r="D3426">
        <v>1.10098208643144E-7</v>
      </c>
      <c r="E3426" t="s">
        <v>890</v>
      </c>
      <c r="H3426" t="s">
        <v>588</v>
      </c>
      <c r="I3426">
        <v>1.10098208643144E-7</v>
      </c>
      <c r="J3426">
        <v>1.8068915230828115</v>
      </c>
      <c r="O3426" t="s">
        <v>871</v>
      </c>
      <c r="Q3426" t="s">
        <v>4444</v>
      </c>
    </row>
    <row r="3427" spans="2:17">
      <c r="B3427" t="s">
        <v>4784</v>
      </c>
      <c r="C3427" t="s">
        <v>670</v>
      </c>
      <c r="D3427">
        <v>2.8669731038982498E-5</v>
      </c>
      <c r="E3427" t="s">
        <v>616</v>
      </c>
      <c r="H3427" t="s">
        <v>588</v>
      </c>
      <c r="I3427">
        <v>2.8669731038982498E-5</v>
      </c>
      <c r="J3427">
        <v>1</v>
      </c>
      <c r="N3427" t="s">
        <v>4785</v>
      </c>
      <c r="O3427" t="s">
        <v>1700</v>
      </c>
      <c r="Q3427" t="s">
        <v>979</v>
      </c>
    </row>
    <row r="3428" spans="2:17">
      <c r="B3428" t="s">
        <v>4784</v>
      </c>
      <c r="C3428" t="s">
        <v>670</v>
      </c>
      <c r="D3428">
        <v>2.8082988150877601E-5</v>
      </c>
      <c r="E3428" t="s">
        <v>616</v>
      </c>
      <c r="H3428" t="s">
        <v>588</v>
      </c>
      <c r="I3428">
        <v>2.8082988150877601E-5</v>
      </c>
      <c r="J3428">
        <v>1</v>
      </c>
      <c r="N3428" t="s">
        <v>4785</v>
      </c>
      <c r="O3428" t="s">
        <v>4786</v>
      </c>
      <c r="Q3428" t="s">
        <v>979</v>
      </c>
    </row>
    <row r="3429" spans="2:17">
      <c r="B3429" t="s">
        <v>4787</v>
      </c>
      <c r="C3429" t="s">
        <v>670</v>
      </c>
      <c r="D3429">
        <v>1.40669679306356E-5</v>
      </c>
      <c r="E3429" t="s">
        <v>616</v>
      </c>
      <c r="H3429" t="s">
        <v>588</v>
      </c>
      <c r="I3429">
        <v>1.40669679306356E-5</v>
      </c>
      <c r="J3429">
        <v>1</v>
      </c>
      <c r="N3429" t="s">
        <v>4788</v>
      </c>
      <c r="O3429" t="s">
        <v>882</v>
      </c>
      <c r="Q3429" t="s">
        <v>979</v>
      </c>
    </row>
    <row r="3430" spans="2:17">
      <c r="B3430" t="s">
        <v>4787</v>
      </c>
      <c r="C3430" t="s">
        <v>670</v>
      </c>
      <c r="D3430">
        <v>1.40313223226579E-5</v>
      </c>
      <c r="E3430" t="s">
        <v>616</v>
      </c>
      <c r="H3430" t="s">
        <v>588</v>
      </c>
      <c r="I3430">
        <v>1.40313223226579E-5</v>
      </c>
      <c r="J3430">
        <v>1</v>
      </c>
      <c r="N3430" t="s">
        <v>4788</v>
      </c>
      <c r="O3430" t="s">
        <v>2780</v>
      </c>
      <c r="Q3430" t="s">
        <v>1701</v>
      </c>
    </row>
    <row r="3431" spans="2:17">
      <c r="B3431" t="s">
        <v>4789</v>
      </c>
      <c r="C3431" t="s">
        <v>670</v>
      </c>
      <c r="D3431">
        <v>1.44900339066743E-4</v>
      </c>
      <c r="E3431" t="s">
        <v>616</v>
      </c>
      <c r="H3431" t="s">
        <v>588</v>
      </c>
      <c r="I3431">
        <v>1.44900339066743E-4</v>
      </c>
      <c r="J3431">
        <v>1</v>
      </c>
      <c r="N3431" t="s">
        <v>4790</v>
      </c>
      <c r="O3431" t="s">
        <v>2780</v>
      </c>
      <c r="Q3431" t="s">
        <v>1701</v>
      </c>
    </row>
    <row r="3432" spans="2:17">
      <c r="B3432" t="s">
        <v>4789</v>
      </c>
      <c r="C3432" t="s">
        <v>670</v>
      </c>
      <c r="D3432">
        <v>1.4547510576207699E-4</v>
      </c>
      <c r="E3432" t="s">
        <v>616</v>
      </c>
      <c r="H3432" t="s">
        <v>588</v>
      </c>
      <c r="I3432">
        <v>1.4547510576207699E-4</v>
      </c>
      <c r="J3432">
        <v>1</v>
      </c>
      <c r="N3432" t="s">
        <v>4790</v>
      </c>
      <c r="O3432" t="s">
        <v>882</v>
      </c>
      <c r="Q3432" t="s">
        <v>1701</v>
      </c>
    </row>
    <row r="3433" spans="2:17">
      <c r="B3433" t="s">
        <v>4791</v>
      </c>
      <c r="C3433" t="s">
        <v>670</v>
      </c>
      <c r="D3433">
        <v>3.44454854888028E-4</v>
      </c>
      <c r="E3433" t="s">
        <v>616</v>
      </c>
      <c r="H3433" t="s">
        <v>588</v>
      </c>
      <c r="I3433">
        <v>3.44454854888028E-4</v>
      </c>
      <c r="J3433">
        <v>1</v>
      </c>
      <c r="N3433" t="s">
        <v>4792</v>
      </c>
      <c r="O3433" t="s">
        <v>882</v>
      </c>
      <c r="Q3433" t="s">
        <v>1701</v>
      </c>
    </row>
    <row r="3434" spans="2:17">
      <c r="B3434" t="s">
        <v>4791</v>
      </c>
      <c r="C3434" t="s">
        <v>670</v>
      </c>
      <c r="D3434">
        <v>3.4327247604754198E-4</v>
      </c>
      <c r="E3434" t="s">
        <v>616</v>
      </c>
      <c r="H3434" t="s">
        <v>588</v>
      </c>
      <c r="I3434">
        <v>3.4327247604754198E-4</v>
      </c>
      <c r="J3434">
        <v>1</v>
      </c>
      <c r="N3434" t="s">
        <v>4792</v>
      </c>
      <c r="O3434" t="s">
        <v>2780</v>
      </c>
      <c r="Q3434" t="s">
        <v>1701</v>
      </c>
    </row>
    <row r="3435" spans="2:17">
      <c r="B3435" t="s">
        <v>4793</v>
      </c>
      <c r="C3435" t="s">
        <v>670</v>
      </c>
      <c r="D3435">
        <v>1.5714053004175998E-5</v>
      </c>
      <c r="E3435" t="s">
        <v>616</v>
      </c>
      <c r="H3435" t="s">
        <v>588</v>
      </c>
      <c r="I3435">
        <v>1.5714053004175998E-5</v>
      </c>
      <c r="J3435">
        <v>1.7293101253499219</v>
      </c>
      <c r="N3435" t="s">
        <v>4794</v>
      </c>
      <c r="O3435" t="s">
        <v>2407</v>
      </c>
    </row>
    <row r="3436" spans="2:17">
      <c r="B3436" t="s">
        <v>4795</v>
      </c>
      <c r="C3436" t="s">
        <v>670</v>
      </c>
      <c r="D3436">
        <v>8.7030789261893999E-7</v>
      </c>
      <c r="E3436" t="s">
        <v>616</v>
      </c>
      <c r="H3436" t="s">
        <v>588</v>
      </c>
      <c r="I3436">
        <v>8.7030789261893999E-7</v>
      </c>
      <c r="J3436">
        <v>1</v>
      </c>
      <c r="N3436" t="s">
        <v>4796</v>
      </c>
      <c r="O3436" t="s">
        <v>2780</v>
      </c>
      <c r="Q3436" t="s">
        <v>1701</v>
      </c>
    </row>
    <row r="3437" spans="2:17">
      <c r="B3437" t="s">
        <v>4795</v>
      </c>
      <c r="C3437" t="s">
        <v>670</v>
      </c>
      <c r="D3437">
        <v>8.8638427887771696E-7</v>
      </c>
      <c r="E3437" t="s">
        <v>616</v>
      </c>
      <c r="H3437" t="s">
        <v>588</v>
      </c>
      <c r="I3437">
        <v>8.8638427887771696E-7</v>
      </c>
      <c r="J3437">
        <v>1</v>
      </c>
      <c r="N3437" t="s">
        <v>4796</v>
      </c>
      <c r="O3437" t="s">
        <v>882</v>
      </c>
      <c r="Q3437" t="s">
        <v>979</v>
      </c>
    </row>
    <row r="3438" spans="2:17">
      <c r="B3438" t="s">
        <v>4797</v>
      </c>
      <c r="C3438" t="s">
        <v>670</v>
      </c>
      <c r="D3438">
        <v>1.31237986365923E-5</v>
      </c>
      <c r="E3438" t="s">
        <v>616</v>
      </c>
      <c r="H3438" t="s">
        <v>588</v>
      </c>
      <c r="I3438">
        <v>1.31237986365923E-5</v>
      </c>
      <c r="J3438">
        <v>1</v>
      </c>
      <c r="N3438" t="s">
        <v>4798</v>
      </c>
      <c r="O3438" t="s">
        <v>882</v>
      </c>
      <c r="Q3438" t="s">
        <v>1701</v>
      </c>
    </row>
    <row r="3439" spans="2:17">
      <c r="B3439" t="s">
        <v>4797</v>
      </c>
      <c r="C3439" t="s">
        <v>670</v>
      </c>
      <c r="D3439">
        <v>1.2922766443251301E-5</v>
      </c>
      <c r="E3439" t="s">
        <v>616</v>
      </c>
      <c r="H3439" t="s">
        <v>588</v>
      </c>
      <c r="I3439">
        <v>1.2922766443251301E-5</v>
      </c>
      <c r="J3439">
        <v>1</v>
      </c>
      <c r="N3439" t="s">
        <v>4798</v>
      </c>
      <c r="O3439" t="s">
        <v>2780</v>
      </c>
      <c r="Q3439" t="s">
        <v>979</v>
      </c>
    </row>
    <row r="3440" spans="2:17">
      <c r="B3440" t="s">
        <v>4799</v>
      </c>
      <c r="C3440" t="s">
        <v>670</v>
      </c>
      <c r="D3440">
        <v>1.8337620568431499E-5</v>
      </c>
      <c r="E3440" t="s">
        <v>94</v>
      </c>
      <c r="H3440" t="s">
        <v>588</v>
      </c>
      <c r="I3440">
        <v>1.8337620568431499E-5</v>
      </c>
      <c r="J3440">
        <v>1.0805386501323246</v>
      </c>
      <c r="N3440" t="s">
        <v>4800</v>
      </c>
      <c r="O3440" t="s">
        <v>1665</v>
      </c>
      <c r="Q3440" t="s">
        <v>4801</v>
      </c>
    </row>
    <row r="3441" spans="2:17">
      <c r="B3441" t="s">
        <v>4802</v>
      </c>
      <c r="C3441" t="s">
        <v>670</v>
      </c>
      <c r="D3441">
        <v>2.9149344722872499E-5</v>
      </c>
      <c r="E3441" t="s">
        <v>94</v>
      </c>
      <c r="H3441" t="s">
        <v>588</v>
      </c>
      <c r="I3441">
        <v>2.9149344722872499E-5</v>
      </c>
      <c r="J3441">
        <v>1.151909910168909</v>
      </c>
      <c r="N3441" t="s">
        <v>4803</v>
      </c>
      <c r="O3441" t="s">
        <v>1967</v>
      </c>
      <c r="Q3441" t="s">
        <v>1974</v>
      </c>
    </row>
    <row r="3442" spans="2:17">
      <c r="B3442" t="s">
        <v>4804</v>
      </c>
      <c r="C3442" t="s">
        <v>670</v>
      </c>
      <c r="D3442">
        <v>1.2833396236967899E-7</v>
      </c>
      <c r="E3442" t="s">
        <v>616</v>
      </c>
      <c r="N3442" t="s">
        <v>4805</v>
      </c>
    </row>
    <row r="3443" spans="2:17">
      <c r="B3443" t="s">
        <v>4806</v>
      </c>
      <c r="C3443" t="s">
        <v>787</v>
      </c>
      <c r="D3443">
        <v>5.8180221228708097E-8</v>
      </c>
      <c r="E3443" t="s">
        <v>626</v>
      </c>
      <c r="H3443" t="s">
        <v>588</v>
      </c>
      <c r="I3443">
        <v>5.8180221228708097E-8</v>
      </c>
      <c r="J3443">
        <v>1.0247973619913604</v>
      </c>
      <c r="N3443" t="s">
        <v>4807</v>
      </c>
      <c r="O3443" t="s">
        <v>2220</v>
      </c>
      <c r="Q3443" t="s">
        <v>4808</v>
      </c>
    </row>
    <row r="3444" spans="2:17">
      <c r="B3444" t="s">
        <v>4809</v>
      </c>
      <c r="C3444" t="s">
        <v>787</v>
      </c>
      <c r="D3444">
        <v>1.6072280116947399E-6</v>
      </c>
      <c r="E3444" t="s">
        <v>626</v>
      </c>
      <c r="H3444" t="s">
        <v>588</v>
      </c>
      <c r="I3444">
        <v>1.6072280116947399E-6</v>
      </c>
      <c r="J3444">
        <v>1.0247973619913604</v>
      </c>
      <c r="N3444" t="s">
        <v>4810</v>
      </c>
      <c r="O3444" t="s">
        <v>1713</v>
      </c>
      <c r="Q3444" t="s">
        <v>4811</v>
      </c>
    </row>
    <row r="3445" spans="2:17">
      <c r="B3445" t="s">
        <v>4812</v>
      </c>
      <c r="C3445" t="s">
        <v>787</v>
      </c>
      <c r="D3445">
        <v>1.30982970540367E-7</v>
      </c>
      <c r="E3445" t="s">
        <v>626</v>
      </c>
      <c r="H3445" t="s">
        <v>588</v>
      </c>
      <c r="I3445">
        <v>1.30982970540367E-7</v>
      </c>
      <c r="J3445">
        <v>1.0247973619913604</v>
      </c>
      <c r="N3445" t="s">
        <v>4813</v>
      </c>
      <c r="O3445" t="s">
        <v>2220</v>
      </c>
      <c r="Q3445" t="s">
        <v>4814</v>
      </c>
    </row>
    <row r="3446" spans="2:17">
      <c r="B3446" t="s">
        <v>4815</v>
      </c>
      <c r="C3446" t="s">
        <v>787</v>
      </c>
      <c r="D3446">
        <v>8.3182851465710401E-8</v>
      </c>
      <c r="E3446" t="s">
        <v>626</v>
      </c>
      <c r="H3446" t="s">
        <v>588</v>
      </c>
      <c r="I3446">
        <v>8.3182851465710401E-8</v>
      </c>
      <c r="J3446">
        <v>1.0247973619913604</v>
      </c>
      <c r="N3446" t="s">
        <v>4816</v>
      </c>
      <c r="O3446" t="s">
        <v>1713</v>
      </c>
      <c r="Q3446" t="s">
        <v>4817</v>
      </c>
    </row>
    <row r="3447" spans="2:17">
      <c r="B3447" t="s">
        <v>4818</v>
      </c>
      <c r="C3447" t="s">
        <v>670</v>
      </c>
      <c r="D3447">
        <v>2.1770918180222601E-6</v>
      </c>
      <c r="E3447" t="s">
        <v>616</v>
      </c>
      <c r="H3447" t="s">
        <v>588</v>
      </c>
      <c r="I3447">
        <v>2.1770918180222601E-6</v>
      </c>
      <c r="J3447">
        <v>1.7293101253499219</v>
      </c>
      <c r="N3447" t="s">
        <v>4819</v>
      </c>
      <c r="O3447" t="s">
        <v>1435</v>
      </c>
      <c r="Q3447" t="s">
        <v>2394</v>
      </c>
    </row>
    <row r="3448" spans="2:17">
      <c r="B3448" t="s">
        <v>4820</v>
      </c>
      <c r="C3448" t="s">
        <v>670</v>
      </c>
      <c r="D3448">
        <v>1.1432325179690301E-6</v>
      </c>
      <c r="E3448" t="s">
        <v>616</v>
      </c>
      <c r="H3448" t="s">
        <v>588</v>
      </c>
      <c r="I3448">
        <v>1.1432325179690301E-6</v>
      </c>
      <c r="J3448">
        <v>1</v>
      </c>
      <c r="N3448" t="s">
        <v>4821</v>
      </c>
      <c r="O3448" t="s">
        <v>4786</v>
      </c>
      <c r="Q3448" t="s">
        <v>1701</v>
      </c>
    </row>
    <row r="3449" spans="2:17">
      <c r="B3449" t="s">
        <v>4820</v>
      </c>
      <c r="C3449" t="s">
        <v>670</v>
      </c>
      <c r="D3449">
        <v>1.1724795447213399E-6</v>
      </c>
      <c r="E3449" t="s">
        <v>616</v>
      </c>
      <c r="H3449" t="s">
        <v>588</v>
      </c>
      <c r="I3449">
        <v>1.1724795447213399E-6</v>
      </c>
      <c r="J3449">
        <v>1</v>
      </c>
      <c r="N3449" t="s">
        <v>4821</v>
      </c>
      <c r="O3449" t="s">
        <v>1700</v>
      </c>
      <c r="Q3449" t="s">
        <v>979</v>
      </c>
    </row>
    <row r="3450" spans="2:17">
      <c r="B3450" t="s">
        <v>4822</v>
      </c>
      <c r="C3450" t="s">
        <v>670</v>
      </c>
      <c r="D3450">
        <v>4.2124482226316399E-5</v>
      </c>
      <c r="E3450" t="s">
        <v>616</v>
      </c>
      <c r="H3450" t="s">
        <v>588</v>
      </c>
      <c r="I3450">
        <v>4.2124482226316399E-5</v>
      </c>
      <c r="J3450">
        <v>1</v>
      </c>
      <c r="N3450" t="s">
        <v>4823</v>
      </c>
      <c r="O3450" t="s">
        <v>4786</v>
      </c>
      <c r="Q3450" t="s">
        <v>1701</v>
      </c>
    </row>
    <row r="3451" spans="2:17">
      <c r="B3451" t="s">
        <v>4822</v>
      </c>
      <c r="C3451" t="s">
        <v>670</v>
      </c>
      <c r="D3451">
        <v>4.30045965584738E-5</v>
      </c>
      <c r="E3451" t="s">
        <v>616</v>
      </c>
      <c r="H3451" t="s">
        <v>588</v>
      </c>
      <c r="I3451">
        <v>4.30045965584738E-5</v>
      </c>
      <c r="J3451">
        <v>1</v>
      </c>
      <c r="N3451" t="s">
        <v>4823</v>
      </c>
      <c r="O3451" t="s">
        <v>1700</v>
      </c>
      <c r="Q3451" t="s">
        <v>979</v>
      </c>
    </row>
    <row r="3452" spans="2:17">
      <c r="B3452" t="s">
        <v>4824</v>
      </c>
      <c r="C3452" t="s">
        <v>670</v>
      </c>
      <c r="D3452">
        <v>4.3297598423691401E-5</v>
      </c>
      <c r="E3452" t="s">
        <v>1171</v>
      </c>
      <c r="H3452" t="s">
        <v>588</v>
      </c>
      <c r="I3452">
        <v>4.3297598423691401E-5</v>
      </c>
      <c r="J3452">
        <v>1</v>
      </c>
      <c r="N3452" t="s">
        <v>4825</v>
      </c>
      <c r="O3452" t="s">
        <v>2780</v>
      </c>
      <c r="Q3452" t="s">
        <v>1701</v>
      </c>
    </row>
    <row r="3453" spans="2:17">
      <c r="B3453" t="s">
        <v>4824</v>
      </c>
      <c r="C3453" t="s">
        <v>670</v>
      </c>
      <c r="D3453">
        <v>4.3907236593135401E-5</v>
      </c>
      <c r="E3453" t="s">
        <v>1171</v>
      </c>
      <c r="H3453" t="s">
        <v>588</v>
      </c>
      <c r="I3453">
        <v>4.3907236593135401E-5</v>
      </c>
      <c r="J3453">
        <v>1</v>
      </c>
      <c r="N3453" t="s">
        <v>4825</v>
      </c>
      <c r="O3453" t="s">
        <v>882</v>
      </c>
      <c r="Q3453" t="s">
        <v>1701</v>
      </c>
    </row>
    <row r="3454" spans="2:17">
      <c r="B3454" t="s">
        <v>4826</v>
      </c>
      <c r="C3454" t="s">
        <v>670</v>
      </c>
      <c r="D3454">
        <v>1.8508994047905699E-5</v>
      </c>
      <c r="E3454" t="s">
        <v>94</v>
      </c>
      <c r="H3454" t="s">
        <v>588</v>
      </c>
      <c r="I3454">
        <v>1.8508994047905699E-5</v>
      </c>
      <c r="J3454">
        <v>1.1051709180756477</v>
      </c>
      <c r="N3454" t="s">
        <v>4827</v>
      </c>
      <c r="O3454" t="s">
        <v>2780</v>
      </c>
      <c r="Q3454" t="s">
        <v>4704</v>
      </c>
    </row>
    <row r="3455" spans="2:17">
      <c r="B3455" t="s">
        <v>1564</v>
      </c>
      <c r="C3455" t="s">
        <v>670</v>
      </c>
      <c r="D3455">
        <v>1.3951382825807399E-4</v>
      </c>
      <c r="E3455" t="s">
        <v>94</v>
      </c>
      <c r="N3455" t="s">
        <v>1565</v>
      </c>
    </row>
    <row r="3456" spans="2:17">
      <c r="B3456" t="s">
        <v>1566</v>
      </c>
      <c r="C3456" t="s">
        <v>670</v>
      </c>
      <c r="D3456">
        <v>1.0592525791991301E-4</v>
      </c>
      <c r="E3456" t="s">
        <v>94</v>
      </c>
      <c r="N3456" t="s">
        <v>1567</v>
      </c>
      <c r="Q3456" t="s">
        <v>1136</v>
      </c>
    </row>
    <row r="3457" spans="2:17">
      <c r="B3457" t="s">
        <v>4828</v>
      </c>
      <c r="C3457" t="s">
        <v>670</v>
      </c>
      <c r="D3457">
        <v>1.9291511671908601E-5</v>
      </c>
      <c r="E3457" t="s">
        <v>94</v>
      </c>
      <c r="H3457" t="s">
        <v>588</v>
      </c>
      <c r="I3457">
        <v>1.9291511671908601E-5</v>
      </c>
      <c r="J3457">
        <v>1.760654165524179</v>
      </c>
      <c r="N3457" t="s">
        <v>4829</v>
      </c>
      <c r="O3457" t="s">
        <v>1770</v>
      </c>
      <c r="Q3457" t="s">
        <v>979</v>
      </c>
    </row>
    <row r="3458" spans="2:17">
      <c r="B3458" t="s">
        <v>4828</v>
      </c>
      <c r="C3458" t="s">
        <v>670</v>
      </c>
      <c r="D3458">
        <v>6.4584626032042006E-5</v>
      </c>
      <c r="E3458" t="s">
        <v>94</v>
      </c>
      <c r="H3458" t="s">
        <v>588</v>
      </c>
      <c r="I3458">
        <v>6.4584626032042006E-5</v>
      </c>
      <c r="J3458">
        <v>1.760654165524179</v>
      </c>
      <c r="N3458" t="s">
        <v>4829</v>
      </c>
      <c r="O3458" t="s">
        <v>1770</v>
      </c>
      <c r="Q3458" t="s">
        <v>979</v>
      </c>
    </row>
    <row r="3459" spans="2:17">
      <c r="B3459" t="s">
        <v>4830</v>
      </c>
      <c r="C3459" t="s">
        <v>670</v>
      </c>
      <c r="D3459">
        <v>3.35612690221491E-5</v>
      </c>
      <c r="E3459" t="s">
        <v>1171</v>
      </c>
      <c r="H3459" t="s">
        <v>588</v>
      </c>
      <c r="I3459">
        <v>3.35612690221491E-5</v>
      </c>
      <c r="J3459">
        <v>1</v>
      </c>
      <c r="N3459" t="s">
        <v>4831</v>
      </c>
      <c r="O3459" t="s">
        <v>4786</v>
      </c>
      <c r="Q3459" t="s">
        <v>979</v>
      </c>
    </row>
    <row r="3460" spans="2:17">
      <c r="B3460" t="s">
        <v>4830</v>
      </c>
      <c r="C3460" t="s">
        <v>670</v>
      </c>
      <c r="D3460">
        <v>3.4411110964383698E-5</v>
      </c>
      <c r="E3460" t="s">
        <v>1171</v>
      </c>
      <c r="H3460" t="s">
        <v>588</v>
      </c>
      <c r="I3460">
        <v>3.4411110964383698E-5</v>
      </c>
      <c r="J3460">
        <v>1</v>
      </c>
      <c r="N3460" t="s">
        <v>4831</v>
      </c>
      <c r="O3460" t="s">
        <v>1700</v>
      </c>
      <c r="Q3460" t="s">
        <v>979</v>
      </c>
    </row>
    <row r="3461" spans="2:17">
      <c r="B3461" t="s">
        <v>4832</v>
      </c>
      <c r="C3461" t="s">
        <v>670</v>
      </c>
      <c r="D3461">
        <v>9.4061780006985105E-8</v>
      </c>
      <c r="E3461" t="s">
        <v>616</v>
      </c>
      <c r="H3461" t="s">
        <v>588</v>
      </c>
      <c r="I3461">
        <v>9.4061780006985105E-8</v>
      </c>
      <c r="J3461">
        <v>1.0077760443023145</v>
      </c>
      <c r="N3461" t="s">
        <v>4833</v>
      </c>
      <c r="O3461" t="s">
        <v>956</v>
      </c>
      <c r="Q3461" t="s">
        <v>3016</v>
      </c>
    </row>
    <row r="3462" spans="2:17">
      <c r="B3462" t="s">
        <v>4834</v>
      </c>
      <c r="C3462" t="s">
        <v>670</v>
      </c>
      <c r="D3462">
        <v>4.8260706158170899E-8</v>
      </c>
      <c r="E3462" t="s">
        <v>616</v>
      </c>
      <c r="H3462" t="s">
        <v>588</v>
      </c>
      <c r="I3462">
        <v>4.8260706158170899E-8</v>
      </c>
      <c r="J3462">
        <v>1.0247973619913604</v>
      </c>
      <c r="N3462" t="s">
        <v>4835</v>
      </c>
      <c r="O3462" t="s">
        <v>956</v>
      </c>
      <c r="Q3462" t="s">
        <v>3016</v>
      </c>
    </row>
    <row r="3463" spans="2:17">
      <c r="B3463" t="s">
        <v>4836</v>
      </c>
      <c r="C3463" t="s">
        <v>670</v>
      </c>
      <c r="D3463">
        <v>4.8129579390483601E-8</v>
      </c>
      <c r="E3463" t="s">
        <v>616</v>
      </c>
      <c r="H3463" t="s">
        <v>588</v>
      </c>
      <c r="I3463">
        <v>4.8129579390483601E-8</v>
      </c>
      <c r="J3463">
        <v>1.0247973619913604</v>
      </c>
      <c r="N3463" t="s">
        <v>4837</v>
      </c>
      <c r="O3463" t="s">
        <v>956</v>
      </c>
      <c r="Q3463" t="s">
        <v>3016</v>
      </c>
    </row>
    <row r="3464" spans="2:17">
      <c r="B3464" t="s">
        <v>4838</v>
      </c>
      <c r="C3464" t="s">
        <v>670</v>
      </c>
      <c r="D3464">
        <v>4.2273102293869303E-8</v>
      </c>
      <c r="E3464" t="s">
        <v>616</v>
      </c>
      <c r="H3464" t="s">
        <v>588</v>
      </c>
      <c r="I3464">
        <v>4.2273102293869303E-8</v>
      </c>
      <c r="J3464">
        <v>1.0247973619913604</v>
      </c>
      <c r="N3464" t="s">
        <v>4839</v>
      </c>
      <c r="O3464" t="s">
        <v>956</v>
      </c>
      <c r="Q3464" t="s">
        <v>3016</v>
      </c>
    </row>
    <row r="3465" spans="2:17">
      <c r="B3465" t="s">
        <v>1568</v>
      </c>
      <c r="C3465" t="s">
        <v>670</v>
      </c>
      <c r="D3465">
        <v>9.7839533948580997E-5</v>
      </c>
      <c r="E3465" t="s">
        <v>94</v>
      </c>
      <c r="N3465" t="s">
        <v>1569</v>
      </c>
    </row>
    <row r="3466" spans="2:17">
      <c r="B3466" t="s">
        <v>4840</v>
      </c>
      <c r="C3466" t="s">
        <v>670</v>
      </c>
      <c r="D3466">
        <v>1.7852783325498901E-4</v>
      </c>
      <c r="E3466" t="s">
        <v>94</v>
      </c>
      <c r="H3466" t="s">
        <v>588</v>
      </c>
      <c r="I3466">
        <v>1.7852783325498901E-4</v>
      </c>
      <c r="J3466">
        <v>1.0247973619913604</v>
      </c>
      <c r="N3466" t="s">
        <v>4841</v>
      </c>
      <c r="O3466" t="s">
        <v>2017</v>
      </c>
      <c r="Q3466" t="s">
        <v>4842</v>
      </c>
    </row>
    <row r="3467" spans="2:17">
      <c r="B3467" t="s">
        <v>4843</v>
      </c>
      <c r="C3467" t="s">
        <v>670</v>
      </c>
      <c r="D3467">
        <v>3.1708386986364298E-6</v>
      </c>
      <c r="E3467" t="s">
        <v>94</v>
      </c>
      <c r="H3467" t="s">
        <v>588</v>
      </c>
      <c r="I3467">
        <v>3.1708386986364298E-6</v>
      </c>
      <c r="J3467">
        <v>1.0805386501323246</v>
      </c>
      <c r="N3467" t="s">
        <v>4844</v>
      </c>
      <c r="O3467" t="s">
        <v>1665</v>
      </c>
      <c r="Q3467" t="s">
        <v>4845</v>
      </c>
    </row>
    <row r="3468" spans="2:17">
      <c r="B3468" t="s">
        <v>4846</v>
      </c>
      <c r="C3468" t="s">
        <v>670</v>
      </c>
      <c r="D3468">
        <v>1.32435693272495E-4</v>
      </c>
      <c r="E3468" t="s">
        <v>94</v>
      </c>
      <c r="H3468" t="s">
        <v>588</v>
      </c>
      <c r="I3468">
        <v>1.32435693272495E-4</v>
      </c>
      <c r="J3468">
        <v>1.0247973619913604</v>
      </c>
      <c r="N3468" t="s">
        <v>4847</v>
      </c>
      <c r="O3468" t="s">
        <v>641</v>
      </c>
      <c r="Q3468" t="s">
        <v>1643</v>
      </c>
    </row>
    <row r="3469" spans="2:17">
      <c r="B3469" t="s">
        <v>4848</v>
      </c>
      <c r="C3469" t="s">
        <v>787</v>
      </c>
      <c r="D3469">
        <v>7.2523461984941903E-4</v>
      </c>
      <c r="E3469" t="s">
        <v>94</v>
      </c>
      <c r="H3469" t="s">
        <v>588</v>
      </c>
      <c r="I3469">
        <v>7.2523461984941903E-4</v>
      </c>
      <c r="J3469">
        <v>1.1051709180756477</v>
      </c>
      <c r="N3469" t="s">
        <v>4849</v>
      </c>
      <c r="O3469" t="s">
        <v>2780</v>
      </c>
      <c r="Q3469" t="s">
        <v>979</v>
      </c>
    </row>
    <row r="3470" spans="2:17">
      <c r="B3470" t="s">
        <v>4848</v>
      </c>
      <c r="C3470" t="s">
        <v>787</v>
      </c>
      <c r="D3470">
        <v>1.09564497136754E-5</v>
      </c>
      <c r="E3470" t="s">
        <v>94</v>
      </c>
      <c r="H3470" t="s">
        <v>588</v>
      </c>
      <c r="I3470">
        <v>1.09564497136754E-5</v>
      </c>
      <c r="J3470">
        <v>1.1051709180756477</v>
      </c>
      <c r="N3470" t="s">
        <v>4849</v>
      </c>
      <c r="O3470" t="s">
        <v>2780</v>
      </c>
      <c r="Q3470" t="s">
        <v>979</v>
      </c>
    </row>
    <row r="3471" spans="2:17">
      <c r="B3471" t="s">
        <v>4850</v>
      </c>
      <c r="C3471" t="s">
        <v>670</v>
      </c>
      <c r="D3471">
        <v>1.1586199583151799E-7</v>
      </c>
      <c r="E3471" t="s">
        <v>616</v>
      </c>
      <c r="N3471" t="s">
        <v>4851</v>
      </c>
    </row>
    <row r="3472" spans="2:17">
      <c r="B3472" t="s">
        <v>4852</v>
      </c>
      <c r="C3472" t="s">
        <v>670</v>
      </c>
      <c r="D3472">
        <v>5.4205591155771499E-6</v>
      </c>
      <c r="E3472" t="s">
        <v>616</v>
      </c>
      <c r="H3472" t="s">
        <v>588</v>
      </c>
      <c r="I3472">
        <v>5.4205591155771499E-6</v>
      </c>
      <c r="J3472">
        <v>1.7293101253499219</v>
      </c>
      <c r="N3472" t="s">
        <v>4853</v>
      </c>
      <c r="O3472" t="s">
        <v>1435</v>
      </c>
    </row>
    <row r="3473" spans="2:17">
      <c r="B3473" t="s">
        <v>4854</v>
      </c>
      <c r="C3473" t="s">
        <v>670</v>
      </c>
      <c r="D3473">
        <v>2.3006242403185201E-5</v>
      </c>
      <c r="E3473" t="s">
        <v>94</v>
      </c>
      <c r="H3473" t="s">
        <v>588</v>
      </c>
      <c r="I3473">
        <v>2.3006242403185201E-5</v>
      </c>
      <c r="J3473">
        <v>1.1051709180756477</v>
      </c>
      <c r="N3473" t="s">
        <v>4855</v>
      </c>
      <c r="O3473" t="s">
        <v>1731</v>
      </c>
      <c r="Q3473" t="s">
        <v>4856</v>
      </c>
    </row>
    <row r="3474" spans="2:17">
      <c r="B3474" t="s">
        <v>4857</v>
      </c>
      <c r="C3474" t="s">
        <v>670</v>
      </c>
      <c r="D3474">
        <v>1.1724795447213399E-6</v>
      </c>
      <c r="E3474" t="s">
        <v>616</v>
      </c>
      <c r="H3474" t="s">
        <v>588</v>
      </c>
      <c r="I3474">
        <v>1.1724795447213399E-6</v>
      </c>
      <c r="J3474">
        <v>1</v>
      </c>
      <c r="N3474" t="s">
        <v>4858</v>
      </c>
      <c r="O3474" t="s">
        <v>1700</v>
      </c>
      <c r="Q3474" t="s">
        <v>979</v>
      </c>
    </row>
    <row r="3475" spans="2:17">
      <c r="B3475" t="s">
        <v>4857</v>
      </c>
      <c r="C3475" t="s">
        <v>670</v>
      </c>
      <c r="D3475">
        <v>1.1432325179690301E-6</v>
      </c>
      <c r="E3475" t="s">
        <v>616</v>
      </c>
      <c r="H3475" t="s">
        <v>588</v>
      </c>
      <c r="I3475">
        <v>1.1432325179690301E-6</v>
      </c>
      <c r="J3475">
        <v>1</v>
      </c>
      <c r="N3475" t="s">
        <v>4858</v>
      </c>
      <c r="O3475" t="s">
        <v>4786</v>
      </c>
      <c r="Q3475" t="s">
        <v>979</v>
      </c>
    </row>
    <row r="3476" spans="2:17">
      <c r="B3476" t="s">
        <v>4859</v>
      </c>
      <c r="C3476" t="s">
        <v>744</v>
      </c>
      <c r="D3476">
        <v>3.5368928593250197E-5</v>
      </c>
      <c r="E3476" t="s">
        <v>94</v>
      </c>
      <c r="H3476" t="s">
        <v>588</v>
      </c>
      <c r="I3476">
        <v>3.5368928593250197E-5</v>
      </c>
      <c r="J3476">
        <v>1.0247973619913604</v>
      </c>
      <c r="N3476" t="s">
        <v>4860</v>
      </c>
      <c r="O3476" t="s">
        <v>2387</v>
      </c>
      <c r="Q3476" t="s">
        <v>3088</v>
      </c>
    </row>
    <row r="3477" spans="2:17">
      <c r="B3477" t="s">
        <v>4861</v>
      </c>
      <c r="C3477" t="s">
        <v>670</v>
      </c>
      <c r="D3477">
        <v>7.1069543270017702E-6</v>
      </c>
      <c r="E3477" t="s">
        <v>94</v>
      </c>
      <c r="N3477" t="s">
        <v>4862</v>
      </c>
    </row>
    <row r="3478" spans="2:17">
      <c r="B3478" t="s">
        <v>4863</v>
      </c>
      <c r="C3478" t="s">
        <v>670</v>
      </c>
      <c r="D3478">
        <v>9.1544600378737492E-6</v>
      </c>
      <c r="E3478" t="s">
        <v>94</v>
      </c>
      <c r="N3478" t="s">
        <v>4864</v>
      </c>
    </row>
    <row r="3479" spans="2:17">
      <c r="B3479" t="s">
        <v>4865</v>
      </c>
      <c r="C3479" t="s">
        <v>670</v>
      </c>
      <c r="D3479">
        <v>3.6579016815641202E-5</v>
      </c>
      <c r="E3479" t="s">
        <v>94</v>
      </c>
      <c r="H3479" t="s">
        <v>588</v>
      </c>
      <c r="I3479">
        <v>3.6579016815641202E-5</v>
      </c>
      <c r="J3479">
        <v>1.1051709180756477</v>
      </c>
      <c r="N3479" t="s">
        <v>4866</v>
      </c>
      <c r="O3479" t="s">
        <v>2780</v>
      </c>
      <c r="Q3479" t="s">
        <v>4704</v>
      </c>
    </row>
    <row r="3480" spans="2:17">
      <c r="B3480" t="s">
        <v>4867</v>
      </c>
      <c r="C3480" t="s">
        <v>670</v>
      </c>
      <c r="D3480">
        <v>3.1081841617918799E-4</v>
      </c>
      <c r="E3480" t="s">
        <v>94</v>
      </c>
      <c r="H3480" t="s">
        <v>588</v>
      </c>
      <c r="I3480">
        <v>3.1081841617918799E-4</v>
      </c>
      <c r="J3480">
        <v>1.151909910168909</v>
      </c>
      <c r="N3480" t="s">
        <v>4868</v>
      </c>
      <c r="O3480" t="s">
        <v>1967</v>
      </c>
      <c r="Q3480" t="s">
        <v>2018</v>
      </c>
    </row>
    <row r="3481" spans="2:17">
      <c r="B3481" t="s">
        <v>4869</v>
      </c>
      <c r="C3481" t="s">
        <v>670</v>
      </c>
      <c r="D3481">
        <v>1.36849180351964E-7</v>
      </c>
      <c r="E3481" t="s">
        <v>616</v>
      </c>
      <c r="H3481" t="s">
        <v>588</v>
      </c>
      <c r="I3481">
        <v>1.36849180351964E-7</v>
      </c>
      <c r="J3481">
        <v>1.0247973619913604</v>
      </c>
      <c r="N3481" t="s">
        <v>4870</v>
      </c>
      <c r="O3481" t="s">
        <v>956</v>
      </c>
      <c r="Q3481" t="s">
        <v>3016</v>
      </c>
    </row>
    <row r="3482" spans="2:17">
      <c r="B3482" t="s">
        <v>4871</v>
      </c>
      <c r="C3482" t="s">
        <v>670</v>
      </c>
      <c r="D3482">
        <v>8.8391350733994097E-8</v>
      </c>
      <c r="E3482" t="s">
        <v>616</v>
      </c>
      <c r="H3482" t="s">
        <v>588</v>
      </c>
      <c r="I3482">
        <v>8.8391350733994097E-8</v>
      </c>
      <c r="J3482">
        <v>1.0247973619913604</v>
      </c>
      <c r="N3482" t="s">
        <v>4872</v>
      </c>
      <c r="O3482" t="s">
        <v>956</v>
      </c>
      <c r="Q3482" t="s">
        <v>3016</v>
      </c>
    </row>
    <row r="3483" spans="2:17">
      <c r="B3483" t="s">
        <v>4873</v>
      </c>
      <c r="C3483" t="s">
        <v>670</v>
      </c>
      <c r="D3483">
        <v>8.8355506679187699E-8</v>
      </c>
      <c r="E3483" t="s">
        <v>616</v>
      </c>
      <c r="H3483" t="s">
        <v>588</v>
      </c>
      <c r="I3483">
        <v>8.8355506679187699E-8</v>
      </c>
      <c r="J3483">
        <v>1.0247973619913604</v>
      </c>
      <c r="N3483" t="s">
        <v>4874</v>
      </c>
      <c r="O3483" t="s">
        <v>956</v>
      </c>
      <c r="Q3483" t="s">
        <v>3016</v>
      </c>
    </row>
    <row r="3484" spans="2:17">
      <c r="B3484" t="s">
        <v>4875</v>
      </c>
      <c r="C3484" t="s">
        <v>670</v>
      </c>
      <c r="D3484">
        <v>4.2124482226316399E-5</v>
      </c>
      <c r="E3484" t="s">
        <v>616</v>
      </c>
      <c r="H3484" t="s">
        <v>588</v>
      </c>
      <c r="I3484">
        <v>4.2124482226316399E-5</v>
      </c>
      <c r="J3484">
        <v>1</v>
      </c>
      <c r="N3484" t="s">
        <v>4876</v>
      </c>
      <c r="O3484" t="s">
        <v>4786</v>
      </c>
      <c r="Q3484" t="s">
        <v>1701</v>
      </c>
    </row>
    <row r="3485" spans="2:17">
      <c r="B3485" t="s">
        <v>4875</v>
      </c>
      <c r="C3485" t="s">
        <v>670</v>
      </c>
      <c r="D3485">
        <v>4.30045965584738E-5</v>
      </c>
      <c r="E3485" t="s">
        <v>616</v>
      </c>
      <c r="H3485" t="s">
        <v>588</v>
      </c>
      <c r="I3485">
        <v>4.30045965584738E-5</v>
      </c>
      <c r="J3485">
        <v>1</v>
      </c>
      <c r="N3485" t="s">
        <v>4876</v>
      </c>
      <c r="O3485" t="s">
        <v>1700</v>
      </c>
      <c r="Q3485" t="s">
        <v>1701</v>
      </c>
    </row>
    <row r="3486" spans="2:17">
      <c r="B3486" t="s">
        <v>4877</v>
      </c>
      <c r="C3486" t="s">
        <v>670</v>
      </c>
      <c r="D3486">
        <v>9.6408698333263695E-4</v>
      </c>
      <c r="E3486" t="s">
        <v>1171</v>
      </c>
      <c r="H3486" t="s">
        <v>588</v>
      </c>
      <c r="I3486">
        <v>9.6408698333263695E-4</v>
      </c>
      <c r="J3486">
        <v>1</v>
      </c>
      <c r="N3486" t="s">
        <v>4878</v>
      </c>
      <c r="O3486" t="s">
        <v>1700</v>
      </c>
      <c r="Q3486" t="s">
        <v>1701</v>
      </c>
    </row>
    <row r="3487" spans="2:17">
      <c r="B3487" t="s">
        <v>4877</v>
      </c>
      <c r="C3487" t="s">
        <v>670</v>
      </c>
      <c r="D3487">
        <v>9.4879104670300804E-4</v>
      </c>
      <c r="E3487" t="s">
        <v>1171</v>
      </c>
      <c r="H3487" t="s">
        <v>588</v>
      </c>
      <c r="I3487">
        <v>9.4879104670300804E-4</v>
      </c>
      <c r="J3487">
        <v>1</v>
      </c>
      <c r="N3487" t="s">
        <v>4878</v>
      </c>
      <c r="O3487" t="s">
        <v>4786</v>
      </c>
      <c r="Q3487" t="s">
        <v>979</v>
      </c>
    </row>
    <row r="3488" spans="2:17">
      <c r="B3488" t="s">
        <v>4879</v>
      </c>
      <c r="C3488" t="s">
        <v>670</v>
      </c>
      <c r="D3488">
        <v>6.2115257760055796E-5</v>
      </c>
      <c r="E3488" t="s">
        <v>616</v>
      </c>
      <c r="H3488" t="s">
        <v>588</v>
      </c>
      <c r="I3488">
        <v>6.2115257760055796E-5</v>
      </c>
      <c r="J3488">
        <v>1</v>
      </c>
      <c r="N3488" t="s">
        <v>4880</v>
      </c>
      <c r="O3488" t="s">
        <v>2780</v>
      </c>
      <c r="Q3488" t="s">
        <v>979</v>
      </c>
    </row>
    <row r="3489" spans="2:17">
      <c r="B3489" t="s">
        <v>4879</v>
      </c>
      <c r="C3489" t="s">
        <v>670</v>
      </c>
      <c r="D3489">
        <v>6.3112278450678207E-5</v>
      </c>
      <c r="E3489" t="s">
        <v>616</v>
      </c>
      <c r="H3489" t="s">
        <v>588</v>
      </c>
      <c r="I3489">
        <v>6.3112278450678207E-5</v>
      </c>
      <c r="J3489">
        <v>1</v>
      </c>
      <c r="N3489" t="s">
        <v>4880</v>
      </c>
      <c r="O3489" t="s">
        <v>882</v>
      </c>
      <c r="Q3489" t="s">
        <v>1701</v>
      </c>
    </row>
    <row r="3490" spans="2:17">
      <c r="B3490" t="s">
        <v>4881</v>
      </c>
      <c r="C3490" t="s">
        <v>670</v>
      </c>
      <c r="D3490">
        <v>1.7748112925519599E-6</v>
      </c>
      <c r="E3490" t="s">
        <v>616</v>
      </c>
      <c r="H3490" t="s">
        <v>588</v>
      </c>
      <c r="I3490">
        <v>1.7748112925519599E-6</v>
      </c>
      <c r="J3490">
        <v>1</v>
      </c>
      <c r="N3490" t="s">
        <v>4882</v>
      </c>
      <c r="O3490" t="s">
        <v>882</v>
      </c>
      <c r="Q3490" t="s">
        <v>979</v>
      </c>
    </row>
    <row r="3491" spans="2:17">
      <c r="B3491" t="s">
        <v>4881</v>
      </c>
      <c r="C3491" t="s">
        <v>670</v>
      </c>
      <c r="D3491">
        <v>1.74265793968457E-6</v>
      </c>
      <c r="E3491" t="s">
        <v>616</v>
      </c>
      <c r="H3491" t="s">
        <v>588</v>
      </c>
      <c r="I3491">
        <v>1.74265793968457E-6</v>
      </c>
      <c r="J3491">
        <v>1</v>
      </c>
      <c r="N3491" t="s">
        <v>4882</v>
      </c>
      <c r="O3491" t="s">
        <v>2780</v>
      </c>
      <c r="Q3491" t="s">
        <v>1701</v>
      </c>
    </row>
    <row r="3492" spans="2:17">
      <c r="B3492" t="s">
        <v>4883</v>
      </c>
      <c r="C3492" t="s">
        <v>670</v>
      </c>
      <c r="D3492">
        <v>4.0058491353217301E-6</v>
      </c>
      <c r="E3492" t="s">
        <v>94</v>
      </c>
      <c r="H3492" t="s">
        <v>588</v>
      </c>
      <c r="I3492">
        <v>4.0058491353217301E-6</v>
      </c>
      <c r="J3492">
        <v>1.0247973619913604</v>
      </c>
      <c r="N3492" t="s">
        <v>4884</v>
      </c>
      <c r="O3492" t="s">
        <v>1914</v>
      </c>
      <c r="Q3492" t="s">
        <v>4885</v>
      </c>
    </row>
    <row r="3493" spans="2:17">
      <c r="B3493" t="s">
        <v>4886</v>
      </c>
      <c r="C3493" t="s">
        <v>670</v>
      </c>
      <c r="D3493">
        <v>5.7661165590396998E-6</v>
      </c>
      <c r="E3493" t="s">
        <v>94</v>
      </c>
      <c r="H3493" t="s">
        <v>588</v>
      </c>
      <c r="I3493">
        <v>5.7661165590396998E-6</v>
      </c>
      <c r="J3493">
        <v>1.0247973619913604</v>
      </c>
      <c r="N3493" t="s">
        <v>4887</v>
      </c>
      <c r="O3493" t="s">
        <v>4693</v>
      </c>
      <c r="Q3493" t="s">
        <v>4885</v>
      </c>
    </row>
    <row r="3494" spans="2:17">
      <c r="B3494" t="s">
        <v>4888</v>
      </c>
      <c r="C3494" t="s">
        <v>787</v>
      </c>
      <c r="D3494">
        <v>1.4146150410807201E-7</v>
      </c>
      <c r="E3494" t="s">
        <v>626</v>
      </c>
      <c r="H3494" t="s">
        <v>588</v>
      </c>
      <c r="I3494">
        <v>1.4146150410807201E-7</v>
      </c>
      <c r="J3494">
        <v>1.1051709180756477</v>
      </c>
      <c r="N3494" t="s">
        <v>4889</v>
      </c>
      <c r="O3494" t="s">
        <v>1675</v>
      </c>
      <c r="Q3494" t="s">
        <v>979</v>
      </c>
    </row>
    <row r="3495" spans="2:17">
      <c r="B3495" t="s">
        <v>4890</v>
      </c>
      <c r="C3495" t="s">
        <v>670</v>
      </c>
      <c r="D3495">
        <v>8.7030789261893999E-7</v>
      </c>
      <c r="E3495" t="s">
        <v>616</v>
      </c>
      <c r="H3495" t="s">
        <v>588</v>
      </c>
      <c r="I3495">
        <v>8.7030789261893999E-7</v>
      </c>
      <c r="J3495">
        <v>1</v>
      </c>
      <c r="N3495" t="s">
        <v>4891</v>
      </c>
      <c r="O3495" t="s">
        <v>2780</v>
      </c>
      <c r="Q3495" t="s">
        <v>979</v>
      </c>
    </row>
    <row r="3496" spans="2:17">
      <c r="B3496" t="s">
        <v>4890</v>
      </c>
      <c r="C3496" t="s">
        <v>670</v>
      </c>
      <c r="D3496">
        <v>8.8638427887771696E-7</v>
      </c>
      <c r="E3496" t="s">
        <v>616</v>
      </c>
      <c r="H3496" t="s">
        <v>588</v>
      </c>
      <c r="I3496">
        <v>8.8638427887771696E-7</v>
      </c>
      <c r="J3496">
        <v>1</v>
      </c>
      <c r="N3496" t="s">
        <v>4891</v>
      </c>
      <c r="O3496" t="s">
        <v>882</v>
      </c>
      <c r="Q3496" t="s">
        <v>1701</v>
      </c>
    </row>
    <row r="3497" spans="2:17">
      <c r="B3497" t="s">
        <v>4892</v>
      </c>
      <c r="C3497" t="s">
        <v>670</v>
      </c>
      <c r="D3497">
        <v>1.2922766443251301E-5</v>
      </c>
      <c r="E3497" t="s">
        <v>616</v>
      </c>
      <c r="H3497" t="s">
        <v>588</v>
      </c>
      <c r="I3497">
        <v>1.2922766443251301E-5</v>
      </c>
      <c r="J3497">
        <v>1</v>
      </c>
      <c r="N3497" t="s">
        <v>4893</v>
      </c>
      <c r="O3497" t="s">
        <v>2780</v>
      </c>
      <c r="Q3497" t="s">
        <v>979</v>
      </c>
    </row>
    <row r="3498" spans="2:17">
      <c r="B3498" t="s">
        <v>4892</v>
      </c>
      <c r="C3498" t="s">
        <v>670</v>
      </c>
      <c r="D3498">
        <v>1.31237986365923E-5</v>
      </c>
      <c r="E3498" t="s">
        <v>616</v>
      </c>
      <c r="H3498" t="s">
        <v>588</v>
      </c>
      <c r="I3498">
        <v>1.31237986365923E-5</v>
      </c>
      <c r="J3498">
        <v>1</v>
      </c>
      <c r="N3498" t="s">
        <v>4893</v>
      </c>
      <c r="O3498" t="s">
        <v>882</v>
      </c>
      <c r="Q3498" t="s">
        <v>1701</v>
      </c>
    </row>
    <row r="3499" spans="2:17">
      <c r="B3499" t="s">
        <v>4894</v>
      </c>
      <c r="C3499" t="s">
        <v>787</v>
      </c>
      <c r="D3499">
        <v>1.38040312294907E-6</v>
      </c>
      <c r="E3499" t="s">
        <v>626</v>
      </c>
      <c r="H3499" t="s">
        <v>588</v>
      </c>
      <c r="I3499">
        <v>1.38040312294907E-6</v>
      </c>
      <c r="J3499">
        <v>1.0247973619913604</v>
      </c>
      <c r="N3499" t="s">
        <v>4895</v>
      </c>
      <c r="O3499" t="s">
        <v>1713</v>
      </c>
      <c r="Q3499" t="s">
        <v>4896</v>
      </c>
    </row>
    <row r="3500" spans="2:17">
      <c r="B3500" t="s">
        <v>4897</v>
      </c>
      <c r="C3500" t="s">
        <v>787</v>
      </c>
      <c r="D3500">
        <v>5.1474965861337701E-8</v>
      </c>
      <c r="E3500" t="s">
        <v>626</v>
      </c>
      <c r="H3500" t="s">
        <v>588</v>
      </c>
      <c r="I3500">
        <v>5.1474965861337701E-8</v>
      </c>
      <c r="J3500">
        <v>1.0247973619913604</v>
      </c>
      <c r="N3500" t="s">
        <v>4898</v>
      </c>
      <c r="O3500" t="s">
        <v>2220</v>
      </c>
      <c r="Q3500" t="s">
        <v>4899</v>
      </c>
    </row>
    <row r="3501" spans="2:17">
      <c r="B3501" t="s">
        <v>784</v>
      </c>
      <c r="C3501" t="s">
        <v>658</v>
      </c>
      <c r="D3501">
        <v>1.8356567776593601E-9</v>
      </c>
      <c r="E3501" t="s">
        <v>94</v>
      </c>
      <c r="H3501" t="s">
        <v>588</v>
      </c>
      <c r="I3501">
        <v>1.8356567776593601E-9</v>
      </c>
      <c r="J3501">
        <v>2.2394398661220611</v>
      </c>
      <c r="O3501" t="s">
        <v>1678</v>
      </c>
      <c r="Q3501" t="s">
        <v>1679</v>
      </c>
    </row>
    <row r="3502" spans="2:17">
      <c r="B3502" t="s">
        <v>784</v>
      </c>
      <c r="C3502" t="s">
        <v>887</v>
      </c>
      <c r="D3502">
        <v>2.9593736489259599E-5</v>
      </c>
      <c r="E3502" t="s">
        <v>94</v>
      </c>
      <c r="H3502" t="s">
        <v>588</v>
      </c>
      <c r="I3502">
        <v>2.9593736489259599E-5</v>
      </c>
      <c r="J3502">
        <v>3.1100428544758336</v>
      </c>
      <c r="O3502" t="s">
        <v>1157</v>
      </c>
      <c r="Q3502" t="s">
        <v>4380</v>
      </c>
    </row>
    <row r="3503" spans="2:17">
      <c r="B3503" t="s">
        <v>784</v>
      </c>
      <c r="C3503" t="s">
        <v>654</v>
      </c>
      <c r="D3503">
        <v>5.2406156275711998E-9</v>
      </c>
      <c r="E3503" t="s">
        <v>94</v>
      </c>
      <c r="H3503" t="s">
        <v>588</v>
      </c>
      <c r="I3503">
        <v>5.2406156275711998E-9</v>
      </c>
      <c r="J3503">
        <v>1.2505791921887124</v>
      </c>
      <c r="O3503" t="s">
        <v>3040</v>
      </c>
      <c r="Q3503" t="s">
        <v>4528</v>
      </c>
    </row>
    <row r="3504" spans="2:17">
      <c r="B3504" t="s">
        <v>785</v>
      </c>
      <c r="C3504" t="s">
        <v>712</v>
      </c>
      <c r="D3504">
        <v>9.798288637709971E-10</v>
      </c>
      <c r="E3504" t="s">
        <v>94</v>
      </c>
      <c r="H3504" t="s">
        <v>588</v>
      </c>
      <c r="I3504">
        <v>9.798288637709971E-10</v>
      </c>
      <c r="J3504">
        <v>1.0247973619913604</v>
      </c>
      <c r="O3504" t="s">
        <v>2422</v>
      </c>
    </row>
    <row r="3505" spans="2:17">
      <c r="B3505" t="s">
        <v>785</v>
      </c>
      <c r="C3505" t="s">
        <v>661</v>
      </c>
      <c r="D3505">
        <v>7.7157354639197097E-7</v>
      </c>
      <c r="E3505" t="s">
        <v>94</v>
      </c>
      <c r="H3505" t="s">
        <v>588</v>
      </c>
      <c r="I3505">
        <v>7.7157354639197097E-7</v>
      </c>
      <c r="J3505">
        <v>3.3722012192531099</v>
      </c>
      <c r="O3505" t="s">
        <v>1157</v>
      </c>
      <c r="Q3505" t="s">
        <v>4420</v>
      </c>
    </row>
    <row r="3506" spans="2:17">
      <c r="B3506" t="s">
        <v>785</v>
      </c>
      <c r="C3506" t="s">
        <v>881</v>
      </c>
      <c r="D3506">
        <v>1.5592963694601001E-8</v>
      </c>
      <c r="E3506" t="s">
        <v>94</v>
      </c>
      <c r="H3506" t="s">
        <v>588</v>
      </c>
      <c r="I3506">
        <v>1.5592963694601001E-8</v>
      </c>
      <c r="J3506">
        <v>1.0247973619913604</v>
      </c>
      <c r="O3506" t="s">
        <v>2422</v>
      </c>
    </row>
    <row r="3507" spans="2:17">
      <c r="B3507" t="s">
        <v>4900</v>
      </c>
      <c r="C3507" t="s">
        <v>654</v>
      </c>
      <c r="D3507">
        <v>1.2490333265837701E-7</v>
      </c>
      <c r="E3507" t="s">
        <v>94</v>
      </c>
      <c r="H3507" t="s">
        <v>588</v>
      </c>
      <c r="I3507">
        <v>1.2490333265837701E-7</v>
      </c>
      <c r="J3507">
        <v>1.2214027581601699</v>
      </c>
      <c r="O3507" t="s">
        <v>641</v>
      </c>
      <c r="Q3507" t="s">
        <v>1643</v>
      </c>
    </row>
    <row r="3508" spans="2:17">
      <c r="B3508" t="s">
        <v>4901</v>
      </c>
      <c r="C3508" t="s">
        <v>787</v>
      </c>
      <c r="D3508">
        <v>3.3861853822335303E-5</v>
      </c>
      <c r="E3508" t="s">
        <v>94</v>
      </c>
      <c r="H3508" t="s">
        <v>588</v>
      </c>
      <c r="I3508">
        <v>3.3861853822335303E-5</v>
      </c>
      <c r="J3508">
        <v>1.1051709180756477</v>
      </c>
      <c r="N3508" t="s">
        <v>4902</v>
      </c>
      <c r="O3508" t="s">
        <v>2267</v>
      </c>
      <c r="Q3508" t="s">
        <v>4385</v>
      </c>
    </row>
    <row r="3509" spans="2:17">
      <c r="B3509" t="s">
        <v>4903</v>
      </c>
      <c r="C3509" t="s">
        <v>787</v>
      </c>
      <c r="D3509">
        <v>1.3844355169597799E-6</v>
      </c>
      <c r="E3509" t="s">
        <v>94</v>
      </c>
      <c r="H3509" t="s">
        <v>588</v>
      </c>
      <c r="I3509">
        <v>1.3844355169597799E-6</v>
      </c>
      <c r="J3509">
        <v>1.151909910168909</v>
      </c>
      <c r="N3509" t="s">
        <v>4904</v>
      </c>
      <c r="O3509" t="s">
        <v>4500</v>
      </c>
      <c r="Q3509" t="s">
        <v>3230</v>
      </c>
    </row>
    <row r="3510" spans="2:17">
      <c r="B3510" t="s">
        <v>4903</v>
      </c>
      <c r="C3510" t="s">
        <v>787</v>
      </c>
      <c r="D3510">
        <v>5.2963561557353801E-5</v>
      </c>
      <c r="E3510" t="s">
        <v>94</v>
      </c>
      <c r="H3510" t="s">
        <v>588</v>
      </c>
      <c r="I3510">
        <v>5.2963561557353801E-5</v>
      </c>
      <c r="J3510">
        <v>1.151909910168909</v>
      </c>
      <c r="N3510" t="s">
        <v>4904</v>
      </c>
      <c r="O3510" t="s">
        <v>4500</v>
      </c>
      <c r="Q3510" t="s">
        <v>3230</v>
      </c>
    </row>
    <row r="3511" spans="2:17">
      <c r="B3511" t="s">
        <v>4903</v>
      </c>
      <c r="C3511" t="s">
        <v>787</v>
      </c>
      <c r="D3511">
        <v>1.14101223446989E-4</v>
      </c>
      <c r="E3511" t="s">
        <v>94</v>
      </c>
      <c r="H3511" t="s">
        <v>588</v>
      </c>
      <c r="I3511">
        <v>1.14101223446989E-4</v>
      </c>
      <c r="J3511">
        <v>1.151909910168909</v>
      </c>
      <c r="N3511" t="s">
        <v>4904</v>
      </c>
      <c r="O3511" t="s">
        <v>4500</v>
      </c>
      <c r="Q3511" t="s">
        <v>3230</v>
      </c>
    </row>
    <row r="3512" spans="2:17">
      <c r="B3512" t="s">
        <v>4905</v>
      </c>
      <c r="C3512" t="s">
        <v>787</v>
      </c>
      <c r="D3512">
        <v>8.5259404266819502E-5</v>
      </c>
      <c r="E3512" t="s">
        <v>94</v>
      </c>
      <c r="H3512" t="s">
        <v>588</v>
      </c>
      <c r="I3512">
        <v>8.5259404266819502E-5</v>
      </c>
      <c r="J3512">
        <v>1.151909910168909</v>
      </c>
      <c r="N3512" t="s">
        <v>4906</v>
      </c>
      <c r="O3512" t="s">
        <v>867</v>
      </c>
      <c r="Q3512" t="s">
        <v>979</v>
      </c>
    </row>
    <row r="3513" spans="2:17">
      <c r="B3513" t="s">
        <v>4905</v>
      </c>
      <c r="C3513" t="s">
        <v>787</v>
      </c>
      <c r="D3513">
        <v>5.1158199912768801E-5</v>
      </c>
      <c r="E3513" t="s">
        <v>94</v>
      </c>
      <c r="H3513" t="s">
        <v>588</v>
      </c>
      <c r="I3513">
        <v>5.1158199912768801E-5</v>
      </c>
      <c r="J3513">
        <v>1</v>
      </c>
      <c r="N3513" t="s">
        <v>4906</v>
      </c>
      <c r="O3513" t="s">
        <v>1054</v>
      </c>
      <c r="Q3513" t="s">
        <v>979</v>
      </c>
    </row>
    <row r="3514" spans="2:17">
      <c r="B3514" t="s">
        <v>4907</v>
      </c>
      <c r="C3514" t="s">
        <v>670</v>
      </c>
      <c r="D3514">
        <v>4.9132938301799805E-4</v>
      </c>
      <c r="E3514" t="s">
        <v>94</v>
      </c>
      <c r="H3514" t="s">
        <v>588</v>
      </c>
      <c r="I3514">
        <v>4.9132938301799805E-4</v>
      </c>
      <c r="J3514">
        <v>1</v>
      </c>
      <c r="N3514" t="s">
        <v>4908</v>
      </c>
      <c r="O3514" t="s">
        <v>1700</v>
      </c>
      <c r="Q3514" t="s">
        <v>979</v>
      </c>
    </row>
    <row r="3515" spans="2:17">
      <c r="B3515" t="s">
        <v>4907</v>
      </c>
      <c r="C3515" t="s">
        <v>670</v>
      </c>
      <c r="D3515">
        <v>1.0216952127243301E-3</v>
      </c>
      <c r="E3515" t="s">
        <v>94</v>
      </c>
      <c r="H3515" t="s">
        <v>588</v>
      </c>
      <c r="I3515">
        <v>1.0216952127243301E-3</v>
      </c>
      <c r="J3515">
        <v>1</v>
      </c>
      <c r="N3515" t="s">
        <v>4908</v>
      </c>
      <c r="O3515" t="s">
        <v>1700</v>
      </c>
      <c r="Q3515" t="s">
        <v>979</v>
      </c>
    </row>
    <row r="3516" spans="2:17">
      <c r="B3516" t="s">
        <v>4907</v>
      </c>
      <c r="C3516" t="s">
        <v>670</v>
      </c>
      <c r="D3516">
        <v>1.48964965479599E-3</v>
      </c>
      <c r="E3516" t="s">
        <v>94</v>
      </c>
      <c r="H3516" t="s">
        <v>588</v>
      </c>
      <c r="I3516">
        <v>1.48964965479599E-3</v>
      </c>
      <c r="J3516">
        <v>1</v>
      </c>
      <c r="N3516" t="s">
        <v>4908</v>
      </c>
      <c r="O3516" t="s">
        <v>4786</v>
      </c>
      <c r="Q3516" t="s">
        <v>979</v>
      </c>
    </row>
    <row r="3517" spans="2:17">
      <c r="B3517" t="s">
        <v>4909</v>
      </c>
      <c r="C3517" t="s">
        <v>744</v>
      </c>
      <c r="D3517">
        <v>1.3515814224854699E-3</v>
      </c>
      <c r="E3517" t="s">
        <v>94</v>
      </c>
      <c r="H3517" t="s">
        <v>588</v>
      </c>
      <c r="I3517">
        <v>1.3515814224854699E-3</v>
      </c>
      <c r="J3517">
        <v>1.0247973619913604</v>
      </c>
      <c r="N3517" t="s">
        <v>4910</v>
      </c>
      <c r="O3517" t="s">
        <v>1713</v>
      </c>
      <c r="Q3517" t="s">
        <v>4911</v>
      </c>
    </row>
    <row r="3518" spans="2:17">
      <c r="B3518" t="s">
        <v>4912</v>
      </c>
      <c r="C3518" t="s">
        <v>787</v>
      </c>
      <c r="D3518">
        <v>8.99471000409666E-3</v>
      </c>
      <c r="E3518" t="s">
        <v>94</v>
      </c>
      <c r="H3518" t="s">
        <v>588</v>
      </c>
      <c r="I3518">
        <v>8.99471000409666E-3</v>
      </c>
      <c r="J3518">
        <v>1.0247973619913604</v>
      </c>
      <c r="N3518" t="s">
        <v>4913</v>
      </c>
      <c r="O3518" t="s">
        <v>4914</v>
      </c>
      <c r="Q3518" t="s">
        <v>4915</v>
      </c>
    </row>
    <row r="3519" spans="2:17">
      <c r="B3519" t="s">
        <v>4912</v>
      </c>
      <c r="C3519" t="s">
        <v>787</v>
      </c>
      <c r="D3519">
        <v>6.4343642349345601E-2</v>
      </c>
      <c r="E3519" t="s">
        <v>94</v>
      </c>
      <c r="H3519" t="s">
        <v>588</v>
      </c>
      <c r="I3519">
        <v>6.4343642349345601E-2</v>
      </c>
      <c r="J3519">
        <v>1.0247973619913604</v>
      </c>
      <c r="N3519" t="s">
        <v>4913</v>
      </c>
      <c r="O3519" t="s">
        <v>1713</v>
      </c>
      <c r="Q3519" t="s">
        <v>4916</v>
      </c>
    </row>
    <row r="3520" spans="2:17">
      <c r="B3520" t="s">
        <v>4912</v>
      </c>
      <c r="C3520" t="s">
        <v>787</v>
      </c>
      <c r="D3520">
        <v>8.3118624025760503E-3</v>
      </c>
      <c r="E3520" t="s">
        <v>94</v>
      </c>
      <c r="H3520" t="s">
        <v>588</v>
      </c>
      <c r="I3520">
        <v>8.3118624025760503E-3</v>
      </c>
      <c r="J3520">
        <v>1.0247973619913604</v>
      </c>
      <c r="N3520" t="s">
        <v>4913</v>
      </c>
      <c r="O3520" t="s">
        <v>4914</v>
      </c>
      <c r="Q3520" t="s">
        <v>4915</v>
      </c>
    </row>
    <row r="3521" spans="2:17">
      <c r="B3521" t="s">
        <v>4917</v>
      </c>
      <c r="C3521" t="s">
        <v>787</v>
      </c>
      <c r="D3521">
        <v>5.5326708842396405E-10</v>
      </c>
      <c r="E3521" t="s">
        <v>94</v>
      </c>
      <c r="N3521" t="s">
        <v>4918</v>
      </c>
      <c r="Q3521" t="s">
        <v>4919</v>
      </c>
    </row>
    <row r="3522" spans="2:17">
      <c r="B3522" t="s">
        <v>4917</v>
      </c>
      <c r="C3522" t="s">
        <v>787</v>
      </c>
      <c r="D3522">
        <v>5.22159114389742E-8</v>
      </c>
      <c r="E3522" t="s">
        <v>94</v>
      </c>
      <c r="N3522" t="s">
        <v>4918</v>
      </c>
      <c r="Q3522" t="s">
        <v>4919</v>
      </c>
    </row>
    <row r="3523" spans="2:17">
      <c r="B3523" t="s">
        <v>4917</v>
      </c>
      <c r="C3523" t="s">
        <v>787</v>
      </c>
      <c r="D3523">
        <v>7.4521219900716502E-7</v>
      </c>
      <c r="E3523" t="s">
        <v>94</v>
      </c>
      <c r="N3523" t="s">
        <v>4918</v>
      </c>
      <c r="Q3523" t="s">
        <v>4919</v>
      </c>
    </row>
    <row r="3524" spans="2:17">
      <c r="B3524" t="s">
        <v>4920</v>
      </c>
      <c r="C3524" t="s">
        <v>670</v>
      </c>
      <c r="D3524">
        <v>1.8598852028268999E-3</v>
      </c>
      <c r="E3524" t="s">
        <v>94</v>
      </c>
      <c r="N3524" t="s">
        <v>4921</v>
      </c>
      <c r="Q3524" t="s">
        <v>4922</v>
      </c>
    </row>
    <row r="3525" spans="2:17">
      <c r="B3525" t="s">
        <v>4923</v>
      </c>
      <c r="C3525" t="s">
        <v>787</v>
      </c>
      <c r="D3525">
        <v>5.0032059876110199E-5</v>
      </c>
      <c r="E3525" t="s">
        <v>94</v>
      </c>
      <c r="H3525" t="s">
        <v>588</v>
      </c>
      <c r="I3525">
        <v>5.0032059876110199E-5</v>
      </c>
      <c r="J3525">
        <v>1.0247973619913604</v>
      </c>
      <c r="N3525" t="s">
        <v>4924</v>
      </c>
      <c r="O3525" t="s">
        <v>1659</v>
      </c>
      <c r="Q3525" t="s">
        <v>4925</v>
      </c>
    </row>
    <row r="3526" spans="2:17">
      <c r="B3526" t="s">
        <v>4923</v>
      </c>
      <c r="C3526" t="s">
        <v>787</v>
      </c>
      <c r="D3526">
        <v>4.7386828401149801E-6</v>
      </c>
      <c r="E3526" t="s">
        <v>94</v>
      </c>
      <c r="H3526" t="s">
        <v>588</v>
      </c>
      <c r="I3526">
        <v>4.7386828401149801E-6</v>
      </c>
      <c r="J3526">
        <v>1.0247973619913604</v>
      </c>
      <c r="N3526" t="s">
        <v>4924</v>
      </c>
      <c r="O3526" t="s">
        <v>1659</v>
      </c>
      <c r="Q3526" t="s">
        <v>4925</v>
      </c>
    </row>
    <row r="3527" spans="2:17">
      <c r="B3527" t="s">
        <v>4923</v>
      </c>
      <c r="C3527" t="s">
        <v>787</v>
      </c>
      <c r="D3527">
        <v>3.2567373658446997E-8</v>
      </c>
      <c r="E3527" t="s">
        <v>94</v>
      </c>
      <c r="H3527" t="s">
        <v>588</v>
      </c>
      <c r="I3527">
        <v>3.2567373658446997E-8</v>
      </c>
      <c r="J3527">
        <v>1.0247973619913604</v>
      </c>
      <c r="N3527" t="s">
        <v>4924</v>
      </c>
      <c r="O3527" t="s">
        <v>1659</v>
      </c>
      <c r="Q3527" t="s">
        <v>4925</v>
      </c>
    </row>
    <row r="3528" spans="2:17">
      <c r="B3528" t="s">
        <v>1573</v>
      </c>
      <c r="C3528" t="s">
        <v>787</v>
      </c>
      <c r="D3528">
        <v>2.2228367376090098E-6</v>
      </c>
      <c r="E3528" t="s">
        <v>94</v>
      </c>
      <c r="N3528" t="s">
        <v>1574</v>
      </c>
      <c r="Q3528" t="s">
        <v>4926</v>
      </c>
    </row>
    <row r="3529" spans="2:17">
      <c r="B3529" t="s">
        <v>1573</v>
      </c>
      <c r="C3529" t="s">
        <v>787</v>
      </c>
      <c r="D3529">
        <v>4.2863268011685799E-4</v>
      </c>
      <c r="E3529" t="s">
        <v>94</v>
      </c>
      <c r="N3529" t="s">
        <v>1574</v>
      </c>
      <c r="Q3529" t="s">
        <v>4926</v>
      </c>
    </row>
    <row r="3530" spans="2:17">
      <c r="B3530" t="s">
        <v>1573</v>
      </c>
      <c r="C3530" t="s">
        <v>787</v>
      </c>
      <c r="D3530">
        <v>6.6440409640303697E-8</v>
      </c>
      <c r="E3530" t="s">
        <v>94</v>
      </c>
      <c r="N3530" t="s">
        <v>1574</v>
      </c>
      <c r="Q3530" t="s">
        <v>4926</v>
      </c>
    </row>
    <row r="3531" spans="2:17">
      <c r="B3531" t="s">
        <v>1573</v>
      </c>
      <c r="C3531" t="s">
        <v>787</v>
      </c>
      <c r="D3531">
        <v>2.9100271766803398E-7</v>
      </c>
      <c r="E3531" t="s">
        <v>94</v>
      </c>
      <c r="N3531" t="s">
        <v>1574</v>
      </c>
      <c r="Q3531" t="s">
        <v>4926</v>
      </c>
    </row>
    <row r="3532" spans="2:17">
      <c r="B3532" t="s">
        <v>1573</v>
      </c>
      <c r="C3532" t="s">
        <v>787</v>
      </c>
      <c r="D3532">
        <v>3.7944086845762002E-7</v>
      </c>
      <c r="E3532" t="s">
        <v>94</v>
      </c>
      <c r="N3532" t="s">
        <v>1574</v>
      </c>
      <c r="Q3532" t="s">
        <v>4926</v>
      </c>
    </row>
    <row r="3533" spans="2:17">
      <c r="B3533" t="s">
        <v>1573</v>
      </c>
      <c r="C3533" t="s">
        <v>787</v>
      </c>
      <c r="D3533">
        <v>1.18898855280915E-7</v>
      </c>
      <c r="E3533" t="s">
        <v>94</v>
      </c>
      <c r="N3533" t="s">
        <v>1574</v>
      </c>
      <c r="Q3533" t="s">
        <v>4926</v>
      </c>
    </row>
    <row r="3534" spans="2:17">
      <c r="B3534" t="s">
        <v>1573</v>
      </c>
      <c r="C3534" t="s">
        <v>787</v>
      </c>
      <c r="D3534">
        <v>9.6338330228031491E-7</v>
      </c>
      <c r="E3534" t="s">
        <v>94</v>
      </c>
      <c r="N3534" t="s">
        <v>1574</v>
      </c>
      <c r="Q3534" t="s">
        <v>4926</v>
      </c>
    </row>
    <row r="3535" spans="2:17">
      <c r="B3535" t="s">
        <v>1573</v>
      </c>
      <c r="C3535" t="s">
        <v>787</v>
      </c>
      <c r="D3535">
        <v>1.30314073102921E-7</v>
      </c>
      <c r="E3535" t="s">
        <v>94</v>
      </c>
      <c r="N3535" t="s">
        <v>1574</v>
      </c>
      <c r="Q3535" t="s">
        <v>4926</v>
      </c>
    </row>
    <row r="3536" spans="2:17">
      <c r="B3536" t="s">
        <v>1573</v>
      </c>
      <c r="C3536" t="s">
        <v>787</v>
      </c>
      <c r="D3536">
        <v>6.8433165674421705E-5</v>
      </c>
      <c r="E3536" t="s">
        <v>94</v>
      </c>
      <c r="N3536" t="s">
        <v>1577</v>
      </c>
      <c r="Q3536" t="s">
        <v>4927</v>
      </c>
    </row>
    <row r="3537" spans="2:17">
      <c r="B3537" t="s">
        <v>1573</v>
      </c>
      <c r="C3537" t="s">
        <v>787</v>
      </c>
      <c r="D3537">
        <v>1.0751486925440501E-5</v>
      </c>
      <c r="E3537" t="s">
        <v>94</v>
      </c>
      <c r="N3537" t="s">
        <v>1574</v>
      </c>
      <c r="Q3537" t="s">
        <v>4926</v>
      </c>
    </row>
    <row r="3538" spans="2:17">
      <c r="B3538" t="s">
        <v>1573</v>
      </c>
      <c r="C3538" t="s">
        <v>787</v>
      </c>
      <c r="D3538">
        <v>2.8813958494292599E-5</v>
      </c>
      <c r="E3538" t="s">
        <v>94</v>
      </c>
      <c r="N3538" t="s">
        <v>1574</v>
      </c>
      <c r="Q3538" t="s">
        <v>4926</v>
      </c>
    </row>
    <row r="3539" spans="2:17">
      <c r="B3539" t="s">
        <v>1573</v>
      </c>
      <c r="C3539" t="s">
        <v>787</v>
      </c>
      <c r="D3539">
        <v>5.7995170149538998E-4</v>
      </c>
      <c r="E3539" t="s">
        <v>94</v>
      </c>
      <c r="H3539" t="s">
        <v>588</v>
      </c>
      <c r="I3539">
        <v>5.7995170149538998E-4</v>
      </c>
      <c r="J3539">
        <v>1</v>
      </c>
      <c r="N3539" t="s">
        <v>1574</v>
      </c>
      <c r="O3539" t="s">
        <v>798</v>
      </c>
      <c r="Q3539" t="s">
        <v>4928</v>
      </c>
    </row>
    <row r="3540" spans="2:17">
      <c r="B3540" t="s">
        <v>1573</v>
      </c>
      <c r="C3540" t="s">
        <v>787</v>
      </c>
      <c r="D3540">
        <v>1.4930488451902399E-7</v>
      </c>
      <c r="E3540" t="s">
        <v>94</v>
      </c>
      <c r="N3540" t="s">
        <v>1574</v>
      </c>
      <c r="Q3540" t="s">
        <v>4927</v>
      </c>
    </row>
    <row r="3541" spans="2:17">
      <c r="B3541" t="s">
        <v>1573</v>
      </c>
      <c r="C3541" t="s">
        <v>787</v>
      </c>
      <c r="D3541">
        <v>2.8179278047312498E-7</v>
      </c>
      <c r="E3541" t="s">
        <v>94</v>
      </c>
      <c r="N3541" t="s">
        <v>1574</v>
      </c>
      <c r="Q3541" t="s">
        <v>4926</v>
      </c>
    </row>
    <row r="3542" spans="2:17">
      <c r="B3542" t="s">
        <v>1573</v>
      </c>
      <c r="C3542" t="s">
        <v>787</v>
      </c>
      <c r="D3542">
        <v>3.53380502480174E-7</v>
      </c>
      <c r="E3542" t="s">
        <v>94</v>
      </c>
      <c r="N3542" t="s">
        <v>1574</v>
      </c>
      <c r="Q3542" t="s">
        <v>4926</v>
      </c>
    </row>
    <row r="3543" spans="2:17">
      <c r="B3543" t="s">
        <v>1573</v>
      </c>
      <c r="C3543" t="s">
        <v>787</v>
      </c>
      <c r="D3543">
        <v>3.58438485404159E-6</v>
      </c>
      <c r="E3543" t="s">
        <v>94</v>
      </c>
      <c r="N3543" t="s">
        <v>1574</v>
      </c>
      <c r="Q3543" t="s">
        <v>4926</v>
      </c>
    </row>
    <row r="3544" spans="2:17">
      <c r="B3544" t="s">
        <v>1573</v>
      </c>
      <c r="C3544" t="s">
        <v>787</v>
      </c>
      <c r="D3544">
        <v>2.8377558947119099E-7</v>
      </c>
      <c r="E3544" t="s">
        <v>94</v>
      </c>
      <c r="N3544" t="s">
        <v>1574</v>
      </c>
      <c r="Q3544" t="s">
        <v>4926</v>
      </c>
    </row>
    <row r="3545" spans="2:17">
      <c r="B3545" t="s">
        <v>1573</v>
      </c>
      <c r="C3545" t="s">
        <v>787</v>
      </c>
      <c r="D3545">
        <v>1.4012926331981101E-6</v>
      </c>
      <c r="E3545" t="s">
        <v>94</v>
      </c>
      <c r="N3545" t="s">
        <v>1574</v>
      </c>
      <c r="Q3545" t="s">
        <v>4926</v>
      </c>
    </row>
    <row r="3546" spans="2:17">
      <c r="B3546" t="s">
        <v>1573</v>
      </c>
      <c r="C3546" t="s">
        <v>787</v>
      </c>
      <c r="D3546">
        <v>7.9568537026082901E-7</v>
      </c>
      <c r="E3546" t="s">
        <v>94</v>
      </c>
      <c r="N3546" t="s">
        <v>1574</v>
      </c>
      <c r="Q3546" t="s">
        <v>4926</v>
      </c>
    </row>
    <row r="3547" spans="2:17">
      <c r="B3547" t="s">
        <v>1573</v>
      </c>
      <c r="C3547" t="s">
        <v>787</v>
      </c>
      <c r="D3547">
        <v>4.4481545534416702E-7</v>
      </c>
      <c r="E3547" t="s">
        <v>94</v>
      </c>
      <c r="N3547" t="s">
        <v>1574</v>
      </c>
      <c r="Q3547" t="s">
        <v>4926</v>
      </c>
    </row>
    <row r="3548" spans="2:17">
      <c r="B3548" t="s">
        <v>1573</v>
      </c>
      <c r="C3548" t="s">
        <v>787</v>
      </c>
      <c r="D3548">
        <v>8.6478389018609694E-8</v>
      </c>
      <c r="E3548" t="s">
        <v>94</v>
      </c>
      <c r="N3548" t="s">
        <v>1574</v>
      </c>
      <c r="Q3548" t="s">
        <v>4926</v>
      </c>
    </row>
    <row r="3549" spans="2:17">
      <c r="B3549" t="s">
        <v>1573</v>
      </c>
      <c r="C3549" t="s">
        <v>787</v>
      </c>
      <c r="D3549">
        <v>5.1208702664472604E-6</v>
      </c>
      <c r="E3549" t="s">
        <v>94</v>
      </c>
      <c r="N3549" t="s">
        <v>1574</v>
      </c>
      <c r="Q3549" t="s">
        <v>4927</v>
      </c>
    </row>
    <row r="3550" spans="2:17">
      <c r="B3550" t="s">
        <v>1573</v>
      </c>
      <c r="C3550" t="s">
        <v>787</v>
      </c>
      <c r="D3550">
        <v>1.67795961535284E-6</v>
      </c>
      <c r="E3550" t="s">
        <v>94</v>
      </c>
      <c r="N3550" t="s">
        <v>1574</v>
      </c>
      <c r="Q3550" t="s">
        <v>4926</v>
      </c>
    </row>
    <row r="3551" spans="2:17">
      <c r="B3551" t="s">
        <v>1573</v>
      </c>
      <c r="C3551" t="s">
        <v>787</v>
      </c>
      <c r="D3551">
        <v>1.69446138447605E-7</v>
      </c>
      <c r="E3551" t="s">
        <v>94</v>
      </c>
      <c r="N3551" t="s">
        <v>1574</v>
      </c>
      <c r="Q3551" t="s">
        <v>4926</v>
      </c>
    </row>
    <row r="3552" spans="2:17">
      <c r="B3552" t="s">
        <v>1573</v>
      </c>
      <c r="C3552" t="s">
        <v>787</v>
      </c>
      <c r="D3552">
        <v>2.9419671706289403E-7</v>
      </c>
      <c r="E3552" t="s">
        <v>94</v>
      </c>
      <c r="N3552" t="s">
        <v>1574</v>
      </c>
      <c r="Q3552" t="s">
        <v>4926</v>
      </c>
    </row>
    <row r="3553" spans="2:17">
      <c r="B3553" t="s">
        <v>1573</v>
      </c>
      <c r="C3553" t="s">
        <v>787</v>
      </c>
      <c r="D3553">
        <v>1.6964484258086299E-6</v>
      </c>
      <c r="E3553" t="s">
        <v>94</v>
      </c>
      <c r="N3553" t="s">
        <v>1574</v>
      </c>
      <c r="Q3553" t="s">
        <v>4926</v>
      </c>
    </row>
    <row r="3554" spans="2:17">
      <c r="B3554" t="s">
        <v>1573</v>
      </c>
      <c r="C3554" t="s">
        <v>787</v>
      </c>
      <c r="D3554">
        <v>1.66000673371464E-4</v>
      </c>
      <c r="E3554" t="s">
        <v>94</v>
      </c>
      <c r="H3554" t="s">
        <v>588</v>
      </c>
      <c r="I3554">
        <v>1.66000673371464E-4</v>
      </c>
      <c r="J3554">
        <v>1.0247973619913604</v>
      </c>
      <c r="N3554" t="s">
        <v>1574</v>
      </c>
      <c r="O3554" t="s">
        <v>1713</v>
      </c>
      <c r="Q3554" t="s">
        <v>4929</v>
      </c>
    </row>
    <row r="3555" spans="2:17">
      <c r="B3555" t="s">
        <v>1573</v>
      </c>
      <c r="C3555" t="s">
        <v>787</v>
      </c>
      <c r="D3555">
        <v>1.0174328720717301E-5</v>
      </c>
      <c r="E3555" t="s">
        <v>94</v>
      </c>
      <c r="N3555" t="s">
        <v>1574</v>
      </c>
      <c r="Q3555" t="s">
        <v>4926</v>
      </c>
    </row>
    <row r="3556" spans="2:17">
      <c r="B3556" t="s">
        <v>1573</v>
      </c>
      <c r="C3556" t="s">
        <v>787</v>
      </c>
      <c r="D3556">
        <v>1.47382552355491E-7</v>
      </c>
      <c r="E3556" t="s">
        <v>94</v>
      </c>
      <c r="N3556" t="s">
        <v>1574</v>
      </c>
      <c r="Q3556" t="s">
        <v>4926</v>
      </c>
    </row>
    <row r="3557" spans="2:17">
      <c r="B3557" t="s">
        <v>1573</v>
      </c>
      <c r="C3557" t="s">
        <v>787</v>
      </c>
      <c r="D3557">
        <v>1.11241271063967E-6</v>
      </c>
      <c r="E3557" t="s">
        <v>94</v>
      </c>
      <c r="N3557" t="s">
        <v>1574</v>
      </c>
      <c r="Q3557" t="s">
        <v>4926</v>
      </c>
    </row>
    <row r="3558" spans="2:17">
      <c r="B3558" t="s">
        <v>1573</v>
      </c>
      <c r="C3558" t="s">
        <v>787</v>
      </c>
      <c r="D3558">
        <v>5.3785742236766997E-9</v>
      </c>
      <c r="E3558" t="s">
        <v>94</v>
      </c>
      <c r="H3558" t="s">
        <v>588</v>
      </c>
      <c r="I3558">
        <v>5.3785742236766997E-9</v>
      </c>
      <c r="J3558">
        <v>1.0247973619913604</v>
      </c>
      <c r="N3558" t="s">
        <v>4930</v>
      </c>
      <c r="O3558" t="s">
        <v>641</v>
      </c>
      <c r="Q3558" t="s">
        <v>1643</v>
      </c>
    </row>
    <row r="3559" spans="2:17">
      <c r="B3559" t="s">
        <v>1573</v>
      </c>
      <c r="C3559" t="s">
        <v>787</v>
      </c>
      <c r="D3559">
        <v>1.1030207748567701E-5</v>
      </c>
      <c r="E3559" t="s">
        <v>94</v>
      </c>
      <c r="N3559" t="s">
        <v>1574</v>
      </c>
      <c r="Q3559" t="s">
        <v>4926</v>
      </c>
    </row>
    <row r="3560" spans="2:17">
      <c r="B3560" t="s">
        <v>1573</v>
      </c>
      <c r="C3560" t="s">
        <v>787</v>
      </c>
      <c r="D3560">
        <v>4.13354783976646E-7</v>
      </c>
      <c r="E3560" t="s">
        <v>94</v>
      </c>
      <c r="N3560" t="s">
        <v>1574</v>
      </c>
      <c r="Q3560" t="s">
        <v>4926</v>
      </c>
    </row>
    <row r="3561" spans="2:17">
      <c r="B3561" t="s">
        <v>1573</v>
      </c>
      <c r="C3561" t="s">
        <v>787</v>
      </c>
      <c r="D3561">
        <v>2.07710263044235E-7</v>
      </c>
      <c r="E3561" t="s">
        <v>94</v>
      </c>
      <c r="N3561" t="s">
        <v>1574</v>
      </c>
      <c r="Q3561" t="s">
        <v>4926</v>
      </c>
    </row>
    <row r="3562" spans="2:17">
      <c r="B3562" t="s">
        <v>1573</v>
      </c>
      <c r="C3562" t="s">
        <v>787</v>
      </c>
      <c r="D3562">
        <v>6.1401487833386401E-7</v>
      </c>
      <c r="E3562" t="s">
        <v>94</v>
      </c>
      <c r="N3562" t="s">
        <v>1574</v>
      </c>
      <c r="Q3562" t="s">
        <v>4927</v>
      </c>
    </row>
    <row r="3563" spans="2:17">
      <c r="B3563" t="s">
        <v>1573</v>
      </c>
      <c r="C3563" t="s">
        <v>787</v>
      </c>
      <c r="D3563">
        <v>6.5811830185308201E-6</v>
      </c>
      <c r="E3563" t="s">
        <v>94</v>
      </c>
      <c r="N3563" t="s">
        <v>1574</v>
      </c>
      <c r="Q3563" t="s">
        <v>4927</v>
      </c>
    </row>
    <row r="3564" spans="2:17">
      <c r="B3564" t="s">
        <v>1573</v>
      </c>
      <c r="C3564" t="s">
        <v>787</v>
      </c>
      <c r="D3564">
        <v>7.6302690534365206E-8</v>
      </c>
      <c r="E3564" t="s">
        <v>94</v>
      </c>
      <c r="N3564" t="s">
        <v>1574</v>
      </c>
      <c r="Q3564" t="s">
        <v>4926</v>
      </c>
    </row>
    <row r="3565" spans="2:17">
      <c r="B3565" t="s">
        <v>1573</v>
      </c>
      <c r="C3565" t="s">
        <v>787</v>
      </c>
      <c r="D3565">
        <v>1.4329818466827E-6</v>
      </c>
      <c r="E3565" t="s">
        <v>94</v>
      </c>
      <c r="N3565" t="s">
        <v>1574</v>
      </c>
      <c r="Q3565" t="s">
        <v>4926</v>
      </c>
    </row>
    <row r="3566" spans="2:17">
      <c r="B3566" t="s">
        <v>1573</v>
      </c>
      <c r="C3566" t="s">
        <v>787</v>
      </c>
      <c r="D3566">
        <v>2.4718774478696199E-8</v>
      </c>
      <c r="E3566" t="s">
        <v>94</v>
      </c>
      <c r="N3566" t="s">
        <v>1574</v>
      </c>
      <c r="Q3566" t="s">
        <v>4926</v>
      </c>
    </row>
    <row r="3567" spans="2:17">
      <c r="B3567" t="s">
        <v>1573</v>
      </c>
      <c r="C3567" t="s">
        <v>787</v>
      </c>
      <c r="D3567">
        <v>1.9251200877332701E-5</v>
      </c>
      <c r="E3567" t="s">
        <v>94</v>
      </c>
      <c r="H3567" t="s">
        <v>588</v>
      </c>
      <c r="I3567">
        <v>1.9251200877332701E-5</v>
      </c>
      <c r="J3567">
        <v>1.0247973619913604</v>
      </c>
      <c r="N3567" t="s">
        <v>1574</v>
      </c>
      <c r="O3567" t="s">
        <v>2220</v>
      </c>
      <c r="Q3567" t="s">
        <v>4931</v>
      </c>
    </row>
    <row r="3568" spans="2:17">
      <c r="B3568" t="s">
        <v>1573</v>
      </c>
      <c r="C3568" t="s">
        <v>787</v>
      </c>
      <c r="D3568">
        <v>1.05479966535353E-6</v>
      </c>
      <c r="E3568" t="s">
        <v>94</v>
      </c>
      <c r="N3568" t="s">
        <v>1574</v>
      </c>
      <c r="Q3568" t="s">
        <v>4926</v>
      </c>
    </row>
    <row r="3569" spans="2:17">
      <c r="B3569" t="s">
        <v>1573</v>
      </c>
      <c r="C3569" t="s">
        <v>787</v>
      </c>
      <c r="D3569">
        <v>6.5599674203790302E-7</v>
      </c>
      <c r="E3569" t="s">
        <v>94</v>
      </c>
      <c r="N3569" t="s">
        <v>1574</v>
      </c>
      <c r="Q3569" t="s">
        <v>4926</v>
      </c>
    </row>
    <row r="3570" spans="2:17">
      <c r="B3570" t="s">
        <v>1573</v>
      </c>
      <c r="C3570" t="s">
        <v>787</v>
      </c>
      <c r="D3570">
        <v>4.3621590768476399E-7</v>
      </c>
      <c r="E3570" t="s">
        <v>94</v>
      </c>
      <c r="H3570" t="s">
        <v>588</v>
      </c>
      <c r="I3570">
        <v>4.3621590768476399E-7</v>
      </c>
      <c r="J3570">
        <v>1.0247973619913604</v>
      </c>
      <c r="N3570" t="s">
        <v>1577</v>
      </c>
      <c r="O3570" t="s">
        <v>2387</v>
      </c>
      <c r="Q3570" t="s">
        <v>979</v>
      </c>
    </row>
    <row r="3571" spans="2:17">
      <c r="B3571" t="s">
        <v>1573</v>
      </c>
      <c r="C3571" t="s">
        <v>787</v>
      </c>
      <c r="D3571">
        <v>2.2740838197424699E-6</v>
      </c>
      <c r="E3571" t="s">
        <v>94</v>
      </c>
      <c r="N3571" t="s">
        <v>1574</v>
      </c>
      <c r="Q3571" t="s">
        <v>4926</v>
      </c>
    </row>
    <row r="3572" spans="2:17">
      <c r="B3572" t="s">
        <v>1573</v>
      </c>
      <c r="C3572" t="s">
        <v>787</v>
      </c>
      <c r="D3572">
        <v>1.2963531981238299E-6</v>
      </c>
      <c r="E3572" t="s">
        <v>94</v>
      </c>
      <c r="N3572" t="s">
        <v>1574</v>
      </c>
      <c r="Q3572" t="s">
        <v>4926</v>
      </c>
    </row>
    <row r="3573" spans="2:17">
      <c r="B3573" t="s">
        <v>1573</v>
      </c>
      <c r="C3573" t="s">
        <v>787</v>
      </c>
      <c r="D3573">
        <v>1.62306429784617E-6</v>
      </c>
      <c r="E3573" t="s">
        <v>94</v>
      </c>
      <c r="N3573" t="s">
        <v>1574</v>
      </c>
      <c r="Q3573" t="s">
        <v>4926</v>
      </c>
    </row>
    <row r="3574" spans="2:17">
      <c r="B3574" t="s">
        <v>4932</v>
      </c>
      <c r="C3574" t="s">
        <v>670</v>
      </c>
      <c r="D3574">
        <v>1.03626730127427E-4</v>
      </c>
      <c r="E3574" t="s">
        <v>94</v>
      </c>
      <c r="H3574" t="s">
        <v>588</v>
      </c>
      <c r="I3574">
        <v>1.03626730127427E-4</v>
      </c>
      <c r="J3574">
        <v>1</v>
      </c>
      <c r="N3574" t="s">
        <v>4933</v>
      </c>
      <c r="O3574" t="s">
        <v>1157</v>
      </c>
      <c r="Q3574" t="s">
        <v>4632</v>
      </c>
    </row>
    <row r="3575" spans="2:17">
      <c r="B3575" t="s">
        <v>4932</v>
      </c>
      <c r="C3575" t="s">
        <v>670</v>
      </c>
      <c r="D3575">
        <v>2.6794729540332798E-4</v>
      </c>
      <c r="E3575" t="s">
        <v>94</v>
      </c>
      <c r="H3575" t="s">
        <v>588</v>
      </c>
      <c r="I3575">
        <v>2.6794729540332798E-4</v>
      </c>
      <c r="J3575">
        <v>1</v>
      </c>
      <c r="N3575" t="s">
        <v>4933</v>
      </c>
      <c r="O3575" t="s">
        <v>1157</v>
      </c>
      <c r="Q3575" t="s">
        <v>979</v>
      </c>
    </row>
    <row r="3576" spans="2:17">
      <c r="B3576" t="s">
        <v>4934</v>
      </c>
      <c r="C3576" t="s">
        <v>787</v>
      </c>
      <c r="D3576">
        <v>1.12308821151146E-4</v>
      </c>
      <c r="E3576" t="s">
        <v>94</v>
      </c>
      <c r="H3576" t="s">
        <v>588</v>
      </c>
      <c r="I3576">
        <v>1.12308821151146E-4</v>
      </c>
      <c r="J3576">
        <v>1.1051709180756477</v>
      </c>
      <c r="N3576" t="s">
        <v>4935</v>
      </c>
      <c r="O3576" t="s">
        <v>4550</v>
      </c>
      <c r="Q3576" t="s">
        <v>979</v>
      </c>
    </row>
    <row r="3577" spans="2:17">
      <c r="B3577" t="s">
        <v>4934</v>
      </c>
      <c r="C3577" t="s">
        <v>787</v>
      </c>
      <c r="D3577">
        <v>7.3748252493287196E-7</v>
      </c>
      <c r="E3577" t="s">
        <v>94</v>
      </c>
      <c r="H3577" t="s">
        <v>588</v>
      </c>
      <c r="I3577">
        <v>7.3748252493287196E-7</v>
      </c>
      <c r="J3577">
        <v>1.1051709180756477</v>
      </c>
      <c r="N3577" t="s">
        <v>4935</v>
      </c>
      <c r="O3577" t="s">
        <v>1628</v>
      </c>
      <c r="Q3577" t="s">
        <v>979</v>
      </c>
    </row>
    <row r="3578" spans="2:17">
      <c r="B3578" t="s">
        <v>4934</v>
      </c>
      <c r="C3578" t="s">
        <v>787</v>
      </c>
      <c r="D3578">
        <v>1.1161783046893001E-4</v>
      </c>
      <c r="E3578" t="s">
        <v>94</v>
      </c>
      <c r="H3578" t="s">
        <v>588</v>
      </c>
      <c r="I3578">
        <v>1.1161783046893001E-4</v>
      </c>
      <c r="J3578">
        <v>1.1051709180756477</v>
      </c>
      <c r="N3578" t="s">
        <v>4935</v>
      </c>
      <c r="O3578" t="s">
        <v>1628</v>
      </c>
      <c r="Q3578" t="s">
        <v>979</v>
      </c>
    </row>
    <row r="3579" spans="2:17">
      <c r="B3579" t="s">
        <v>944</v>
      </c>
      <c r="C3579" t="s">
        <v>787</v>
      </c>
      <c r="D3579">
        <v>1.19405040635968E-7</v>
      </c>
      <c r="E3579" t="s">
        <v>94</v>
      </c>
      <c r="H3579" t="s">
        <v>588</v>
      </c>
      <c r="I3579">
        <v>1.19405040635968E-7</v>
      </c>
      <c r="J3579">
        <v>1.0247973619913604</v>
      </c>
      <c r="N3579" t="s">
        <v>945</v>
      </c>
      <c r="O3579" t="s">
        <v>1745</v>
      </c>
      <c r="Q3579" t="s">
        <v>4936</v>
      </c>
    </row>
    <row r="3580" spans="2:17">
      <c r="B3580" t="s">
        <v>944</v>
      </c>
      <c r="C3580" t="s">
        <v>787</v>
      </c>
      <c r="D3580">
        <v>2.3186014171919899E-11</v>
      </c>
      <c r="E3580" t="s">
        <v>94</v>
      </c>
      <c r="H3580" t="s">
        <v>588</v>
      </c>
      <c r="I3580">
        <v>2.3186014171919899E-11</v>
      </c>
      <c r="J3580">
        <v>1.0247973619913604</v>
      </c>
      <c r="N3580" t="s">
        <v>945</v>
      </c>
      <c r="O3580" t="s">
        <v>1745</v>
      </c>
      <c r="Q3580" t="s">
        <v>4936</v>
      </c>
    </row>
    <row r="3581" spans="2:17">
      <c r="B3581" t="s">
        <v>944</v>
      </c>
      <c r="C3581" t="s">
        <v>787</v>
      </c>
      <c r="D3581">
        <v>3.8674599428628202E-10</v>
      </c>
      <c r="E3581" t="s">
        <v>94</v>
      </c>
      <c r="H3581" t="s">
        <v>588</v>
      </c>
      <c r="I3581">
        <v>3.8674599428628202E-10</v>
      </c>
      <c r="J3581">
        <v>1.0247973619913604</v>
      </c>
      <c r="N3581" t="s">
        <v>945</v>
      </c>
      <c r="O3581" t="s">
        <v>1745</v>
      </c>
      <c r="Q3581" t="s">
        <v>4936</v>
      </c>
    </row>
    <row r="3582" spans="2:17">
      <c r="B3582" t="s">
        <v>944</v>
      </c>
      <c r="C3582" t="s">
        <v>787</v>
      </c>
      <c r="D3582">
        <v>8.7132771891188796E-11</v>
      </c>
      <c r="E3582" t="s">
        <v>94</v>
      </c>
      <c r="H3582" t="s">
        <v>588</v>
      </c>
      <c r="I3582">
        <v>8.7132771891188796E-11</v>
      </c>
      <c r="J3582">
        <v>1.0247973619913604</v>
      </c>
      <c r="N3582" t="s">
        <v>945</v>
      </c>
      <c r="O3582" t="s">
        <v>1745</v>
      </c>
      <c r="Q3582" t="s">
        <v>4936</v>
      </c>
    </row>
    <row r="3583" spans="2:17">
      <c r="B3583" t="s">
        <v>944</v>
      </c>
      <c r="C3583" t="s">
        <v>787</v>
      </c>
      <c r="D3583">
        <v>1.2309286153704001E-10</v>
      </c>
      <c r="E3583" t="s">
        <v>94</v>
      </c>
      <c r="H3583" t="s">
        <v>588</v>
      </c>
      <c r="I3583">
        <v>1.2309286153704001E-10</v>
      </c>
      <c r="J3583">
        <v>1.0247973619913604</v>
      </c>
      <c r="N3583" t="s">
        <v>945</v>
      </c>
      <c r="O3583" t="s">
        <v>1745</v>
      </c>
      <c r="Q3583" t="s">
        <v>4936</v>
      </c>
    </row>
    <row r="3584" spans="2:17">
      <c r="B3584" t="s">
        <v>944</v>
      </c>
      <c r="C3584" t="s">
        <v>787</v>
      </c>
      <c r="D3584">
        <v>1.61527259496398E-6</v>
      </c>
      <c r="E3584" t="s">
        <v>94</v>
      </c>
      <c r="H3584" t="s">
        <v>588</v>
      </c>
      <c r="I3584">
        <v>1.61527259496398E-6</v>
      </c>
      <c r="J3584">
        <v>1.0247973619913604</v>
      </c>
      <c r="N3584" t="s">
        <v>945</v>
      </c>
      <c r="O3584" t="s">
        <v>1745</v>
      </c>
      <c r="Q3584" t="s">
        <v>4936</v>
      </c>
    </row>
    <row r="3585" spans="2:17">
      <c r="B3585" t="s">
        <v>944</v>
      </c>
      <c r="C3585" t="s">
        <v>787</v>
      </c>
      <c r="D3585">
        <v>1.7058866764584801E-10</v>
      </c>
      <c r="E3585" t="s">
        <v>94</v>
      </c>
      <c r="H3585" t="s">
        <v>588</v>
      </c>
      <c r="I3585">
        <v>1.7058866764584801E-10</v>
      </c>
      <c r="J3585">
        <v>1.0247973619913604</v>
      </c>
      <c r="N3585" t="s">
        <v>945</v>
      </c>
      <c r="O3585" t="s">
        <v>1745</v>
      </c>
      <c r="Q3585" t="s">
        <v>4936</v>
      </c>
    </row>
    <row r="3586" spans="2:17">
      <c r="B3586" t="s">
        <v>944</v>
      </c>
      <c r="C3586" t="s">
        <v>787</v>
      </c>
      <c r="D3586">
        <v>1.6237396858454001E-11</v>
      </c>
      <c r="E3586" t="s">
        <v>94</v>
      </c>
      <c r="H3586" t="s">
        <v>588</v>
      </c>
      <c r="I3586">
        <v>1.6237396858454001E-11</v>
      </c>
      <c r="J3586">
        <v>1.0247973619913604</v>
      </c>
      <c r="N3586" t="s">
        <v>945</v>
      </c>
      <c r="O3586" t="s">
        <v>1745</v>
      </c>
      <c r="Q3586" t="s">
        <v>4936</v>
      </c>
    </row>
    <row r="3587" spans="2:17">
      <c r="B3587" t="s">
        <v>944</v>
      </c>
      <c r="C3587" t="s">
        <v>787</v>
      </c>
      <c r="D3587">
        <v>4.4702023462874101E-7</v>
      </c>
      <c r="E3587" t="s">
        <v>94</v>
      </c>
      <c r="H3587" t="s">
        <v>588</v>
      </c>
      <c r="I3587">
        <v>4.4702023462874101E-7</v>
      </c>
      <c r="J3587">
        <v>1.0247973619913604</v>
      </c>
      <c r="N3587" t="s">
        <v>945</v>
      </c>
      <c r="O3587" t="s">
        <v>1745</v>
      </c>
      <c r="Q3587" t="s">
        <v>4936</v>
      </c>
    </row>
    <row r="3588" spans="2:17">
      <c r="B3588" t="s">
        <v>944</v>
      </c>
      <c r="C3588" t="s">
        <v>787</v>
      </c>
      <c r="D3588">
        <v>2.5925289132621301E-11</v>
      </c>
      <c r="E3588" t="s">
        <v>94</v>
      </c>
      <c r="H3588" t="s">
        <v>588</v>
      </c>
      <c r="I3588">
        <v>2.5925289132621301E-11</v>
      </c>
      <c r="J3588">
        <v>1.0247973619913604</v>
      </c>
      <c r="N3588" t="s">
        <v>945</v>
      </c>
      <c r="O3588" t="s">
        <v>1745</v>
      </c>
      <c r="Q3588" t="s">
        <v>4936</v>
      </c>
    </row>
    <row r="3589" spans="2:17">
      <c r="B3589" t="s">
        <v>944</v>
      </c>
      <c r="C3589" t="s">
        <v>787</v>
      </c>
      <c r="D3589">
        <v>7.7604283300514296E-11</v>
      </c>
      <c r="E3589" t="s">
        <v>94</v>
      </c>
      <c r="H3589" t="s">
        <v>588</v>
      </c>
      <c r="I3589">
        <v>7.7604283300514296E-11</v>
      </c>
      <c r="J3589">
        <v>1.0247973619913604</v>
      </c>
      <c r="N3589" t="s">
        <v>945</v>
      </c>
      <c r="O3589" t="s">
        <v>1745</v>
      </c>
      <c r="Q3589" t="s">
        <v>4936</v>
      </c>
    </row>
    <row r="3590" spans="2:17">
      <c r="B3590" t="s">
        <v>944</v>
      </c>
      <c r="C3590" t="s">
        <v>787</v>
      </c>
      <c r="D3590">
        <v>5.4380339242120097E-5</v>
      </c>
      <c r="E3590" t="s">
        <v>94</v>
      </c>
      <c r="H3590" t="s">
        <v>588</v>
      </c>
      <c r="I3590">
        <v>5.4380339242120097E-5</v>
      </c>
      <c r="J3590">
        <v>1.0247973619913604</v>
      </c>
      <c r="N3590" t="s">
        <v>945</v>
      </c>
      <c r="O3590" t="s">
        <v>1745</v>
      </c>
      <c r="Q3590" t="s">
        <v>4936</v>
      </c>
    </row>
    <row r="3591" spans="2:17">
      <c r="B3591" t="s">
        <v>944</v>
      </c>
      <c r="C3591" t="s">
        <v>787</v>
      </c>
      <c r="D3591">
        <v>2.2324294534472801E-11</v>
      </c>
      <c r="E3591" t="s">
        <v>94</v>
      </c>
      <c r="H3591" t="s">
        <v>588</v>
      </c>
      <c r="I3591">
        <v>2.2324294534472801E-11</v>
      </c>
      <c r="J3591">
        <v>1.0247973619913604</v>
      </c>
      <c r="N3591" t="s">
        <v>945</v>
      </c>
      <c r="O3591" t="s">
        <v>1745</v>
      </c>
      <c r="Q3591" t="s">
        <v>4936</v>
      </c>
    </row>
    <row r="3592" spans="2:17">
      <c r="B3592" t="s">
        <v>944</v>
      </c>
      <c r="C3592" t="s">
        <v>787</v>
      </c>
      <c r="D3592">
        <v>2.9273538222096099E-6</v>
      </c>
      <c r="E3592" t="s">
        <v>94</v>
      </c>
      <c r="H3592" t="s">
        <v>588</v>
      </c>
      <c r="I3592">
        <v>2.9273538222096099E-6</v>
      </c>
      <c r="J3592">
        <v>1.0247973619913604</v>
      </c>
      <c r="N3592" t="s">
        <v>945</v>
      </c>
      <c r="O3592" t="s">
        <v>1745</v>
      </c>
      <c r="Q3592" t="s">
        <v>4936</v>
      </c>
    </row>
    <row r="3593" spans="2:17">
      <c r="B3593" t="s">
        <v>944</v>
      </c>
      <c r="C3593" t="s">
        <v>787</v>
      </c>
      <c r="D3593">
        <v>6.0741269697045306E-11</v>
      </c>
      <c r="E3593" t="s">
        <v>94</v>
      </c>
      <c r="H3593" t="s">
        <v>588</v>
      </c>
      <c r="I3593">
        <v>6.0741269697045306E-11</v>
      </c>
      <c r="J3593">
        <v>1.0247973619913604</v>
      </c>
      <c r="N3593" t="s">
        <v>945</v>
      </c>
      <c r="O3593" t="s">
        <v>1745</v>
      </c>
      <c r="Q3593" t="s">
        <v>4936</v>
      </c>
    </row>
    <row r="3594" spans="2:17">
      <c r="B3594" t="s">
        <v>944</v>
      </c>
      <c r="C3594" t="s">
        <v>787</v>
      </c>
      <c r="D3594">
        <v>2.1347120146242101E-9</v>
      </c>
      <c r="E3594" t="s">
        <v>94</v>
      </c>
      <c r="H3594" t="s">
        <v>588</v>
      </c>
      <c r="I3594">
        <v>2.1347120146242101E-9</v>
      </c>
      <c r="J3594">
        <v>1.0247973619913604</v>
      </c>
      <c r="N3594" t="s">
        <v>945</v>
      </c>
      <c r="O3594" t="s">
        <v>1745</v>
      </c>
      <c r="Q3594" t="s">
        <v>4936</v>
      </c>
    </row>
    <row r="3595" spans="2:17">
      <c r="B3595" t="s">
        <v>944</v>
      </c>
      <c r="C3595" t="s">
        <v>787</v>
      </c>
      <c r="D3595">
        <v>3.2695749428291699E-11</v>
      </c>
      <c r="E3595" t="s">
        <v>94</v>
      </c>
      <c r="H3595" t="s">
        <v>588</v>
      </c>
      <c r="I3595">
        <v>3.2695749428291699E-11</v>
      </c>
      <c r="J3595">
        <v>1.0247973619913604</v>
      </c>
      <c r="N3595" t="s">
        <v>945</v>
      </c>
      <c r="O3595" t="s">
        <v>1745</v>
      </c>
      <c r="Q3595" t="s">
        <v>4936</v>
      </c>
    </row>
    <row r="3596" spans="2:17">
      <c r="B3596" t="s">
        <v>944</v>
      </c>
      <c r="C3596" t="s">
        <v>787</v>
      </c>
      <c r="D3596">
        <v>7.92817026029764E-12</v>
      </c>
      <c r="E3596" t="s">
        <v>94</v>
      </c>
      <c r="H3596" t="s">
        <v>588</v>
      </c>
      <c r="I3596">
        <v>7.92817026029764E-12</v>
      </c>
      <c r="J3596">
        <v>1.0247973619913604</v>
      </c>
      <c r="N3596" t="s">
        <v>945</v>
      </c>
      <c r="O3596" t="s">
        <v>1745</v>
      </c>
      <c r="Q3596" t="s">
        <v>4936</v>
      </c>
    </row>
    <row r="3597" spans="2:17">
      <c r="B3597" t="s">
        <v>944</v>
      </c>
      <c r="C3597" t="s">
        <v>787</v>
      </c>
      <c r="D3597">
        <v>4.7340477415253197E-10</v>
      </c>
      <c r="E3597" t="s">
        <v>94</v>
      </c>
      <c r="H3597" t="s">
        <v>588</v>
      </c>
      <c r="I3597">
        <v>4.7340477415253197E-10</v>
      </c>
      <c r="J3597">
        <v>1.0247973619913604</v>
      </c>
      <c r="N3597" t="s">
        <v>945</v>
      </c>
      <c r="O3597" t="s">
        <v>1745</v>
      </c>
      <c r="Q3597" t="s">
        <v>4936</v>
      </c>
    </row>
    <row r="3598" spans="2:17">
      <c r="B3598" t="s">
        <v>944</v>
      </c>
      <c r="C3598" t="s">
        <v>787</v>
      </c>
      <c r="D3598">
        <v>1.8833616377890499E-9</v>
      </c>
      <c r="E3598" t="s">
        <v>94</v>
      </c>
      <c r="H3598" t="s">
        <v>588</v>
      </c>
      <c r="I3598">
        <v>1.8833616377890499E-9</v>
      </c>
      <c r="J3598">
        <v>1.0247973619913604</v>
      </c>
      <c r="N3598" t="s">
        <v>945</v>
      </c>
      <c r="O3598" t="s">
        <v>1745</v>
      </c>
      <c r="Q3598" t="s">
        <v>4936</v>
      </c>
    </row>
    <row r="3599" spans="2:17">
      <c r="B3599" t="s">
        <v>944</v>
      </c>
      <c r="C3599" t="s">
        <v>787</v>
      </c>
      <c r="D3599">
        <v>2.9403834008563801E-10</v>
      </c>
      <c r="E3599" t="s">
        <v>94</v>
      </c>
      <c r="H3599" t="s">
        <v>588</v>
      </c>
      <c r="I3599">
        <v>2.9403834008563801E-10</v>
      </c>
      <c r="J3599">
        <v>1.0247973619913604</v>
      </c>
      <c r="N3599" t="s">
        <v>945</v>
      </c>
      <c r="O3599" t="s">
        <v>1745</v>
      </c>
      <c r="Q3599" t="s">
        <v>4936</v>
      </c>
    </row>
    <row r="3600" spans="2:17">
      <c r="B3600" t="s">
        <v>944</v>
      </c>
      <c r="C3600" t="s">
        <v>787</v>
      </c>
      <c r="D3600">
        <v>2.9276105325058799E-10</v>
      </c>
      <c r="E3600" t="s">
        <v>94</v>
      </c>
      <c r="H3600" t="s">
        <v>588</v>
      </c>
      <c r="I3600">
        <v>2.9276105325058799E-10</v>
      </c>
      <c r="J3600">
        <v>1.0247973619913604</v>
      </c>
      <c r="N3600" t="s">
        <v>945</v>
      </c>
      <c r="O3600" t="s">
        <v>1745</v>
      </c>
      <c r="Q3600" t="s">
        <v>4936</v>
      </c>
    </row>
    <row r="3601" spans="2:17">
      <c r="B3601" t="s">
        <v>944</v>
      </c>
      <c r="C3601" t="s">
        <v>787</v>
      </c>
      <c r="D3601">
        <v>4.2388190956596998E-11</v>
      </c>
      <c r="E3601" t="s">
        <v>94</v>
      </c>
      <c r="H3601" t="s">
        <v>588</v>
      </c>
      <c r="I3601">
        <v>4.2388190956596998E-11</v>
      </c>
      <c r="J3601">
        <v>1.0247973619913604</v>
      </c>
      <c r="N3601" t="s">
        <v>945</v>
      </c>
      <c r="O3601" t="s">
        <v>1745</v>
      </c>
      <c r="Q3601" t="s">
        <v>4936</v>
      </c>
    </row>
    <row r="3602" spans="2:17">
      <c r="B3602" t="s">
        <v>944</v>
      </c>
      <c r="C3602" t="s">
        <v>787</v>
      </c>
      <c r="D3602">
        <v>2.0415036168934899E-10</v>
      </c>
      <c r="E3602" t="s">
        <v>94</v>
      </c>
      <c r="H3602" t="s">
        <v>588</v>
      </c>
      <c r="I3602">
        <v>2.0415036168934899E-10</v>
      </c>
      <c r="J3602">
        <v>1.0247973619913604</v>
      </c>
      <c r="N3602" t="s">
        <v>945</v>
      </c>
      <c r="O3602" t="s">
        <v>1745</v>
      </c>
      <c r="Q3602" t="s">
        <v>4936</v>
      </c>
    </row>
    <row r="3603" spans="2:17">
      <c r="B3603" t="s">
        <v>944</v>
      </c>
      <c r="C3603" t="s">
        <v>787</v>
      </c>
      <c r="D3603">
        <v>1.33288594899209E-9</v>
      </c>
      <c r="E3603" t="s">
        <v>94</v>
      </c>
      <c r="H3603" t="s">
        <v>588</v>
      </c>
      <c r="I3603">
        <v>1.33288594899209E-9</v>
      </c>
      <c r="J3603">
        <v>1.0247973619913604</v>
      </c>
      <c r="N3603" t="s">
        <v>945</v>
      </c>
      <c r="O3603" t="s">
        <v>1745</v>
      </c>
      <c r="Q3603" t="s">
        <v>4936</v>
      </c>
    </row>
    <row r="3604" spans="2:17">
      <c r="B3604" t="s">
        <v>944</v>
      </c>
      <c r="C3604" t="s">
        <v>787</v>
      </c>
      <c r="D3604">
        <v>2.7823771065705401E-10</v>
      </c>
      <c r="E3604" t="s">
        <v>94</v>
      </c>
      <c r="H3604" t="s">
        <v>588</v>
      </c>
      <c r="I3604">
        <v>2.7823771065705401E-10</v>
      </c>
      <c r="J3604">
        <v>1.0247973619913604</v>
      </c>
      <c r="N3604" t="s">
        <v>945</v>
      </c>
      <c r="O3604" t="s">
        <v>1745</v>
      </c>
      <c r="Q3604" t="s">
        <v>4936</v>
      </c>
    </row>
    <row r="3605" spans="2:17">
      <c r="B3605" t="s">
        <v>944</v>
      </c>
      <c r="C3605" t="s">
        <v>787</v>
      </c>
      <c r="D3605">
        <v>3.9087867529403102E-8</v>
      </c>
      <c r="E3605" t="s">
        <v>94</v>
      </c>
      <c r="H3605" t="s">
        <v>588</v>
      </c>
      <c r="I3605">
        <v>3.9087867529403102E-8</v>
      </c>
      <c r="J3605">
        <v>1.0247973619913604</v>
      </c>
      <c r="N3605" t="s">
        <v>945</v>
      </c>
      <c r="O3605" t="s">
        <v>1745</v>
      </c>
      <c r="Q3605" t="s">
        <v>4936</v>
      </c>
    </row>
    <row r="3606" spans="2:17">
      <c r="B3606" t="s">
        <v>944</v>
      </c>
      <c r="C3606" t="s">
        <v>787</v>
      </c>
      <c r="D3606">
        <v>2.7232426810105899E-10</v>
      </c>
      <c r="E3606" t="s">
        <v>94</v>
      </c>
      <c r="H3606" t="s">
        <v>588</v>
      </c>
      <c r="I3606">
        <v>2.7232426810105899E-10</v>
      </c>
      <c r="J3606">
        <v>1.0247973619913604</v>
      </c>
      <c r="N3606" t="s">
        <v>945</v>
      </c>
      <c r="O3606" t="s">
        <v>1745</v>
      </c>
      <c r="Q3606" t="s">
        <v>4936</v>
      </c>
    </row>
    <row r="3607" spans="2:17">
      <c r="B3607" t="s">
        <v>944</v>
      </c>
      <c r="C3607" t="s">
        <v>787</v>
      </c>
      <c r="D3607">
        <v>1.6043889454684901E-10</v>
      </c>
      <c r="E3607" t="s">
        <v>94</v>
      </c>
      <c r="H3607" t="s">
        <v>588</v>
      </c>
      <c r="I3607">
        <v>1.6043889454684901E-10</v>
      </c>
      <c r="J3607">
        <v>1.0247973619913604</v>
      </c>
      <c r="N3607" t="s">
        <v>945</v>
      </c>
      <c r="O3607" t="s">
        <v>1745</v>
      </c>
      <c r="Q3607" t="s">
        <v>4936</v>
      </c>
    </row>
    <row r="3608" spans="2:17">
      <c r="B3608" t="s">
        <v>944</v>
      </c>
      <c r="C3608" t="s">
        <v>787</v>
      </c>
      <c r="D3608">
        <v>1.8173719579863301E-10</v>
      </c>
      <c r="E3608" t="s">
        <v>94</v>
      </c>
      <c r="H3608" t="s">
        <v>588</v>
      </c>
      <c r="I3608">
        <v>1.8173719579863301E-10</v>
      </c>
      <c r="J3608">
        <v>1.0247973619913604</v>
      </c>
      <c r="N3608" t="s">
        <v>945</v>
      </c>
      <c r="O3608" t="s">
        <v>1745</v>
      </c>
      <c r="Q3608" t="s">
        <v>4936</v>
      </c>
    </row>
    <row r="3609" spans="2:17">
      <c r="B3609" t="s">
        <v>944</v>
      </c>
      <c r="C3609" t="s">
        <v>787</v>
      </c>
      <c r="D3609">
        <v>2.9155335182843001E-7</v>
      </c>
      <c r="E3609" t="s">
        <v>94</v>
      </c>
      <c r="H3609" t="s">
        <v>588</v>
      </c>
      <c r="I3609">
        <v>2.9155335182843001E-7</v>
      </c>
      <c r="J3609">
        <v>1.0247973619913604</v>
      </c>
      <c r="N3609" t="s">
        <v>945</v>
      </c>
      <c r="O3609" t="s">
        <v>1745</v>
      </c>
      <c r="Q3609" t="s">
        <v>4936</v>
      </c>
    </row>
    <row r="3610" spans="2:17">
      <c r="B3610" t="s">
        <v>944</v>
      </c>
      <c r="C3610" t="s">
        <v>787</v>
      </c>
      <c r="D3610">
        <v>7.8694122007186794E-11</v>
      </c>
      <c r="E3610" t="s">
        <v>94</v>
      </c>
      <c r="H3610" t="s">
        <v>588</v>
      </c>
      <c r="I3610">
        <v>7.8694122007186794E-11</v>
      </c>
      <c r="J3610">
        <v>1.0247973619913604</v>
      </c>
      <c r="N3610" t="s">
        <v>945</v>
      </c>
      <c r="O3610" t="s">
        <v>1745</v>
      </c>
      <c r="Q3610" t="s">
        <v>4936</v>
      </c>
    </row>
    <row r="3611" spans="2:17">
      <c r="B3611" t="s">
        <v>944</v>
      </c>
      <c r="C3611" t="s">
        <v>787</v>
      </c>
      <c r="D3611">
        <v>4.29397062171083E-11</v>
      </c>
      <c r="E3611" t="s">
        <v>94</v>
      </c>
      <c r="H3611" t="s">
        <v>588</v>
      </c>
      <c r="I3611">
        <v>4.29397062171083E-11</v>
      </c>
      <c r="J3611">
        <v>1.0247973619913604</v>
      </c>
      <c r="N3611" t="s">
        <v>945</v>
      </c>
      <c r="O3611" t="s">
        <v>1745</v>
      </c>
      <c r="Q3611" t="s">
        <v>4936</v>
      </c>
    </row>
    <row r="3612" spans="2:17">
      <c r="B3612" t="s">
        <v>944</v>
      </c>
      <c r="C3612" t="s">
        <v>787</v>
      </c>
      <c r="D3612">
        <v>2.3760303733043999E-10</v>
      </c>
      <c r="E3612" t="s">
        <v>94</v>
      </c>
      <c r="H3612" t="s">
        <v>588</v>
      </c>
      <c r="I3612">
        <v>2.3760303733043999E-10</v>
      </c>
      <c r="J3612">
        <v>1.0247973619913604</v>
      </c>
      <c r="N3612" t="s">
        <v>945</v>
      </c>
      <c r="O3612" t="s">
        <v>1745</v>
      </c>
      <c r="Q3612" t="s">
        <v>4936</v>
      </c>
    </row>
    <row r="3613" spans="2:17">
      <c r="B3613" t="s">
        <v>944</v>
      </c>
      <c r="C3613" t="s">
        <v>787</v>
      </c>
      <c r="D3613">
        <v>7.2139360417508701E-11</v>
      </c>
      <c r="E3613" t="s">
        <v>94</v>
      </c>
      <c r="H3613" t="s">
        <v>588</v>
      </c>
      <c r="I3613">
        <v>7.2139360417508701E-11</v>
      </c>
      <c r="J3613">
        <v>1.0247973619913604</v>
      </c>
      <c r="N3613" t="s">
        <v>945</v>
      </c>
      <c r="O3613" t="s">
        <v>1745</v>
      </c>
      <c r="Q3613" t="s">
        <v>4936</v>
      </c>
    </row>
    <row r="3614" spans="2:17">
      <c r="B3614" t="s">
        <v>944</v>
      </c>
      <c r="C3614" t="s">
        <v>787</v>
      </c>
      <c r="D3614">
        <v>9.0283880327818901E-9</v>
      </c>
      <c r="E3614" t="s">
        <v>94</v>
      </c>
      <c r="H3614" t="s">
        <v>588</v>
      </c>
      <c r="I3614">
        <v>9.0283880327818901E-9</v>
      </c>
      <c r="J3614">
        <v>1.0247973619913604</v>
      </c>
      <c r="N3614" t="s">
        <v>945</v>
      </c>
      <c r="O3614" t="s">
        <v>1745</v>
      </c>
      <c r="Q3614" t="s">
        <v>4936</v>
      </c>
    </row>
    <row r="3615" spans="2:17">
      <c r="B3615" t="s">
        <v>944</v>
      </c>
      <c r="C3615" t="s">
        <v>787</v>
      </c>
      <c r="D3615">
        <v>1.5750250276251899E-7</v>
      </c>
      <c r="E3615" t="s">
        <v>94</v>
      </c>
      <c r="H3615" t="s">
        <v>588</v>
      </c>
      <c r="I3615">
        <v>1.5750250276251899E-7</v>
      </c>
      <c r="J3615">
        <v>1.0247973619913604</v>
      </c>
      <c r="N3615" t="s">
        <v>945</v>
      </c>
      <c r="O3615" t="s">
        <v>1745</v>
      </c>
      <c r="Q3615" t="s">
        <v>4936</v>
      </c>
    </row>
    <row r="3616" spans="2:17">
      <c r="B3616" t="s">
        <v>944</v>
      </c>
      <c r="C3616" t="s">
        <v>787</v>
      </c>
      <c r="D3616">
        <v>2.1021511452108799E-10</v>
      </c>
      <c r="E3616" t="s">
        <v>94</v>
      </c>
      <c r="H3616" t="s">
        <v>588</v>
      </c>
      <c r="I3616">
        <v>2.1021511452108799E-10</v>
      </c>
      <c r="J3616">
        <v>1.0247973619913604</v>
      </c>
      <c r="N3616" t="s">
        <v>945</v>
      </c>
      <c r="O3616" t="s">
        <v>1745</v>
      </c>
      <c r="Q3616" t="s">
        <v>4936</v>
      </c>
    </row>
    <row r="3617" spans="2:17">
      <c r="B3617" t="s">
        <v>944</v>
      </c>
      <c r="C3617" t="s">
        <v>787</v>
      </c>
      <c r="D3617">
        <v>1.9140870827589399E-10</v>
      </c>
      <c r="E3617" t="s">
        <v>94</v>
      </c>
      <c r="H3617" t="s">
        <v>588</v>
      </c>
      <c r="I3617">
        <v>1.9140870827589399E-10</v>
      </c>
      <c r="J3617">
        <v>1.0247973619913604</v>
      </c>
      <c r="N3617" t="s">
        <v>945</v>
      </c>
      <c r="O3617" t="s">
        <v>1745</v>
      </c>
      <c r="Q3617" t="s">
        <v>4936</v>
      </c>
    </row>
    <row r="3618" spans="2:17">
      <c r="B3618" t="s">
        <v>944</v>
      </c>
      <c r="C3618" t="s">
        <v>787</v>
      </c>
      <c r="D3618">
        <v>1.3657173020880201E-9</v>
      </c>
      <c r="E3618" t="s">
        <v>94</v>
      </c>
      <c r="H3618" t="s">
        <v>588</v>
      </c>
      <c r="I3618">
        <v>1.3657173020880201E-9</v>
      </c>
      <c r="J3618">
        <v>1.0247973619913604</v>
      </c>
      <c r="N3618" t="s">
        <v>945</v>
      </c>
      <c r="O3618" t="s">
        <v>1745</v>
      </c>
      <c r="Q3618" t="s">
        <v>4936</v>
      </c>
    </row>
    <row r="3619" spans="2:17">
      <c r="B3619" t="s">
        <v>944</v>
      </c>
      <c r="C3619" t="s">
        <v>787</v>
      </c>
      <c r="D3619">
        <v>3.9223897205951599E-10</v>
      </c>
      <c r="E3619" t="s">
        <v>94</v>
      </c>
      <c r="H3619" t="s">
        <v>588</v>
      </c>
      <c r="I3619">
        <v>3.9223897205951599E-10</v>
      </c>
      <c r="J3619">
        <v>1.0247973619913604</v>
      </c>
      <c r="N3619" t="s">
        <v>945</v>
      </c>
      <c r="O3619" t="s">
        <v>1745</v>
      </c>
      <c r="Q3619" t="s">
        <v>4936</v>
      </c>
    </row>
    <row r="3620" spans="2:17">
      <c r="B3620" t="s">
        <v>944</v>
      </c>
      <c r="C3620" t="s">
        <v>787</v>
      </c>
      <c r="D3620">
        <v>1.59917517102141E-10</v>
      </c>
      <c r="E3620" t="s">
        <v>94</v>
      </c>
      <c r="H3620" t="s">
        <v>588</v>
      </c>
      <c r="I3620">
        <v>1.59917517102141E-10</v>
      </c>
      <c r="J3620">
        <v>1.0247973619913604</v>
      </c>
      <c r="N3620" t="s">
        <v>945</v>
      </c>
      <c r="O3620" t="s">
        <v>1745</v>
      </c>
      <c r="Q3620" t="s">
        <v>4936</v>
      </c>
    </row>
    <row r="3621" spans="2:17">
      <c r="B3621" t="s">
        <v>944</v>
      </c>
      <c r="C3621" t="s">
        <v>787</v>
      </c>
      <c r="D3621">
        <v>2.69857077368378E-11</v>
      </c>
      <c r="E3621" t="s">
        <v>94</v>
      </c>
      <c r="H3621" t="s">
        <v>588</v>
      </c>
      <c r="I3621">
        <v>2.69857077368378E-11</v>
      </c>
      <c r="J3621">
        <v>1.0247973619913604</v>
      </c>
      <c r="N3621" t="s">
        <v>945</v>
      </c>
      <c r="O3621" t="s">
        <v>1745</v>
      </c>
      <c r="Q3621" t="s">
        <v>4936</v>
      </c>
    </row>
    <row r="3622" spans="2:17">
      <c r="B3622" t="s">
        <v>786</v>
      </c>
      <c r="C3622" t="s">
        <v>787</v>
      </c>
      <c r="D3622">
        <v>4.46488879536251E-4</v>
      </c>
      <c r="E3622" t="s">
        <v>94</v>
      </c>
      <c r="H3622" t="s">
        <v>588</v>
      </c>
      <c r="I3622">
        <v>4.46488879536251E-4</v>
      </c>
      <c r="J3622">
        <v>1.0247973619913604</v>
      </c>
      <c r="N3622" t="s">
        <v>788</v>
      </c>
      <c r="O3622" t="s">
        <v>641</v>
      </c>
      <c r="Q3622" t="s">
        <v>1672</v>
      </c>
    </row>
    <row r="3623" spans="2:17">
      <c r="B3623" t="s">
        <v>786</v>
      </c>
      <c r="C3623" t="s">
        <v>787</v>
      </c>
      <c r="D3623">
        <v>2.0730259269137401E-2</v>
      </c>
      <c r="E3623" t="s">
        <v>94</v>
      </c>
      <c r="H3623" t="s">
        <v>588</v>
      </c>
      <c r="I3623">
        <v>2.0730259269137401E-2</v>
      </c>
      <c r="J3623">
        <v>1.0247973619913604</v>
      </c>
      <c r="N3623" t="s">
        <v>788</v>
      </c>
      <c r="O3623" t="s">
        <v>641</v>
      </c>
      <c r="Q3623" t="s">
        <v>1672</v>
      </c>
    </row>
    <row r="3624" spans="2:17">
      <c r="B3624" t="s">
        <v>786</v>
      </c>
      <c r="C3624" t="s">
        <v>787</v>
      </c>
      <c r="D3624">
        <v>4.4634822052235201E-4</v>
      </c>
      <c r="E3624" t="s">
        <v>94</v>
      </c>
      <c r="H3624" t="s">
        <v>588</v>
      </c>
      <c r="I3624">
        <v>4.4634822052235201E-4</v>
      </c>
      <c r="J3624">
        <v>1.0247973619913604</v>
      </c>
      <c r="N3624" t="s">
        <v>788</v>
      </c>
      <c r="O3624" t="s">
        <v>641</v>
      </c>
      <c r="Q3624" t="s">
        <v>1672</v>
      </c>
    </row>
    <row r="3625" spans="2:17">
      <c r="B3625" t="s">
        <v>4937</v>
      </c>
      <c r="C3625" t="s">
        <v>787</v>
      </c>
      <c r="D3625">
        <v>1.28417857317611E-4</v>
      </c>
      <c r="E3625" t="s">
        <v>94</v>
      </c>
      <c r="H3625" t="s">
        <v>588</v>
      </c>
      <c r="I3625">
        <v>1.28417857317611E-4</v>
      </c>
      <c r="J3625">
        <v>1.0247973619913604</v>
      </c>
      <c r="N3625" t="s">
        <v>4938</v>
      </c>
      <c r="O3625" t="s">
        <v>2220</v>
      </c>
      <c r="Q3625" t="s">
        <v>4939</v>
      </c>
    </row>
    <row r="3626" spans="2:17">
      <c r="B3626" t="s">
        <v>1578</v>
      </c>
      <c r="C3626" t="s">
        <v>650</v>
      </c>
      <c r="D3626">
        <v>2.4898738032163802E-3</v>
      </c>
      <c r="E3626" t="s">
        <v>94</v>
      </c>
      <c r="H3626" t="s">
        <v>588</v>
      </c>
      <c r="I3626">
        <v>2.4898738032163802E-3</v>
      </c>
      <c r="J3626">
        <v>1.0247973619913604</v>
      </c>
      <c r="N3626" t="s">
        <v>1579</v>
      </c>
      <c r="O3626" t="s">
        <v>641</v>
      </c>
      <c r="Q3626" t="s">
        <v>1643</v>
      </c>
    </row>
    <row r="3627" spans="2:17">
      <c r="B3627" t="s">
        <v>1578</v>
      </c>
      <c r="C3627" t="s">
        <v>650</v>
      </c>
      <c r="D3627">
        <v>1.3887183594416499E-6</v>
      </c>
      <c r="E3627" t="s">
        <v>94</v>
      </c>
      <c r="H3627" t="s">
        <v>588</v>
      </c>
      <c r="I3627">
        <v>1.3887183594416499E-6</v>
      </c>
      <c r="J3627">
        <v>1.0247973619913604</v>
      </c>
      <c r="N3627" t="s">
        <v>1581</v>
      </c>
      <c r="O3627" t="s">
        <v>1157</v>
      </c>
      <c r="Q3627" t="s">
        <v>1582</v>
      </c>
    </row>
    <row r="3628" spans="2:17">
      <c r="B3628" t="s">
        <v>1578</v>
      </c>
      <c r="C3628" t="s">
        <v>650</v>
      </c>
      <c r="D3628">
        <v>6.1228537697287995E-4</v>
      </c>
      <c r="E3628" t="s">
        <v>94</v>
      </c>
      <c r="H3628" t="s">
        <v>588</v>
      </c>
      <c r="I3628">
        <v>6.1228537697287995E-4</v>
      </c>
      <c r="J3628">
        <v>1.0247973619913604</v>
      </c>
      <c r="N3628" t="s">
        <v>1579</v>
      </c>
      <c r="O3628" t="s">
        <v>4388</v>
      </c>
      <c r="Q3628" t="s">
        <v>4940</v>
      </c>
    </row>
    <row r="3629" spans="2:17">
      <c r="B3629" t="s">
        <v>1578</v>
      </c>
      <c r="C3629" t="s">
        <v>650</v>
      </c>
      <c r="D3629">
        <v>6.9435709137316604E-7</v>
      </c>
      <c r="E3629" t="s">
        <v>94</v>
      </c>
      <c r="H3629" t="s">
        <v>588</v>
      </c>
      <c r="I3629">
        <v>6.9435709137316604E-7</v>
      </c>
      <c r="J3629">
        <v>1.0247973619913604</v>
      </c>
      <c r="N3629" t="s">
        <v>1581</v>
      </c>
      <c r="O3629" t="s">
        <v>3601</v>
      </c>
      <c r="Q3629" t="s">
        <v>4941</v>
      </c>
    </row>
    <row r="3630" spans="2:17">
      <c r="B3630" t="s">
        <v>1578</v>
      </c>
      <c r="C3630" t="s">
        <v>650</v>
      </c>
      <c r="D3630">
        <v>3.5903772194840201E-5</v>
      </c>
      <c r="E3630" t="s">
        <v>94</v>
      </c>
      <c r="H3630" t="s">
        <v>588</v>
      </c>
      <c r="I3630">
        <v>3.5903772194840201E-5</v>
      </c>
      <c r="J3630">
        <v>1.0247973619913604</v>
      </c>
      <c r="N3630" t="s">
        <v>1579</v>
      </c>
      <c r="O3630" t="s">
        <v>4388</v>
      </c>
      <c r="Q3630" t="s">
        <v>4940</v>
      </c>
    </row>
    <row r="3631" spans="2:17">
      <c r="B3631" t="s">
        <v>4942</v>
      </c>
      <c r="C3631" t="s">
        <v>670</v>
      </c>
      <c r="D3631">
        <v>8.5781609385537797E-5</v>
      </c>
      <c r="E3631" t="s">
        <v>94</v>
      </c>
      <c r="H3631" t="s">
        <v>588</v>
      </c>
      <c r="I3631">
        <v>8.5781609385537797E-5</v>
      </c>
      <c r="J3631">
        <v>1.0247973619913604</v>
      </c>
      <c r="N3631" t="s">
        <v>4943</v>
      </c>
      <c r="O3631" t="s">
        <v>2387</v>
      </c>
      <c r="Q3631" t="s">
        <v>3088</v>
      </c>
    </row>
    <row r="3632" spans="2:17">
      <c r="B3632" t="s">
        <v>4942</v>
      </c>
      <c r="C3632" t="s">
        <v>670</v>
      </c>
      <c r="D3632">
        <v>1.55880354583877E-4</v>
      </c>
      <c r="E3632" t="s">
        <v>94</v>
      </c>
      <c r="H3632" t="s">
        <v>588</v>
      </c>
      <c r="I3632">
        <v>1.55880354583877E-4</v>
      </c>
      <c r="J3632">
        <v>1.0247973619913604</v>
      </c>
      <c r="N3632" t="s">
        <v>4943</v>
      </c>
      <c r="O3632" t="s">
        <v>2387</v>
      </c>
      <c r="Q3632" t="s">
        <v>3088</v>
      </c>
    </row>
    <row r="3633" spans="2:17">
      <c r="B3633" t="s">
        <v>4942</v>
      </c>
      <c r="C3633" t="s">
        <v>670</v>
      </c>
      <c r="D3633">
        <v>2.7642856924204601E-6</v>
      </c>
      <c r="E3633" t="s">
        <v>94</v>
      </c>
      <c r="H3633" t="s">
        <v>588</v>
      </c>
      <c r="I3633">
        <v>2.7642856924204601E-6</v>
      </c>
      <c r="J3633">
        <v>1.0247973619913604</v>
      </c>
      <c r="N3633" t="s">
        <v>4943</v>
      </c>
      <c r="O3633" t="s">
        <v>2387</v>
      </c>
      <c r="Q3633" t="s">
        <v>3088</v>
      </c>
    </row>
    <row r="3634" spans="2:17">
      <c r="B3634" t="s">
        <v>4944</v>
      </c>
      <c r="C3634" t="s">
        <v>787</v>
      </c>
      <c r="D3634">
        <v>5.1168783004698801E-5</v>
      </c>
      <c r="E3634" t="s">
        <v>94</v>
      </c>
      <c r="H3634" t="s">
        <v>588</v>
      </c>
      <c r="I3634">
        <v>5.1168783004698801E-5</v>
      </c>
      <c r="J3634">
        <v>1.1051709180756477</v>
      </c>
      <c r="N3634" t="s">
        <v>4945</v>
      </c>
      <c r="O3634" t="s">
        <v>1675</v>
      </c>
      <c r="Q3634" t="s">
        <v>979</v>
      </c>
    </row>
    <row r="3635" spans="2:17">
      <c r="B3635" t="s">
        <v>4944</v>
      </c>
      <c r="C3635" t="s">
        <v>787</v>
      </c>
      <c r="D3635">
        <v>6.7483281032793802E-5</v>
      </c>
      <c r="E3635" t="s">
        <v>94</v>
      </c>
      <c r="H3635" t="s">
        <v>588</v>
      </c>
      <c r="I3635">
        <v>6.7483281032793802E-5</v>
      </c>
      <c r="J3635">
        <v>1.151909910168909</v>
      </c>
      <c r="N3635" t="s">
        <v>4945</v>
      </c>
      <c r="O3635" t="s">
        <v>2428</v>
      </c>
      <c r="Q3635" t="s">
        <v>979</v>
      </c>
    </row>
    <row r="3636" spans="2:17">
      <c r="B3636" t="s">
        <v>4944</v>
      </c>
      <c r="C3636" t="s">
        <v>787</v>
      </c>
      <c r="D3636">
        <v>1.15900809505716E-4</v>
      </c>
      <c r="E3636" t="s">
        <v>94</v>
      </c>
      <c r="H3636" t="s">
        <v>588</v>
      </c>
      <c r="I3636">
        <v>1.15900809505716E-4</v>
      </c>
      <c r="J3636">
        <v>1.151909910168909</v>
      </c>
      <c r="N3636" t="s">
        <v>4945</v>
      </c>
      <c r="O3636" t="s">
        <v>2428</v>
      </c>
      <c r="Q3636" t="s">
        <v>979</v>
      </c>
    </row>
    <row r="3637" spans="2:17">
      <c r="B3637" t="s">
        <v>4946</v>
      </c>
      <c r="C3637" t="s">
        <v>3159</v>
      </c>
      <c r="D3637">
        <v>1.6316672594321398E-2</v>
      </c>
      <c r="E3637" t="s">
        <v>607</v>
      </c>
      <c r="H3637" t="s">
        <v>588</v>
      </c>
      <c r="I3637">
        <v>1.6316672594321398E-2</v>
      </c>
      <c r="J3637">
        <v>1.1051709180756477</v>
      </c>
      <c r="N3637" t="s">
        <v>4947</v>
      </c>
      <c r="O3637" t="s">
        <v>4948</v>
      </c>
      <c r="Q3637" t="s">
        <v>4949</v>
      </c>
    </row>
    <row r="3638" spans="2:17">
      <c r="B3638" t="s">
        <v>4950</v>
      </c>
      <c r="C3638" t="s">
        <v>3159</v>
      </c>
      <c r="D3638">
        <v>6.5295654541260295E-2</v>
      </c>
      <c r="E3638" t="s">
        <v>607</v>
      </c>
      <c r="H3638" t="s">
        <v>588</v>
      </c>
      <c r="I3638">
        <v>6.5295654541260295E-2</v>
      </c>
      <c r="J3638">
        <v>1.1051709180756477</v>
      </c>
      <c r="N3638" t="s">
        <v>4951</v>
      </c>
      <c r="O3638" t="s">
        <v>841</v>
      </c>
      <c r="Q3638" t="s">
        <v>3946</v>
      </c>
    </row>
    <row r="3639" spans="2:17">
      <c r="B3639" t="s">
        <v>4952</v>
      </c>
      <c r="C3639" t="s">
        <v>670</v>
      </c>
      <c r="D3639">
        <v>3.31786743882928E-4</v>
      </c>
      <c r="E3639" t="s">
        <v>94</v>
      </c>
      <c r="N3639" t="s">
        <v>4953</v>
      </c>
      <c r="Q3639" t="s">
        <v>4954</v>
      </c>
    </row>
    <row r="3640" spans="2:17">
      <c r="B3640" t="s">
        <v>4955</v>
      </c>
      <c r="C3640" t="s">
        <v>787</v>
      </c>
      <c r="D3640">
        <v>1.9251346083282701E-7</v>
      </c>
      <c r="E3640" t="s">
        <v>94</v>
      </c>
      <c r="H3640" t="s">
        <v>588</v>
      </c>
      <c r="I3640">
        <v>1.9251346083282701E-7</v>
      </c>
      <c r="J3640">
        <v>1.0247973619913604</v>
      </c>
      <c r="N3640" t="s">
        <v>4956</v>
      </c>
      <c r="O3640" t="s">
        <v>2006</v>
      </c>
      <c r="Q3640" t="s">
        <v>1679</v>
      </c>
    </row>
    <row r="3641" spans="2:17">
      <c r="B3641" t="s">
        <v>4955</v>
      </c>
      <c r="C3641" t="s">
        <v>787</v>
      </c>
      <c r="D3641">
        <v>6.7829931505957006E-8</v>
      </c>
      <c r="E3641" t="s">
        <v>94</v>
      </c>
      <c r="H3641" t="s">
        <v>588</v>
      </c>
      <c r="I3641">
        <v>6.7829931505957006E-8</v>
      </c>
      <c r="J3641">
        <v>1.0247973619913604</v>
      </c>
      <c r="N3641" t="s">
        <v>4956</v>
      </c>
      <c r="O3641" t="s">
        <v>2006</v>
      </c>
      <c r="Q3641" t="s">
        <v>1679</v>
      </c>
    </row>
    <row r="3642" spans="2:17">
      <c r="B3642" t="s">
        <v>4955</v>
      </c>
      <c r="C3642" t="s">
        <v>787</v>
      </c>
      <c r="D3642">
        <v>1.2606924066061999E-6</v>
      </c>
      <c r="E3642" t="s">
        <v>94</v>
      </c>
      <c r="H3642" t="s">
        <v>588</v>
      </c>
      <c r="I3642">
        <v>1.2606924066061999E-6</v>
      </c>
      <c r="J3642">
        <v>1.0247973619913604</v>
      </c>
      <c r="N3642" t="s">
        <v>4956</v>
      </c>
      <c r="O3642" t="s">
        <v>2006</v>
      </c>
      <c r="Q3642" t="s">
        <v>1679</v>
      </c>
    </row>
    <row r="3643" spans="2:17">
      <c r="B3643" t="s">
        <v>4955</v>
      </c>
      <c r="C3643" t="s">
        <v>787</v>
      </c>
      <c r="D3643">
        <v>4.4436239006498101E-7</v>
      </c>
      <c r="E3643" t="s">
        <v>94</v>
      </c>
      <c r="H3643" t="s">
        <v>588</v>
      </c>
      <c r="I3643">
        <v>4.4436239006498101E-7</v>
      </c>
      <c r="J3643">
        <v>1.0247973619913604</v>
      </c>
      <c r="N3643" t="s">
        <v>4956</v>
      </c>
      <c r="O3643" t="s">
        <v>2006</v>
      </c>
      <c r="Q3643" t="s">
        <v>1679</v>
      </c>
    </row>
    <row r="3644" spans="2:17">
      <c r="B3644" t="s">
        <v>4955</v>
      </c>
      <c r="C3644" t="s">
        <v>787</v>
      </c>
      <c r="D3644">
        <v>1.0753094116783599E-8</v>
      </c>
      <c r="E3644" t="s">
        <v>94</v>
      </c>
      <c r="H3644" t="s">
        <v>588</v>
      </c>
      <c r="I3644">
        <v>1.0753094116783599E-8</v>
      </c>
      <c r="J3644">
        <v>1.0247973619913604</v>
      </c>
      <c r="N3644" t="s">
        <v>4956</v>
      </c>
      <c r="O3644" t="s">
        <v>2006</v>
      </c>
      <c r="Q3644" t="s">
        <v>1679</v>
      </c>
    </row>
    <row r="3645" spans="2:17">
      <c r="B3645" t="s">
        <v>4955</v>
      </c>
      <c r="C3645" t="s">
        <v>787</v>
      </c>
      <c r="D3645">
        <v>1.49600615979694E-5</v>
      </c>
      <c r="E3645" t="s">
        <v>94</v>
      </c>
      <c r="H3645" t="s">
        <v>588</v>
      </c>
      <c r="I3645">
        <v>1.49600615979694E-5</v>
      </c>
      <c r="J3645">
        <v>1.0247973619913604</v>
      </c>
      <c r="N3645" t="s">
        <v>4956</v>
      </c>
      <c r="O3645" t="s">
        <v>2006</v>
      </c>
      <c r="Q3645" t="s">
        <v>1679</v>
      </c>
    </row>
    <row r="3646" spans="2:17">
      <c r="B3646" t="s">
        <v>4955</v>
      </c>
      <c r="C3646" t="s">
        <v>787</v>
      </c>
      <c r="D3646">
        <v>8.0206489390000793E-8</v>
      </c>
      <c r="E3646" t="s">
        <v>94</v>
      </c>
      <c r="H3646" t="s">
        <v>588</v>
      </c>
      <c r="I3646">
        <v>8.0206489390000793E-8</v>
      </c>
      <c r="J3646">
        <v>1.0247973619913604</v>
      </c>
      <c r="N3646" t="s">
        <v>4956</v>
      </c>
      <c r="O3646" t="s">
        <v>2006</v>
      </c>
      <c r="Q3646" t="s">
        <v>1679</v>
      </c>
    </row>
    <row r="3647" spans="2:17">
      <c r="B3647" t="s">
        <v>4955</v>
      </c>
      <c r="C3647" t="s">
        <v>787</v>
      </c>
      <c r="D3647">
        <v>2.84771724072741E-6</v>
      </c>
      <c r="E3647" t="s">
        <v>94</v>
      </c>
      <c r="H3647" t="s">
        <v>588</v>
      </c>
      <c r="I3647">
        <v>2.84771724072741E-6</v>
      </c>
      <c r="J3647">
        <v>1.0247973619913604</v>
      </c>
      <c r="N3647" t="s">
        <v>4957</v>
      </c>
      <c r="O3647" t="s">
        <v>2004</v>
      </c>
      <c r="Q3647" t="s">
        <v>4958</v>
      </c>
    </row>
    <row r="3648" spans="2:17">
      <c r="B3648" t="s">
        <v>4959</v>
      </c>
      <c r="C3648" t="s">
        <v>650</v>
      </c>
      <c r="D3648">
        <v>5.3881218161488801E-6</v>
      </c>
      <c r="E3648" t="s">
        <v>94</v>
      </c>
      <c r="H3648" t="s">
        <v>588</v>
      </c>
      <c r="I3648">
        <v>5.3881218161488801E-6</v>
      </c>
      <c r="J3648">
        <v>1.0247973619913604</v>
      </c>
      <c r="N3648" t="s">
        <v>4960</v>
      </c>
      <c r="O3648" t="s">
        <v>1883</v>
      </c>
    </row>
    <row r="3649" spans="2:17">
      <c r="B3649" t="s">
        <v>4959</v>
      </c>
      <c r="C3649" t="s">
        <v>650</v>
      </c>
      <c r="D3649">
        <v>2.6178979404054601E-5</v>
      </c>
      <c r="E3649" t="s">
        <v>94</v>
      </c>
      <c r="H3649" t="s">
        <v>588</v>
      </c>
      <c r="I3649">
        <v>2.6178979404054601E-5</v>
      </c>
      <c r="J3649">
        <v>1.0247973619913604</v>
      </c>
      <c r="N3649" t="s">
        <v>4960</v>
      </c>
      <c r="O3649" t="s">
        <v>2189</v>
      </c>
    </row>
    <row r="3650" spans="2:17">
      <c r="B3650" t="s">
        <v>4959</v>
      </c>
      <c r="C3650" t="s">
        <v>650</v>
      </c>
      <c r="D3650">
        <v>1.61688176983478E-8</v>
      </c>
      <c r="E3650" t="s">
        <v>94</v>
      </c>
      <c r="H3650" t="s">
        <v>588</v>
      </c>
      <c r="I3650">
        <v>1.61688176983478E-8</v>
      </c>
      <c r="J3650">
        <v>1.0247973619913604</v>
      </c>
      <c r="N3650" t="s">
        <v>4960</v>
      </c>
      <c r="O3650" t="s">
        <v>1883</v>
      </c>
    </row>
    <row r="3651" spans="2:17">
      <c r="B3651" t="s">
        <v>1583</v>
      </c>
      <c r="C3651" t="s">
        <v>670</v>
      </c>
      <c r="D3651">
        <v>9.3195835098492508E-9</v>
      </c>
      <c r="E3651" t="s">
        <v>94</v>
      </c>
      <c r="N3651" t="s">
        <v>1584</v>
      </c>
      <c r="Q3651" t="s">
        <v>4961</v>
      </c>
    </row>
    <row r="3652" spans="2:17">
      <c r="B3652" t="s">
        <v>1583</v>
      </c>
      <c r="C3652" t="s">
        <v>670</v>
      </c>
      <c r="D3652">
        <v>1.0979289429731101E-6</v>
      </c>
      <c r="E3652" t="s">
        <v>94</v>
      </c>
      <c r="N3652" t="s">
        <v>1584</v>
      </c>
      <c r="Q3652" t="s">
        <v>4961</v>
      </c>
    </row>
    <row r="3653" spans="2:17">
      <c r="B3653" t="s">
        <v>4962</v>
      </c>
      <c r="C3653" t="s">
        <v>670</v>
      </c>
      <c r="D3653">
        <v>2.9355342870247499E-5</v>
      </c>
      <c r="E3653" t="s">
        <v>94</v>
      </c>
      <c r="H3653" t="s">
        <v>588</v>
      </c>
      <c r="I3653">
        <v>2.9355342870247499E-5</v>
      </c>
      <c r="J3653">
        <v>1.0247973619913604</v>
      </c>
      <c r="N3653" t="s">
        <v>4963</v>
      </c>
      <c r="O3653" t="s">
        <v>1713</v>
      </c>
      <c r="Q3653" t="s">
        <v>4964</v>
      </c>
    </row>
    <row r="3654" spans="2:17">
      <c r="B3654" t="s">
        <v>4965</v>
      </c>
      <c r="C3654" t="s">
        <v>787</v>
      </c>
      <c r="D3654">
        <v>7.2054970267587195E-7</v>
      </c>
      <c r="E3654" t="s">
        <v>94</v>
      </c>
      <c r="N3654" t="s">
        <v>4966</v>
      </c>
      <c r="Q3654" t="s">
        <v>4737</v>
      </c>
    </row>
    <row r="3655" spans="2:17">
      <c r="B3655" t="s">
        <v>1586</v>
      </c>
      <c r="C3655" t="s">
        <v>670</v>
      </c>
      <c r="D3655">
        <v>3.0561218955293899E-5</v>
      </c>
      <c r="E3655" t="s">
        <v>94</v>
      </c>
      <c r="H3655" t="s">
        <v>588</v>
      </c>
      <c r="I3655">
        <v>3.0561218955293899E-5</v>
      </c>
      <c r="J3655">
        <v>1.0247973619913604</v>
      </c>
      <c r="N3655" t="s">
        <v>1587</v>
      </c>
      <c r="O3655" t="s">
        <v>641</v>
      </c>
      <c r="Q3655" t="s">
        <v>1643</v>
      </c>
    </row>
    <row r="3656" spans="2:17">
      <c r="B3656" t="s">
        <v>1586</v>
      </c>
      <c r="C3656" t="s">
        <v>670</v>
      </c>
      <c r="D3656">
        <v>6.2877046010972594E-5</v>
      </c>
      <c r="E3656" t="s">
        <v>94</v>
      </c>
      <c r="H3656" t="s">
        <v>588</v>
      </c>
      <c r="I3656">
        <v>6.2877046010972594E-5</v>
      </c>
      <c r="J3656">
        <v>1.0247973619913604</v>
      </c>
      <c r="N3656" t="s">
        <v>1587</v>
      </c>
      <c r="O3656" t="s">
        <v>641</v>
      </c>
      <c r="Q3656" t="s">
        <v>1643</v>
      </c>
    </row>
    <row r="3657" spans="2:17">
      <c r="B3657" t="s">
        <v>1586</v>
      </c>
      <c r="C3657" t="s">
        <v>670</v>
      </c>
      <c r="D3657">
        <v>3.8551178186774103E-5</v>
      </c>
      <c r="E3657" t="s">
        <v>94</v>
      </c>
      <c r="H3657" t="s">
        <v>588</v>
      </c>
      <c r="I3657">
        <v>3.8551178186774103E-5</v>
      </c>
      <c r="J3657">
        <v>1.0247973619913604</v>
      </c>
      <c r="N3657" t="s">
        <v>1587</v>
      </c>
      <c r="O3657" t="s">
        <v>641</v>
      </c>
      <c r="Q3657" t="s">
        <v>1643</v>
      </c>
    </row>
    <row r="3658" spans="2:17">
      <c r="B3658" t="s">
        <v>4967</v>
      </c>
      <c r="C3658" t="s">
        <v>787</v>
      </c>
      <c r="D3658">
        <v>1.01742240936296E-6</v>
      </c>
      <c r="E3658" t="s">
        <v>94</v>
      </c>
      <c r="H3658" t="s">
        <v>588</v>
      </c>
      <c r="I3658">
        <v>1.01742240936296E-6</v>
      </c>
      <c r="J3658">
        <v>1.0247973619913604</v>
      </c>
      <c r="N3658" t="s">
        <v>4968</v>
      </c>
      <c r="O3658" t="s">
        <v>641</v>
      </c>
      <c r="Q3658" t="s">
        <v>1672</v>
      </c>
    </row>
    <row r="3659" spans="2:17">
      <c r="B3659" t="s">
        <v>4967</v>
      </c>
      <c r="C3659" t="s">
        <v>787</v>
      </c>
      <c r="D3659">
        <v>5.4741102570368997E-8</v>
      </c>
      <c r="E3659" t="s">
        <v>94</v>
      </c>
      <c r="H3659" t="s">
        <v>588</v>
      </c>
      <c r="I3659">
        <v>5.4741102570368997E-8</v>
      </c>
      <c r="J3659">
        <v>1.0247973619913604</v>
      </c>
      <c r="N3659" t="s">
        <v>4968</v>
      </c>
      <c r="O3659" t="s">
        <v>641</v>
      </c>
      <c r="Q3659" t="s">
        <v>1672</v>
      </c>
    </row>
    <row r="3660" spans="2:17">
      <c r="B3660" t="s">
        <v>4967</v>
      </c>
      <c r="C3660" t="s">
        <v>787</v>
      </c>
      <c r="D3660">
        <v>5.4839461471311502E-8</v>
      </c>
      <c r="E3660" t="s">
        <v>94</v>
      </c>
      <c r="H3660" t="s">
        <v>588</v>
      </c>
      <c r="I3660">
        <v>5.4839461471311502E-8</v>
      </c>
      <c r="J3660">
        <v>1</v>
      </c>
      <c r="N3660" t="s">
        <v>4968</v>
      </c>
      <c r="O3660" t="s">
        <v>1675</v>
      </c>
      <c r="Q3660" t="s">
        <v>4969</v>
      </c>
    </row>
    <row r="3661" spans="2:17">
      <c r="B3661" t="s">
        <v>4967</v>
      </c>
      <c r="C3661" t="s">
        <v>787</v>
      </c>
      <c r="D3661">
        <v>1.0896438154746099E-5</v>
      </c>
      <c r="E3661" t="s">
        <v>94</v>
      </c>
      <c r="H3661" t="s">
        <v>588</v>
      </c>
      <c r="I3661">
        <v>1.0896438154746099E-5</v>
      </c>
      <c r="J3661">
        <v>1.0247973619913604</v>
      </c>
      <c r="N3661" t="s">
        <v>4968</v>
      </c>
      <c r="O3661" t="s">
        <v>641</v>
      </c>
      <c r="Q3661" t="s">
        <v>1672</v>
      </c>
    </row>
    <row r="3662" spans="2:17">
      <c r="B3662" t="s">
        <v>4967</v>
      </c>
      <c r="C3662" t="s">
        <v>787</v>
      </c>
      <c r="D3662">
        <v>1.01331417960001E-7</v>
      </c>
      <c r="E3662" t="s">
        <v>94</v>
      </c>
      <c r="H3662" t="s">
        <v>588</v>
      </c>
      <c r="I3662">
        <v>1.01331417960001E-7</v>
      </c>
      <c r="J3662">
        <v>1.0247973619913604</v>
      </c>
      <c r="N3662" t="s">
        <v>4968</v>
      </c>
      <c r="O3662" t="s">
        <v>641</v>
      </c>
      <c r="Q3662" t="s">
        <v>1672</v>
      </c>
    </row>
    <row r="3663" spans="2:17">
      <c r="B3663" t="s">
        <v>4967</v>
      </c>
      <c r="C3663" t="s">
        <v>787</v>
      </c>
      <c r="D3663">
        <v>1.3585263269817999E-8</v>
      </c>
      <c r="E3663" t="s">
        <v>94</v>
      </c>
      <c r="H3663" t="s">
        <v>588</v>
      </c>
      <c r="I3663">
        <v>1.3585263269817999E-8</v>
      </c>
      <c r="J3663">
        <v>1.0247973619913604</v>
      </c>
      <c r="N3663" t="s">
        <v>4968</v>
      </c>
      <c r="O3663" t="s">
        <v>641</v>
      </c>
      <c r="Q3663" t="s">
        <v>1672</v>
      </c>
    </row>
    <row r="3664" spans="2:17">
      <c r="B3664" t="s">
        <v>4967</v>
      </c>
      <c r="C3664" t="s">
        <v>787</v>
      </c>
      <c r="D3664">
        <v>8.0582797711091402E-7</v>
      </c>
      <c r="E3664" t="s">
        <v>94</v>
      </c>
      <c r="H3664" t="s">
        <v>588</v>
      </c>
      <c r="I3664">
        <v>8.0582797711091402E-7</v>
      </c>
      <c r="J3664">
        <v>1.1051709180756477</v>
      </c>
      <c r="N3664" t="s">
        <v>4970</v>
      </c>
      <c r="O3664" t="s">
        <v>4786</v>
      </c>
      <c r="Q3664" t="s">
        <v>4971</v>
      </c>
    </row>
    <row r="3665" spans="2:17">
      <c r="B3665" t="s">
        <v>4967</v>
      </c>
      <c r="C3665" t="s">
        <v>787</v>
      </c>
      <c r="D3665">
        <v>5.6139935079857801E-7</v>
      </c>
      <c r="E3665" t="s">
        <v>94</v>
      </c>
      <c r="H3665" t="s">
        <v>588</v>
      </c>
      <c r="I3665">
        <v>5.6139935079857801E-7</v>
      </c>
      <c r="J3665">
        <v>1.0247973619913604</v>
      </c>
      <c r="N3665" t="s">
        <v>4968</v>
      </c>
      <c r="O3665" t="s">
        <v>641</v>
      </c>
      <c r="Q3665" t="s">
        <v>1672</v>
      </c>
    </row>
    <row r="3666" spans="2:17">
      <c r="B3666" t="s">
        <v>4967</v>
      </c>
      <c r="C3666" t="s">
        <v>787</v>
      </c>
      <c r="D3666">
        <v>1.4367013530947901E-6</v>
      </c>
      <c r="E3666" t="s">
        <v>94</v>
      </c>
      <c r="H3666" t="s">
        <v>588</v>
      </c>
      <c r="I3666">
        <v>1.4367013530947901E-6</v>
      </c>
      <c r="J3666">
        <v>1.0247973619913604</v>
      </c>
      <c r="N3666" t="s">
        <v>4972</v>
      </c>
      <c r="O3666" t="s">
        <v>641</v>
      </c>
      <c r="Q3666" t="s">
        <v>1672</v>
      </c>
    </row>
    <row r="3667" spans="2:17">
      <c r="B3667" t="s">
        <v>4967</v>
      </c>
      <c r="C3667" t="s">
        <v>787</v>
      </c>
      <c r="D3667">
        <v>1.55365026495729E-7</v>
      </c>
      <c r="E3667" t="s">
        <v>94</v>
      </c>
      <c r="H3667" t="s">
        <v>588</v>
      </c>
      <c r="I3667">
        <v>1.55365026495729E-7</v>
      </c>
      <c r="J3667">
        <v>1.0247973619913604</v>
      </c>
      <c r="N3667" t="s">
        <v>4968</v>
      </c>
      <c r="O3667" t="s">
        <v>641</v>
      </c>
      <c r="Q3667" t="s">
        <v>1672</v>
      </c>
    </row>
    <row r="3668" spans="2:17">
      <c r="B3668" t="s">
        <v>4973</v>
      </c>
      <c r="C3668" t="s">
        <v>670</v>
      </c>
      <c r="D3668">
        <v>3.2024325828074398E-5</v>
      </c>
      <c r="E3668" t="s">
        <v>94</v>
      </c>
      <c r="N3668" t="s">
        <v>4974</v>
      </c>
    </row>
    <row r="3669" spans="2:17">
      <c r="B3669" t="s">
        <v>4973</v>
      </c>
      <c r="C3669" t="s">
        <v>670</v>
      </c>
      <c r="D3669">
        <v>1.04550938329968E-4</v>
      </c>
      <c r="E3669" t="s">
        <v>94</v>
      </c>
      <c r="N3669" t="s">
        <v>4974</v>
      </c>
    </row>
    <row r="3670" spans="2:17">
      <c r="B3670" t="s">
        <v>4973</v>
      </c>
      <c r="C3670" t="s">
        <v>670</v>
      </c>
      <c r="D3670">
        <v>1.09421497649987E-5</v>
      </c>
      <c r="E3670" t="s">
        <v>94</v>
      </c>
      <c r="N3670" t="s">
        <v>4974</v>
      </c>
    </row>
    <row r="3671" spans="2:17">
      <c r="B3671" t="s">
        <v>4975</v>
      </c>
      <c r="C3671" t="s">
        <v>787</v>
      </c>
      <c r="D3671">
        <v>2.8066450451433701E-4</v>
      </c>
      <c r="E3671" t="s">
        <v>94</v>
      </c>
      <c r="H3671" t="s">
        <v>588</v>
      </c>
      <c r="I3671">
        <v>2.8066450451433701E-4</v>
      </c>
      <c r="J3671">
        <v>1.1051709180756477</v>
      </c>
      <c r="N3671" t="s">
        <v>4976</v>
      </c>
      <c r="O3671" t="s">
        <v>2780</v>
      </c>
      <c r="Q3671" t="s">
        <v>979</v>
      </c>
    </row>
    <row r="3672" spans="2:17">
      <c r="B3672" t="s">
        <v>4975</v>
      </c>
      <c r="C3672" t="s">
        <v>787</v>
      </c>
      <c r="D3672">
        <v>4.2401242552615103E-6</v>
      </c>
      <c r="E3672" t="s">
        <v>94</v>
      </c>
      <c r="H3672" t="s">
        <v>588</v>
      </c>
      <c r="I3672">
        <v>4.2401242552615103E-6</v>
      </c>
      <c r="J3672">
        <v>1.1051709180756477</v>
      </c>
      <c r="N3672" t="s">
        <v>4976</v>
      </c>
      <c r="O3672" t="s">
        <v>2780</v>
      </c>
      <c r="Q3672" t="s">
        <v>979</v>
      </c>
    </row>
    <row r="3673" spans="2:17">
      <c r="B3673" t="s">
        <v>1589</v>
      </c>
      <c r="C3673" t="s">
        <v>787</v>
      </c>
      <c r="D3673">
        <v>1.0787852670703901E-5</v>
      </c>
      <c r="E3673" t="s">
        <v>94</v>
      </c>
      <c r="H3673" t="s">
        <v>588</v>
      </c>
      <c r="I3673">
        <v>1.0787852670703901E-5</v>
      </c>
      <c r="J3673">
        <v>1.0247973619913604</v>
      </c>
      <c r="N3673" t="s">
        <v>1590</v>
      </c>
      <c r="O3673" t="s">
        <v>1135</v>
      </c>
      <c r="Q3673" t="s">
        <v>4977</v>
      </c>
    </row>
    <row r="3674" spans="2:17">
      <c r="B3674" t="s">
        <v>1589</v>
      </c>
      <c r="C3674" t="s">
        <v>787</v>
      </c>
      <c r="D3674">
        <v>1.6297692114253801E-7</v>
      </c>
      <c r="E3674" t="s">
        <v>94</v>
      </c>
      <c r="H3674" t="s">
        <v>588</v>
      </c>
      <c r="I3674">
        <v>1.6297692114253801E-7</v>
      </c>
      <c r="J3674">
        <v>1.0247973619913604</v>
      </c>
      <c r="N3674" t="s">
        <v>1590</v>
      </c>
      <c r="O3674" t="s">
        <v>1135</v>
      </c>
      <c r="Q3674" t="s">
        <v>4977</v>
      </c>
    </row>
    <row r="3675" spans="2:17">
      <c r="B3675" t="s">
        <v>1592</v>
      </c>
      <c r="C3675" t="s">
        <v>787</v>
      </c>
      <c r="D3675">
        <v>1.1692905866982299E-6</v>
      </c>
      <c r="E3675" t="s">
        <v>94</v>
      </c>
      <c r="H3675" t="s">
        <v>588</v>
      </c>
      <c r="I3675">
        <v>1.1692905866982299E-6</v>
      </c>
      <c r="J3675">
        <v>1.0247973619913604</v>
      </c>
      <c r="N3675" t="s">
        <v>1593</v>
      </c>
      <c r="O3675" t="s">
        <v>1745</v>
      </c>
      <c r="Q3675" t="s">
        <v>4978</v>
      </c>
    </row>
    <row r="3676" spans="2:17">
      <c r="B3676" t="s">
        <v>1592</v>
      </c>
      <c r="C3676" t="s">
        <v>787</v>
      </c>
      <c r="D3676">
        <v>2.1734870487541698E-6</v>
      </c>
      <c r="E3676" t="s">
        <v>94</v>
      </c>
      <c r="H3676" t="s">
        <v>588</v>
      </c>
      <c r="I3676">
        <v>2.1734870487541698E-6</v>
      </c>
      <c r="J3676">
        <v>1.0247973619913604</v>
      </c>
      <c r="N3676" t="s">
        <v>1593</v>
      </c>
      <c r="O3676" t="s">
        <v>1745</v>
      </c>
      <c r="Q3676" t="s">
        <v>4978</v>
      </c>
    </row>
    <row r="3677" spans="2:17">
      <c r="B3677" t="s">
        <v>1592</v>
      </c>
      <c r="C3677" t="s">
        <v>787</v>
      </c>
      <c r="D3677">
        <v>1.0517635675940701E-6</v>
      </c>
      <c r="E3677" t="s">
        <v>94</v>
      </c>
      <c r="H3677" t="s">
        <v>588</v>
      </c>
      <c r="I3677">
        <v>1.0517635675940701E-6</v>
      </c>
      <c r="J3677">
        <v>1.0247973619913604</v>
      </c>
      <c r="N3677" t="s">
        <v>1593</v>
      </c>
      <c r="O3677" t="s">
        <v>1745</v>
      </c>
      <c r="Q3677" t="s">
        <v>4978</v>
      </c>
    </row>
    <row r="3678" spans="2:17">
      <c r="B3678" t="s">
        <v>1592</v>
      </c>
      <c r="C3678" t="s">
        <v>787</v>
      </c>
      <c r="D3678">
        <v>1.2233012456325999E-5</v>
      </c>
      <c r="E3678" t="s">
        <v>94</v>
      </c>
      <c r="H3678" t="s">
        <v>588</v>
      </c>
      <c r="I3678">
        <v>1.2233012456325999E-5</v>
      </c>
      <c r="J3678">
        <v>1.1051709180756477</v>
      </c>
      <c r="N3678" t="s">
        <v>1595</v>
      </c>
      <c r="O3678" t="s">
        <v>4979</v>
      </c>
      <c r="Q3678" t="s">
        <v>4980</v>
      </c>
    </row>
    <row r="3679" spans="2:17">
      <c r="B3679" t="s">
        <v>1592</v>
      </c>
      <c r="C3679" t="s">
        <v>787</v>
      </c>
      <c r="D3679">
        <v>2.6101791222319001E-6</v>
      </c>
      <c r="E3679" t="s">
        <v>94</v>
      </c>
      <c r="H3679" t="s">
        <v>588</v>
      </c>
      <c r="I3679">
        <v>2.6101791222319001E-6</v>
      </c>
      <c r="J3679">
        <v>1.0247973619913604</v>
      </c>
      <c r="N3679" t="s">
        <v>1593</v>
      </c>
      <c r="O3679" t="s">
        <v>1745</v>
      </c>
      <c r="Q3679" t="s">
        <v>4978</v>
      </c>
    </row>
    <row r="3680" spans="2:17">
      <c r="B3680" t="s">
        <v>1592</v>
      </c>
      <c r="C3680" t="s">
        <v>787</v>
      </c>
      <c r="D3680">
        <v>2.97238891680328E-7</v>
      </c>
      <c r="E3680" t="s">
        <v>94</v>
      </c>
      <c r="H3680" t="s">
        <v>588</v>
      </c>
      <c r="I3680">
        <v>2.97238891680328E-7</v>
      </c>
      <c r="J3680">
        <v>1.0247973619913604</v>
      </c>
      <c r="N3680" t="s">
        <v>1593</v>
      </c>
      <c r="O3680" t="s">
        <v>1745</v>
      </c>
      <c r="Q3680" t="s">
        <v>4978</v>
      </c>
    </row>
    <row r="3681" spans="2:17">
      <c r="B3681" t="s">
        <v>1592</v>
      </c>
      <c r="C3681" t="s">
        <v>787</v>
      </c>
      <c r="D3681">
        <v>3.3240159677293102E-7</v>
      </c>
      <c r="E3681" t="s">
        <v>94</v>
      </c>
      <c r="H3681" t="s">
        <v>588</v>
      </c>
      <c r="I3681">
        <v>3.3240159677293102E-7</v>
      </c>
      <c r="J3681">
        <v>1.0247973619913604</v>
      </c>
      <c r="N3681" t="s">
        <v>1593</v>
      </c>
      <c r="O3681" t="s">
        <v>1745</v>
      </c>
      <c r="Q3681" t="s">
        <v>4978</v>
      </c>
    </row>
    <row r="3682" spans="2:17">
      <c r="B3682" t="s">
        <v>1592</v>
      </c>
      <c r="C3682" t="s">
        <v>787</v>
      </c>
      <c r="D3682">
        <v>1.6382654109441599E-5</v>
      </c>
      <c r="E3682" t="s">
        <v>94</v>
      </c>
      <c r="H3682" t="s">
        <v>588</v>
      </c>
      <c r="I3682">
        <v>1.6382654109441599E-5</v>
      </c>
      <c r="J3682">
        <v>1.0247973619913604</v>
      </c>
      <c r="N3682" t="s">
        <v>1593</v>
      </c>
      <c r="O3682" t="s">
        <v>1745</v>
      </c>
      <c r="Q3682" t="s">
        <v>4978</v>
      </c>
    </row>
    <row r="3683" spans="2:17">
      <c r="B3683" t="s">
        <v>1592</v>
      </c>
      <c r="C3683" t="s">
        <v>787</v>
      </c>
      <c r="D3683">
        <v>2.2342094845721101E-5</v>
      </c>
      <c r="E3683" t="s">
        <v>94</v>
      </c>
      <c r="H3683" t="s">
        <v>588</v>
      </c>
      <c r="I3683">
        <v>2.2342094845721101E-5</v>
      </c>
      <c r="J3683">
        <v>1.1051709180756477</v>
      </c>
      <c r="N3683" t="s">
        <v>1593</v>
      </c>
      <c r="O3683" t="s">
        <v>1675</v>
      </c>
      <c r="Q3683" t="s">
        <v>979</v>
      </c>
    </row>
    <row r="3684" spans="2:17">
      <c r="B3684" t="s">
        <v>1592</v>
      </c>
      <c r="C3684" t="s">
        <v>787</v>
      </c>
      <c r="D3684">
        <v>2.2007361380731099E-6</v>
      </c>
      <c r="E3684" t="s">
        <v>94</v>
      </c>
      <c r="H3684" t="s">
        <v>588</v>
      </c>
      <c r="I3684">
        <v>2.2007361380731099E-6</v>
      </c>
      <c r="J3684">
        <v>1.0247973619913604</v>
      </c>
      <c r="N3684" t="s">
        <v>1593</v>
      </c>
      <c r="O3684" t="s">
        <v>1745</v>
      </c>
      <c r="Q3684" t="s">
        <v>4978</v>
      </c>
    </row>
    <row r="3685" spans="2:17">
      <c r="B3685" t="s">
        <v>1592</v>
      </c>
      <c r="C3685" t="s">
        <v>787</v>
      </c>
      <c r="D3685">
        <v>2.7536643773326001E-7</v>
      </c>
      <c r="E3685" t="s">
        <v>94</v>
      </c>
      <c r="H3685" t="s">
        <v>588</v>
      </c>
      <c r="I3685">
        <v>2.7536643773326001E-7</v>
      </c>
      <c r="J3685">
        <v>1.0247973619913604</v>
      </c>
      <c r="N3685" t="s">
        <v>1593</v>
      </c>
      <c r="O3685" t="s">
        <v>1745</v>
      </c>
      <c r="Q3685" t="s">
        <v>4978</v>
      </c>
    </row>
    <row r="3686" spans="2:17">
      <c r="B3686" t="s">
        <v>1592</v>
      </c>
      <c r="C3686" t="s">
        <v>787</v>
      </c>
      <c r="D3686">
        <v>5.5954713570873596E-7</v>
      </c>
      <c r="E3686" t="s">
        <v>94</v>
      </c>
      <c r="H3686" t="s">
        <v>588</v>
      </c>
      <c r="I3686">
        <v>5.5954713570873596E-7</v>
      </c>
      <c r="J3686">
        <v>1.0247973619913604</v>
      </c>
      <c r="N3686" t="s">
        <v>1593</v>
      </c>
      <c r="O3686" t="s">
        <v>1745</v>
      </c>
      <c r="Q3686" t="s">
        <v>4978</v>
      </c>
    </row>
    <row r="3687" spans="2:17">
      <c r="B3687" t="s">
        <v>1592</v>
      </c>
      <c r="C3687" t="s">
        <v>787</v>
      </c>
      <c r="D3687">
        <v>1.9237332728017001E-6</v>
      </c>
      <c r="E3687" t="s">
        <v>94</v>
      </c>
      <c r="H3687" t="s">
        <v>588</v>
      </c>
      <c r="I3687">
        <v>1.9237332728017001E-6</v>
      </c>
      <c r="J3687">
        <v>1.0247973619913604</v>
      </c>
      <c r="N3687" t="s">
        <v>1593</v>
      </c>
      <c r="O3687" t="s">
        <v>1745</v>
      </c>
      <c r="Q3687" t="s">
        <v>4978</v>
      </c>
    </row>
    <row r="3688" spans="2:17">
      <c r="B3688" t="s">
        <v>1592</v>
      </c>
      <c r="C3688" t="s">
        <v>787</v>
      </c>
      <c r="D3688">
        <v>3.34381679300336E-4</v>
      </c>
      <c r="E3688" t="s">
        <v>94</v>
      </c>
      <c r="H3688" t="s">
        <v>588</v>
      </c>
      <c r="I3688">
        <v>3.34381679300336E-4</v>
      </c>
      <c r="J3688">
        <v>1.1051709180756477</v>
      </c>
      <c r="N3688" t="s">
        <v>1593</v>
      </c>
      <c r="O3688" t="s">
        <v>1675</v>
      </c>
      <c r="Q3688" t="s">
        <v>979</v>
      </c>
    </row>
    <row r="3689" spans="2:17">
      <c r="B3689" t="s">
        <v>1592</v>
      </c>
      <c r="C3689" t="s">
        <v>787</v>
      </c>
      <c r="D3689">
        <v>1.2368688411692401E-4</v>
      </c>
      <c r="E3689" t="s">
        <v>94</v>
      </c>
      <c r="H3689" t="s">
        <v>588</v>
      </c>
      <c r="I3689">
        <v>1.2368688411692401E-4</v>
      </c>
      <c r="J3689">
        <v>1.0247973619913604</v>
      </c>
      <c r="N3689" t="s">
        <v>1595</v>
      </c>
      <c r="O3689" t="s">
        <v>927</v>
      </c>
      <c r="Q3689" t="s">
        <v>4981</v>
      </c>
    </row>
    <row r="3690" spans="2:17">
      <c r="B3690" t="s">
        <v>1592</v>
      </c>
      <c r="C3690" t="s">
        <v>787</v>
      </c>
      <c r="D3690">
        <v>9.1657289151308193E-6</v>
      </c>
      <c r="E3690" t="s">
        <v>94</v>
      </c>
      <c r="H3690" t="s">
        <v>588</v>
      </c>
      <c r="I3690">
        <v>9.1657289151308193E-6</v>
      </c>
      <c r="J3690">
        <v>1.1051709180756477</v>
      </c>
      <c r="N3690" t="s">
        <v>1593</v>
      </c>
      <c r="O3690" t="s">
        <v>1675</v>
      </c>
      <c r="Q3690" t="s">
        <v>979</v>
      </c>
    </row>
    <row r="3691" spans="2:17">
      <c r="B3691" t="s">
        <v>1592</v>
      </c>
      <c r="C3691" t="s">
        <v>787</v>
      </c>
      <c r="D3691">
        <v>3.1934733348893101E-6</v>
      </c>
      <c r="E3691" t="s">
        <v>94</v>
      </c>
      <c r="H3691" t="s">
        <v>588</v>
      </c>
      <c r="I3691">
        <v>3.1934733348893101E-6</v>
      </c>
      <c r="J3691">
        <v>1.0247973619913604</v>
      </c>
      <c r="N3691" t="s">
        <v>1593</v>
      </c>
      <c r="O3691" t="s">
        <v>1745</v>
      </c>
      <c r="Q3691" t="s">
        <v>4978</v>
      </c>
    </row>
    <row r="3692" spans="2:17">
      <c r="B3692" t="s">
        <v>1592</v>
      </c>
      <c r="C3692" t="s">
        <v>787</v>
      </c>
      <c r="D3692">
        <v>2.7390658156447199E-6</v>
      </c>
      <c r="E3692" t="s">
        <v>94</v>
      </c>
      <c r="H3692" t="s">
        <v>588</v>
      </c>
      <c r="I3692">
        <v>2.7390658156447199E-6</v>
      </c>
      <c r="J3692">
        <v>1.0247973619913604</v>
      </c>
      <c r="N3692" t="s">
        <v>1593</v>
      </c>
      <c r="O3692" t="s">
        <v>1745</v>
      </c>
      <c r="Q3692" t="s">
        <v>4978</v>
      </c>
    </row>
    <row r="3693" spans="2:17">
      <c r="B3693" t="s">
        <v>1592</v>
      </c>
      <c r="C3693" t="s">
        <v>787</v>
      </c>
      <c r="D3693">
        <v>3.7280410813276802E-6</v>
      </c>
      <c r="E3693" t="s">
        <v>94</v>
      </c>
      <c r="H3693" t="s">
        <v>588</v>
      </c>
      <c r="I3693">
        <v>3.7280410813276802E-6</v>
      </c>
      <c r="J3693">
        <v>1.1051709180756477</v>
      </c>
      <c r="N3693" t="s">
        <v>1593</v>
      </c>
      <c r="O3693" t="s">
        <v>1675</v>
      </c>
      <c r="Q3693" t="s">
        <v>979</v>
      </c>
    </row>
    <row r="3694" spans="2:17">
      <c r="B3694" t="s">
        <v>1592</v>
      </c>
      <c r="C3694" t="s">
        <v>787</v>
      </c>
      <c r="D3694">
        <v>9.9526954168075798E-6</v>
      </c>
      <c r="E3694" t="s">
        <v>94</v>
      </c>
      <c r="H3694" t="s">
        <v>588</v>
      </c>
      <c r="I3694">
        <v>9.9526954168075798E-6</v>
      </c>
      <c r="J3694">
        <v>1.0247973619913604</v>
      </c>
      <c r="N3694" t="s">
        <v>4982</v>
      </c>
      <c r="O3694" t="s">
        <v>1745</v>
      </c>
      <c r="Q3694" t="s">
        <v>4983</v>
      </c>
    </row>
    <row r="3695" spans="2:17">
      <c r="B3695" t="s">
        <v>1592</v>
      </c>
      <c r="C3695" t="s">
        <v>787</v>
      </c>
      <c r="D3695">
        <v>4.8131735985393904E-7</v>
      </c>
      <c r="E3695" t="s">
        <v>94</v>
      </c>
      <c r="H3695" t="s">
        <v>588</v>
      </c>
      <c r="I3695">
        <v>4.8131735985393904E-7</v>
      </c>
      <c r="J3695">
        <v>1.0247973619913604</v>
      </c>
      <c r="N3695" t="s">
        <v>1593</v>
      </c>
      <c r="O3695" t="s">
        <v>1745</v>
      </c>
      <c r="Q3695" t="s">
        <v>4978</v>
      </c>
    </row>
    <row r="3696" spans="2:17">
      <c r="B3696" t="s">
        <v>1592</v>
      </c>
      <c r="C3696" t="s">
        <v>787</v>
      </c>
      <c r="D3696">
        <v>2.0746917714018999E-3</v>
      </c>
      <c r="E3696" t="s">
        <v>94</v>
      </c>
      <c r="H3696" t="s">
        <v>588</v>
      </c>
      <c r="I3696">
        <v>2.0746917714018999E-3</v>
      </c>
      <c r="J3696">
        <v>1.1051709180756477</v>
      </c>
      <c r="N3696" t="s">
        <v>1593</v>
      </c>
      <c r="O3696" t="s">
        <v>1675</v>
      </c>
      <c r="Q3696" t="s">
        <v>979</v>
      </c>
    </row>
    <row r="3697" spans="2:17">
      <c r="B3697" t="s">
        <v>1592</v>
      </c>
      <c r="C3697" t="s">
        <v>787</v>
      </c>
      <c r="D3697">
        <v>1.9846289379604598E-6</v>
      </c>
      <c r="E3697" t="s">
        <v>94</v>
      </c>
      <c r="H3697" t="s">
        <v>588</v>
      </c>
      <c r="I3697">
        <v>1.9846289379604598E-6</v>
      </c>
      <c r="J3697">
        <v>1.0247973619913604</v>
      </c>
      <c r="N3697" t="s">
        <v>1593</v>
      </c>
      <c r="O3697" t="s">
        <v>1745</v>
      </c>
      <c r="Q3697" t="s">
        <v>4978</v>
      </c>
    </row>
    <row r="3698" spans="2:17">
      <c r="B3698" t="s">
        <v>1592</v>
      </c>
      <c r="C3698" t="s">
        <v>787</v>
      </c>
      <c r="D3698">
        <v>2.9385327826269698E-7</v>
      </c>
      <c r="E3698" t="s">
        <v>94</v>
      </c>
      <c r="H3698" t="s">
        <v>588</v>
      </c>
      <c r="I3698">
        <v>2.9385327826269698E-7</v>
      </c>
      <c r="J3698">
        <v>1.0247973619913604</v>
      </c>
      <c r="N3698" t="s">
        <v>1593</v>
      </c>
      <c r="O3698" t="s">
        <v>1745</v>
      </c>
      <c r="Q3698" t="s">
        <v>4978</v>
      </c>
    </row>
    <row r="3699" spans="2:17">
      <c r="B3699" t="s">
        <v>1592</v>
      </c>
      <c r="C3699" t="s">
        <v>787</v>
      </c>
      <c r="D3699">
        <v>1.0852213395563E-4</v>
      </c>
      <c r="E3699" t="s">
        <v>94</v>
      </c>
      <c r="H3699" t="s">
        <v>588</v>
      </c>
      <c r="I3699">
        <v>1.0852213395563E-4</v>
      </c>
      <c r="J3699">
        <v>1.0247973619913604</v>
      </c>
      <c r="N3699" t="s">
        <v>1593</v>
      </c>
      <c r="O3699" t="s">
        <v>1745</v>
      </c>
      <c r="Q3699" t="s">
        <v>4978</v>
      </c>
    </row>
    <row r="3700" spans="2:17">
      <c r="B3700" t="s">
        <v>1592</v>
      </c>
      <c r="C3700" t="s">
        <v>787</v>
      </c>
      <c r="D3700">
        <v>2.8785225356561699E-7</v>
      </c>
      <c r="E3700" t="s">
        <v>94</v>
      </c>
      <c r="H3700" t="s">
        <v>588</v>
      </c>
      <c r="I3700">
        <v>2.8785225356561699E-7</v>
      </c>
      <c r="J3700">
        <v>1.0247973619913604</v>
      </c>
      <c r="N3700" t="s">
        <v>1593</v>
      </c>
      <c r="O3700" t="s">
        <v>1745</v>
      </c>
      <c r="Q3700" t="s">
        <v>4978</v>
      </c>
    </row>
    <row r="3701" spans="2:17">
      <c r="B3701" t="s">
        <v>1592</v>
      </c>
      <c r="C3701" t="s">
        <v>787</v>
      </c>
      <c r="D3701">
        <v>1.6782785912305201E-6</v>
      </c>
      <c r="E3701" t="s">
        <v>94</v>
      </c>
      <c r="H3701" t="s">
        <v>588</v>
      </c>
      <c r="I3701">
        <v>1.6782785912305201E-6</v>
      </c>
      <c r="J3701">
        <v>1.1051709180756477</v>
      </c>
      <c r="N3701" t="s">
        <v>1593</v>
      </c>
      <c r="O3701" t="s">
        <v>1675</v>
      </c>
      <c r="Q3701" t="s">
        <v>979</v>
      </c>
    </row>
    <row r="3702" spans="2:17">
      <c r="B3702" t="s">
        <v>1592</v>
      </c>
      <c r="C3702" t="s">
        <v>787</v>
      </c>
      <c r="D3702">
        <v>4.1608468091236398E-5</v>
      </c>
      <c r="E3702" t="s">
        <v>94</v>
      </c>
      <c r="H3702" t="s">
        <v>588</v>
      </c>
      <c r="I3702">
        <v>4.1608468091236398E-5</v>
      </c>
      <c r="J3702">
        <v>1.1051709180756477</v>
      </c>
      <c r="N3702" t="s">
        <v>1593</v>
      </c>
      <c r="O3702" t="s">
        <v>2934</v>
      </c>
      <c r="Q3702" t="s">
        <v>4980</v>
      </c>
    </row>
    <row r="3703" spans="2:17">
      <c r="B3703" t="s">
        <v>1592</v>
      </c>
      <c r="C3703" t="s">
        <v>787</v>
      </c>
      <c r="D3703">
        <v>7.9116887733396901E-7</v>
      </c>
      <c r="E3703" t="s">
        <v>94</v>
      </c>
      <c r="H3703" t="s">
        <v>588</v>
      </c>
      <c r="I3703">
        <v>7.9116887733396901E-7</v>
      </c>
      <c r="J3703">
        <v>1.0247973619913604</v>
      </c>
      <c r="N3703" t="s">
        <v>1593</v>
      </c>
      <c r="O3703" t="s">
        <v>1745</v>
      </c>
      <c r="Q3703" t="s">
        <v>4978</v>
      </c>
    </row>
    <row r="3704" spans="2:17">
      <c r="B3704" t="s">
        <v>1592</v>
      </c>
      <c r="C3704" t="s">
        <v>787</v>
      </c>
      <c r="D3704">
        <v>1.3373721593116601E-6</v>
      </c>
      <c r="E3704" t="s">
        <v>94</v>
      </c>
      <c r="H3704" t="s">
        <v>588</v>
      </c>
      <c r="I3704">
        <v>1.3373721593116601E-6</v>
      </c>
      <c r="J3704">
        <v>1.0247973619913604</v>
      </c>
      <c r="N3704" t="s">
        <v>1593</v>
      </c>
      <c r="O3704" t="s">
        <v>1745</v>
      </c>
      <c r="Q3704" t="s">
        <v>4978</v>
      </c>
    </row>
    <row r="3705" spans="2:17">
      <c r="B3705" t="s">
        <v>1592</v>
      </c>
      <c r="C3705" t="s">
        <v>787</v>
      </c>
      <c r="D3705">
        <v>2.1736266235317701E-7</v>
      </c>
      <c r="E3705" t="s">
        <v>94</v>
      </c>
      <c r="H3705" t="s">
        <v>588</v>
      </c>
      <c r="I3705">
        <v>2.1736266235317701E-7</v>
      </c>
      <c r="J3705">
        <v>1.0247973619913604</v>
      </c>
      <c r="N3705" t="s">
        <v>1593</v>
      </c>
      <c r="O3705" t="s">
        <v>1745</v>
      </c>
      <c r="Q3705" t="s">
        <v>4978</v>
      </c>
    </row>
    <row r="3706" spans="2:17">
      <c r="B3706" t="s">
        <v>1592</v>
      </c>
      <c r="C3706" t="s">
        <v>787</v>
      </c>
      <c r="D3706">
        <v>7.6937912916844007E-6</v>
      </c>
      <c r="E3706" t="s">
        <v>94</v>
      </c>
      <c r="H3706" t="s">
        <v>588</v>
      </c>
      <c r="I3706">
        <v>7.6937912916844007E-6</v>
      </c>
      <c r="J3706">
        <v>1.0247973619913604</v>
      </c>
      <c r="N3706" t="s">
        <v>1593</v>
      </c>
      <c r="O3706" t="s">
        <v>1745</v>
      </c>
      <c r="Q3706" t="s">
        <v>4978</v>
      </c>
    </row>
    <row r="3707" spans="2:17">
      <c r="B3707" t="s">
        <v>1592</v>
      </c>
      <c r="C3707" t="s">
        <v>787</v>
      </c>
      <c r="D3707">
        <v>3.3102380649549899E-6</v>
      </c>
      <c r="E3707" t="s">
        <v>94</v>
      </c>
      <c r="H3707" t="s">
        <v>588</v>
      </c>
      <c r="I3707">
        <v>3.3102380649549899E-6</v>
      </c>
      <c r="J3707">
        <v>1.0247973619913604</v>
      </c>
      <c r="N3707" t="s">
        <v>1593</v>
      </c>
      <c r="O3707" t="s">
        <v>1745</v>
      </c>
      <c r="Q3707" t="s">
        <v>4978</v>
      </c>
    </row>
    <row r="3708" spans="2:17">
      <c r="B3708" t="s">
        <v>1592</v>
      </c>
      <c r="C3708" t="s">
        <v>787</v>
      </c>
      <c r="D3708">
        <v>1.9109069632950901E-5</v>
      </c>
      <c r="E3708" t="s">
        <v>94</v>
      </c>
      <c r="H3708" t="s">
        <v>588</v>
      </c>
      <c r="I3708">
        <v>1.9109069632950901E-5</v>
      </c>
      <c r="J3708">
        <v>1.0247973619913604</v>
      </c>
      <c r="N3708" t="s">
        <v>1593</v>
      </c>
      <c r="O3708" t="s">
        <v>1745</v>
      </c>
      <c r="Q3708" t="s">
        <v>4978</v>
      </c>
    </row>
    <row r="3709" spans="2:17">
      <c r="B3709" t="s">
        <v>1592</v>
      </c>
      <c r="C3709" t="s">
        <v>787</v>
      </c>
      <c r="D3709">
        <v>5.1487983947693198E-6</v>
      </c>
      <c r="E3709" t="s">
        <v>94</v>
      </c>
      <c r="H3709" t="s">
        <v>588</v>
      </c>
      <c r="I3709">
        <v>5.1487983947693198E-6</v>
      </c>
      <c r="J3709">
        <v>1.0247973619913604</v>
      </c>
      <c r="N3709" t="s">
        <v>1593</v>
      </c>
      <c r="O3709" t="s">
        <v>1745</v>
      </c>
      <c r="Q3709" t="s">
        <v>4978</v>
      </c>
    </row>
    <row r="3710" spans="2:17">
      <c r="B3710" t="s">
        <v>1592</v>
      </c>
      <c r="C3710" t="s">
        <v>787</v>
      </c>
      <c r="D3710">
        <v>8.5578238450346802E-8</v>
      </c>
      <c r="E3710" t="s">
        <v>94</v>
      </c>
      <c r="H3710" t="s">
        <v>588</v>
      </c>
      <c r="I3710">
        <v>8.5578238450346802E-8</v>
      </c>
      <c r="J3710">
        <v>1.0247973619913604</v>
      </c>
      <c r="N3710" t="s">
        <v>1593</v>
      </c>
      <c r="O3710" t="s">
        <v>1745</v>
      </c>
      <c r="Q3710" t="s">
        <v>4978</v>
      </c>
    </row>
    <row r="3711" spans="2:17">
      <c r="B3711" t="s">
        <v>1592</v>
      </c>
      <c r="C3711" t="s">
        <v>787</v>
      </c>
      <c r="D3711">
        <v>1.3719666269164301E-3</v>
      </c>
      <c r="E3711" t="s">
        <v>94</v>
      </c>
      <c r="H3711" t="s">
        <v>588</v>
      </c>
      <c r="I3711">
        <v>1.3719666269164301E-3</v>
      </c>
      <c r="J3711">
        <v>1.0247973619913604</v>
      </c>
      <c r="N3711" t="s">
        <v>1593</v>
      </c>
      <c r="O3711" t="s">
        <v>1745</v>
      </c>
      <c r="Q3711" t="s">
        <v>4978</v>
      </c>
    </row>
    <row r="3712" spans="2:17">
      <c r="B3712" t="s">
        <v>1592</v>
      </c>
      <c r="C3712" t="s">
        <v>787</v>
      </c>
      <c r="D3712">
        <v>2.14778550093849E-6</v>
      </c>
      <c r="E3712" t="s">
        <v>94</v>
      </c>
      <c r="H3712" t="s">
        <v>588</v>
      </c>
      <c r="I3712">
        <v>2.14778550093849E-6</v>
      </c>
      <c r="J3712">
        <v>1.0247973619913604</v>
      </c>
      <c r="N3712" t="s">
        <v>1593</v>
      </c>
      <c r="O3712" t="s">
        <v>1745</v>
      </c>
      <c r="Q3712" t="s">
        <v>4978</v>
      </c>
    </row>
    <row r="3713" spans="2:17">
      <c r="B3713" t="s">
        <v>1592</v>
      </c>
      <c r="C3713" t="s">
        <v>787</v>
      </c>
      <c r="D3713">
        <v>2.2640353548084099E-5</v>
      </c>
      <c r="E3713" t="s">
        <v>94</v>
      </c>
      <c r="H3713" t="s">
        <v>588</v>
      </c>
      <c r="I3713">
        <v>2.2640353548084099E-5</v>
      </c>
      <c r="J3713">
        <v>1.0247973619913604</v>
      </c>
      <c r="N3713" t="s">
        <v>1593</v>
      </c>
      <c r="O3713" t="s">
        <v>1745</v>
      </c>
      <c r="Q3713" t="s">
        <v>4978</v>
      </c>
    </row>
    <row r="3714" spans="2:17">
      <c r="B3714" t="s">
        <v>1592</v>
      </c>
      <c r="C3714" t="s">
        <v>787</v>
      </c>
      <c r="D3714">
        <v>1.8620991039898901E-6</v>
      </c>
      <c r="E3714" t="s">
        <v>94</v>
      </c>
      <c r="H3714" t="s">
        <v>588</v>
      </c>
      <c r="I3714">
        <v>1.8620991039898901E-6</v>
      </c>
      <c r="J3714">
        <v>1.0247973619913604</v>
      </c>
      <c r="N3714" t="s">
        <v>1593</v>
      </c>
      <c r="O3714" t="s">
        <v>1745</v>
      </c>
      <c r="Q3714" t="s">
        <v>4978</v>
      </c>
    </row>
    <row r="3715" spans="2:17">
      <c r="B3715" t="s">
        <v>1592</v>
      </c>
      <c r="C3715" t="s">
        <v>787</v>
      </c>
      <c r="D3715">
        <v>4.1132285957040501E-7</v>
      </c>
      <c r="E3715" t="s">
        <v>94</v>
      </c>
      <c r="H3715" t="s">
        <v>588</v>
      </c>
      <c r="I3715">
        <v>4.1132285957040501E-7</v>
      </c>
      <c r="J3715">
        <v>1.0247973619913604</v>
      </c>
      <c r="N3715" t="s">
        <v>1593</v>
      </c>
      <c r="O3715" t="s">
        <v>1745</v>
      </c>
      <c r="Q3715" t="s">
        <v>4978</v>
      </c>
    </row>
    <row r="3716" spans="2:17">
      <c r="B3716" t="s">
        <v>1592</v>
      </c>
      <c r="C3716" t="s">
        <v>787</v>
      </c>
      <c r="D3716">
        <v>8.7037164987420793E-6</v>
      </c>
      <c r="E3716" t="s">
        <v>94</v>
      </c>
      <c r="H3716" t="s">
        <v>588</v>
      </c>
      <c r="I3716">
        <v>8.7037164987420793E-6</v>
      </c>
      <c r="J3716">
        <v>1.1051709180756477</v>
      </c>
      <c r="N3716" t="s">
        <v>1593</v>
      </c>
      <c r="O3716" t="s">
        <v>1675</v>
      </c>
      <c r="Q3716" t="s">
        <v>979</v>
      </c>
    </row>
    <row r="3717" spans="2:17">
      <c r="B3717" t="s">
        <v>1592</v>
      </c>
      <c r="C3717" t="s">
        <v>787</v>
      </c>
      <c r="D3717">
        <v>3.99635868279902E-6</v>
      </c>
      <c r="E3717" t="s">
        <v>94</v>
      </c>
      <c r="H3717" t="s">
        <v>588</v>
      </c>
      <c r="I3717">
        <v>3.99635868279902E-6</v>
      </c>
      <c r="J3717">
        <v>1.0247973619913604</v>
      </c>
      <c r="N3717" t="s">
        <v>1593</v>
      </c>
      <c r="O3717" t="s">
        <v>1745</v>
      </c>
      <c r="Q3717" t="s">
        <v>4978</v>
      </c>
    </row>
    <row r="3718" spans="2:17">
      <c r="B3718" t="s">
        <v>1592</v>
      </c>
      <c r="C3718" t="s">
        <v>787</v>
      </c>
      <c r="D3718">
        <v>3.2148451792438699E-6</v>
      </c>
      <c r="E3718" t="s">
        <v>94</v>
      </c>
      <c r="H3718" t="s">
        <v>588</v>
      </c>
      <c r="I3718">
        <v>3.2148451792438699E-6</v>
      </c>
      <c r="J3718">
        <v>1.0247973619913604</v>
      </c>
      <c r="N3718" t="s">
        <v>1593</v>
      </c>
      <c r="O3718" t="s">
        <v>1745</v>
      </c>
      <c r="Q3718" t="s">
        <v>4978</v>
      </c>
    </row>
    <row r="3719" spans="2:17">
      <c r="B3719" t="s">
        <v>1592</v>
      </c>
      <c r="C3719" t="s">
        <v>787</v>
      </c>
      <c r="D3719">
        <v>7.7037512563038197E-7</v>
      </c>
      <c r="E3719" t="s">
        <v>94</v>
      </c>
      <c r="H3719" t="s">
        <v>588</v>
      </c>
      <c r="I3719">
        <v>7.7037512563038197E-7</v>
      </c>
      <c r="J3719">
        <v>1.0247973619913604</v>
      </c>
      <c r="N3719" t="s">
        <v>1593</v>
      </c>
      <c r="O3719" t="s">
        <v>1745</v>
      </c>
      <c r="Q3719" t="s">
        <v>4978</v>
      </c>
    </row>
    <row r="3720" spans="2:17">
      <c r="B3720" t="s">
        <v>1592</v>
      </c>
      <c r="C3720" t="s">
        <v>787</v>
      </c>
      <c r="D3720">
        <v>8.1602251238898699E-7</v>
      </c>
      <c r="E3720" t="s">
        <v>94</v>
      </c>
      <c r="H3720" t="s">
        <v>588</v>
      </c>
      <c r="I3720">
        <v>8.1602251238898699E-7</v>
      </c>
      <c r="J3720">
        <v>1.0247973619913604</v>
      </c>
      <c r="N3720" t="s">
        <v>1593</v>
      </c>
      <c r="O3720" t="s">
        <v>1745</v>
      </c>
      <c r="Q3720" t="s">
        <v>4978</v>
      </c>
    </row>
    <row r="3721" spans="2:17">
      <c r="B3721" t="s">
        <v>1596</v>
      </c>
      <c r="C3721" t="s">
        <v>787</v>
      </c>
      <c r="D3721">
        <v>1.07081373055331E-4</v>
      </c>
      <c r="E3721" t="s">
        <v>94</v>
      </c>
      <c r="H3721" t="s">
        <v>588</v>
      </c>
      <c r="I3721">
        <v>1.07081373055331E-4</v>
      </c>
      <c r="J3721">
        <v>1.0247973619913604</v>
      </c>
      <c r="N3721" t="s">
        <v>1597</v>
      </c>
      <c r="O3721" t="s">
        <v>2387</v>
      </c>
      <c r="Q3721" t="s">
        <v>3088</v>
      </c>
    </row>
    <row r="3722" spans="2:17">
      <c r="B3722" t="s">
        <v>1596</v>
      </c>
      <c r="C3722" t="s">
        <v>787</v>
      </c>
      <c r="D3722">
        <v>6.4656428095154094E-11</v>
      </c>
      <c r="E3722" t="s">
        <v>94</v>
      </c>
      <c r="H3722" t="s">
        <v>588</v>
      </c>
      <c r="I3722">
        <v>6.4656428095154094E-11</v>
      </c>
      <c r="J3722">
        <v>1.0247973619913604</v>
      </c>
      <c r="N3722" t="s">
        <v>1597</v>
      </c>
      <c r="O3722" t="s">
        <v>1745</v>
      </c>
      <c r="Q3722" t="s">
        <v>4984</v>
      </c>
    </row>
    <row r="3723" spans="2:17">
      <c r="B3723" t="s">
        <v>1596</v>
      </c>
      <c r="C3723" t="s">
        <v>787</v>
      </c>
      <c r="D3723">
        <v>1.8268092836838898E-12</v>
      </c>
      <c r="E3723" t="s">
        <v>94</v>
      </c>
      <c r="H3723" t="s">
        <v>588</v>
      </c>
      <c r="I3723">
        <v>1.8268092836838898E-12</v>
      </c>
      <c r="J3723">
        <v>1.0247973619913604</v>
      </c>
      <c r="N3723" t="s">
        <v>1597</v>
      </c>
      <c r="O3723" t="s">
        <v>1745</v>
      </c>
      <c r="Q3723" t="s">
        <v>4984</v>
      </c>
    </row>
    <row r="3724" spans="2:17">
      <c r="B3724" t="s">
        <v>1596</v>
      </c>
      <c r="C3724" t="s">
        <v>787</v>
      </c>
      <c r="D3724">
        <v>3.45693418694748E-12</v>
      </c>
      <c r="E3724" t="s">
        <v>94</v>
      </c>
      <c r="H3724" t="s">
        <v>588</v>
      </c>
      <c r="I3724">
        <v>3.45693418694748E-12</v>
      </c>
      <c r="J3724">
        <v>1.0247973619913604</v>
      </c>
      <c r="N3724" t="s">
        <v>1597</v>
      </c>
      <c r="O3724" t="s">
        <v>1745</v>
      </c>
      <c r="Q3724" t="s">
        <v>4984</v>
      </c>
    </row>
    <row r="3725" spans="2:17">
      <c r="B3725" t="s">
        <v>1596</v>
      </c>
      <c r="C3725" t="s">
        <v>787</v>
      </c>
      <c r="D3725">
        <v>3.7742846311665202E-6</v>
      </c>
      <c r="E3725" t="s">
        <v>94</v>
      </c>
      <c r="H3725" t="s">
        <v>588</v>
      </c>
      <c r="I3725">
        <v>3.7742846311665202E-6</v>
      </c>
      <c r="J3725">
        <v>1</v>
      </c>
      <c r="N3725" t="s">
        <v>1598</v>
      </c>
      <c r="O3725" t="s">
        <v>1082</v>
      </c>
      <c r="Q3725" t="s">
        <v>979</v>
      </c>
    </row>
    <row r="3726" spans="2:17">
      <c r="B3726" t="s">
        <v>1596</v>
      </c>
      <c r="C3726" t="s">
        <v>787</v>
      </c>
      <c r="D3726">
        <v>6.4745638288790102E-12</v>
      </c>
      <c r="E3726" t="s">
        <v>94</v>
      </c>
      <c r="H3726" t="s">
        <v>588</v>
      </c>
      <c r="I3726">
        <v>6.4745638288790102E-12</v>
      </c>
      <c r="J3726">
        <v>1.0247973619913604</v>
      </c>
      <c r="N3726" t="s">
        <v>1597</v>
      </c>
      <c r="O3726" t="s">
        <v>1745</v>
      </c>
      <c r="Q3726" t="s">
        <v>4984</v>
      </c>
    </row>
    <row r="3727" spans="2:17">
      <c r="B3727" t="s">
        <v>1596</v>
      </c>
      <c r="C3727" t="s">
        <v>787</v>
      </c>
      <c r="D3727">
        <v>2.6839323148764599E-11</v>
      </c>
      <c r="E3727" t="s">
        <v>94</v>
      </c>
      <c r="H3727" t="s">
        <v>588</v>
      </c>
      <c r="I3727">
        <v>2.6839323148764599E-11</v>
      </c>
      <c r="J3727">
        <v>1.0247973619913604</v>
      </c>
      <c r="N3727" t="s">
        <v>1597</v>
      </c>
      <c r="O3727" t="s">
        <v>1745</v>
      </c>
      <c r="Q3727" t="s">
        <v>4984</v>
      </c>
    </row>
    <row r="3728" spans="2:17">
      <c r="B3728" t="s">
        <v>1596</v>
      </c>
      <c r="C3728" t="s">
        <v>787</v>
      </c>
      <c r="D3728">
        <v>2.75652857591024E-4</v>
      </c>
      <c r="E3728" t="s">
        <v>94</v>
      </c>
      <c r="H3728" t="s">
        <v>588</v>
      </c>
      <c r="I3728">
        <v>2.75652857591024E-4</v>
      </c>
      <c r="J3728">
        <v>1.0247973619913604</v>
      </c>
      <c r="N3728" t="s">
        <v>1597</v>
      </c>
      <c r="O3728" t="s">
        <v>2387</v>
      </c>
      <c r="Q3728" t="s">
        <v>3088</v>
      </c>
    </row>
    <row r="3729" spans="2:17">
      <c r="B3729" t="s">
        <v>1596</v>
      </c>
      <c r="C3729" t="s">
        <v>787</v>
      </c>
      <c r="D3729">
        <v>3.3587116865571699E-11</v>
      </c>
      <c r="E3729" t="s">
        <v>94</v>
      </c>
      <c r="H3729" t="s">
        <v>588</v>
      </c>
      <c r="I3729">
        <v>3.3587116865571699E-11</v>
      </c>
      <c r="J3729">
        <v>1.0247973619913604</v>
      </c>
      <c r="N3729" t="s">
        <v>1597</v>
      </c>
      <c r="O3729" t="s">
        <v>1745</v>
      </c>
      <c r="Q3729" t="s">
        <v>4984</v>
      </c>
    </row>
    <row r="3730" spans="2:17">
      <c r="B3730" t="s">
        <v>1596</v>
      </c>
      <c r="C3730" t="s">
        <v>787</v>
      </c>
      <c r="D3730">
        <v>1.1239850717329E-11</v>
      </c>
      <c r="E3730" t="s">
        <v>94</v>
      </c>
      <c r="H3730" t="s">
        <v>588</v>
      </c>
      <c r="I3730">
        <v>1.1239850717329E-11</v>
      </c>
      <c r="J3730">
        <v>1.0247973619913604</v>
      </c>
      <c r="N3730" t="s">
        <v>1597</v>
      </c>
      <c r="O3730" t="s">
        <v>1745</v>
      </c>
      <c r="Q3730" t="s">
        <v>4984</v>
      </c>
    </row>
    <row r="3731" spans="2:17">
      <c r="B3731" t="s">
        <v>1596</v>
      </c>
      <c r="C3731" t="s">
        <v>787</v>
      </c>
      <c r="D3731">
        <v>2.7936459570479702E-12</v>
      </c>
      <c r="E3731" t="s">
        <v>94</v>
      </c>
      <c r="H3731" t="s">
        <v>588</v>
      </c>
      <c r="I3731">
        <v>2.7936459570479702E-12</v>
      </c>
      <c r="J3731">
        <v>1.0247973619913604</v>
      </c>
      <c r="N3731" t="s">
        <v>1597</v>
      </c>
      <c r="O3731" t="s">
        <v>1745</v>
      </c>
      <c r="Q3731" t="s">
        <v>4984</v>
      </c>
    </row>
    <row r="3732" spans="2:17">
      <c r="B3732" t="s">
        <v>1596</v>
      </c>
      <c r="C3732" t="s">
        <v>787</v>
      </c>
      <c r="D3732">
        <v>4.04519806603547E-12</v>
      </c>
      <c r="E3732" t="s">
        <v>94</v>
      </c>
      <c r="H3732" t="s">
        <v>588</v>
      </c>
      <c r="I3732">
        <v>4.04519806603547E-12</v>
      </c>
      <c r="J3732">
        <v>1.0247973619913604</v>
      </c>
      <c r="N3732" t="s">
        <v>1597</v>
      </c>
      <c r="O3732" t="s">
        <v>1745</v>
      </c>
      <c r="Q3732" t="s">
        <v>4984</v>
      </c>
    </row>
    <row r="3733" spans="2:17">
      <c r="B3733" t="s">
        <v>1596</v>
      </c>
      <c r="C3733" t="s">
        <v>787</v>
      </c>
      <c r="D3733">
        <v>1.5649881601012901E-11</v>
      </c>
      <c r="E3733" t="s">
        <v>94</v>
      </c>
      <c r="H3733" t="s">
        <v>588</v>
      </c>
      <c r="I3733">
        <v>1.5649881601012901E-11</v>
      </c>
      <c r="J3733">
        <v>1.0247973619913604</v>
      </c>
      <c r="N3733" t="s">
        <v>1597</v>
      </c>
      <c r="O3733" t="s">
        <v>1745</v>
      </c>
      <c r="Q3733" t="s">
        <v>4984</v>
      </c>
    </row>
    <row r="3734" spans="2:17">
      <c r="B3734" t="s">
        <v>1596</v>
      </c>
      <c r="C3734" t="s">
        <v>787</v>
      </c>
      <c r="D3734">
        <v>2.9230523359911302E-6</v>
      </c>
      <c r="E3734" t="s">
        <v>94</v>
      </c>
      <c r="H3734" t="s">
        <v>588</v>
      </c>
      <c r="I3734">
        <v>2.9230523359911302E-6</v>
      </c>
      <c r="J3734">
        <v>1.0247973619913604</v>
      </c>
      <c r="N3734" t="s">
        <v>1597</v>
      </c>
      <c r="O3734" t="s">
        <v>2387</v>
      </c>
      <c r="Q3734" t="s">
        <v>3088</v>
      </c>
    </row>
    <row r="3735" spans="2:17">
      <c r="B3735" t="s">
        <v>1596</v>
      </c>
      <c r="C3735" t="s">
        <v>787</v>
      </c>
      <c r="D3735">
        <v>1.8050912930487101E-11</v>
      </c>
      <c r="E3735" t="s">
        <v>94</v>
      </c>
      <c r="H3735" t="s">
        <v>588</v>
      </c>
      <c r="I3735">
        <v>1.8050912930487101E-11</v>
      </c>
      <c r="J3735">
        <v>1.0247973619913604</v>
      </c>
      <c r="N3735" t="s">
        <v>1597</v>
      </c>
      <c r="O3735" t="s">
        <v>1745</v>
      </c>
      <c r="Q3735" t="s">
        <v>4984</v>
      </c>
    </row>
    <row r="3736" spans="2:17">
      <c r="B3736" t="s">
        <v>1596</v>
      </c>
      <c r="C3736" t="s">
        <v>787</v>
      </c>
      <c r="D3736">
        <v>1.6060083838739499E-10</v>
      </c>
      <c r="E3736" t="s">
        <v>94</v>
      </c>
      <c r="H3736" t="s">
        <v>588</v>
      </c>
      <c r="I3736">
        <v>1.6060083838739499E-10</v>
      </c>
      <c r="J3736">
        <v>1.0247973619913604</v>
      </c>
      <c r="N3736" t="s">
        <v>1597</v>
      </c>
      <c r="O3736" t="s">
        <v>1745</v>
      </c>
      <c r="Q3736" t="s">
        <v>4984</v>
      </c>
    </row>
    <row r="3737" spans="2:17">
      <c r="B3737" t="s">
        <v>1596</v>
      </c>
      <c r="C3737" t="s">
        <v>787</v>
      </c>
      <c r="D3737">
        <v>6.6493234598270702E-12</v>
      </c>
      <c r="E3737" t="s">
        <v>94</v>
      </c>
      <c r="H3737" t="s">
        <v>588</v>
      </c>
      <c r="I3737">
        <v>6.6493234598270702E-12</v>
      </c>
      <c r="J3737">
        <v>1.0247973619913604</v>
      </c>
      <c r="N3737" t="s">
        <v>1597</v>
      </c>
      <c r="O3737" t="s">
        <v>1745</v>
      </c>
      <c r="Q3737" t="s">
        <v>4984</v>
      </c>
    </row>
    <row r="3738" spans="2:17">
      <c r="B3738" t="s">
        <v>1596</v>
      </c>
      <c r="C3738" t="s">
        <v>787</v>
      </c>
      <c r="D3738">
        <v>2.31410102069735E-12</v>
      </c>
      <c r="E3738" t="s">
        <v>94</v>
      </c>
      <c r="H3738" t="s">
        <v>588</v>
      </c>
      <c r="I3738">
        <v>2.31410102069735E-12</v>
      </c>
      <c r="J3738">
        <v>1.0247973619913604</v>
      </c>
      <c r="N3738" t="s">
        <v>1597</v>
      </c>
      <c r="O3738" t="s">
        <v>1745</v>
      </c>
      <c r="Q3738" t="s">
        <v>4984</v>
      </c>
    </row>
    <row r="3739" spans="2:17">
      <c r="B3739" t="s">
        <v>1596</v>
      </c>
      <c r="C3739" t="s">
        <v>787</v>
      </c>
      <c r="D3739">
        <v>7.1923631588754196E-13</v>
      </c>
      <c r="E3739" t="s">
        <v>94</v>
      </c>
      <c r="H3739" t="s">
        <v>588</v>
      </c>
      <c r="I3739">
        <v>7.1923631588754196E-13</v>
      </c>
      <c r="J3739">
        <v>1.0247973619913604</v>
      </c>
      <c r="N3739" t="s">
        <v>1597</v>
      </c>
      <c r="O3739" t="s">
        <v>1745</v>
      </c>
      <c r="Q3739" t="s">
        <v>4984</v>
      </c>
    </row>
    <row r="3740" spans="2:17">
      <c r="B3740" t="s">
        <v>1596</v>
      </c>
      <c r="C3740" t="s">
        <v>787</v>
      </c>
      <c r="D3740">
        <v>9.0170224976665601E-11</v>
      </c>
      <c r="E3740" t="s">
        <v>94</v>
      </c>
      <c r="H3740" t="s">
        <v>588</v>
      </c>
      <c r="I3740">
        <v>9.0170224976665601E-11</v>
      </c>
      <c r="J3740">
        <v>1.0247973619913604</v>
      </c>
      <c r="N3740" t="s">
        <v>1597</v>
      </c>
      <c r="O3740" t="s">
        <v>1745</v>
      </c>
      <c r="Q3740" t="s">
        <v>4984</v>
      </c>
    </row>
    <row r="3741" spans="2:17">
      <c r="B3741" t="s">
        <v>1596</v>
      </c>
      <c r="C3741" t="s">
        <v>787</v>
      </c>
      <c r="D3741">
        <v>2.3020286954852902E-11</v>
      </c>
      <c r="E3741" t="s">
        <v>94</v>
      </c>
      <c r="H3741" t="s">
        <v>588</v>
      </c>
      <c r="I3741">
        <v>2.3020286954852902E-11</v>
      </c>
      <c r="J3741">
        <v>1.0247973619913604</v>
      </c>
      <c r="N3741" t="s">
        <v>1597</v>
      </c>
      <c r="O3741" t="s">
        <v>1745</v>
      </c>
      <c r="Q3741" t="s">
        <v>4984</v>
      </c>
    </row>
    <row r="3742" spans="2:17">
      <c r="B3742" t="s">
        <v>1596</v>
      </c>
      <c r="C3742" t="s">
        <v>787</v>
      </c>
      <c r="D3742">
        <v>2.0443437514653999E-10</v>
      </c>
      <c r="E3742" t="s">
        <v>94</v>
      </c>
      <c r="H3742" t="s">
        <v>588</v>
      </c>
      <c r="I3742">
        <v>2.0443437514653999E-10</v>
      </c>
      <c r="J3742">
        <v>1.0247973619913604</v>
      </c>
      <c r="N3742" t="s">
        <v>1597</v>
      </c>
      <c r="O3742" t="s">
        <v>1745</v>
      </c>
      <c r="Q3742" t="s">
        <v>4984</v>
      </c>
    </row>
    <row r="3743" spans="2:17">
      <c r="B3743" t="s">
        <v>1596</v>
      </c>
      <c r="C3743" t="s">
        <v>787</v>
      </c>
      <c r="D3743">
        <v>1.6679675015403399E-11</v>
      </c>
      <c r="E3743" t="s">
        <v>94</v>
      </c>
      <c r="H3743" t="s">
        <v>588</v>
      </c>
      <c r="I3743">
        <v>1.6679675015403399E-11</v>
      </c>
      <c r="J3743">
        <v>1.0247973619913604</v>
      </c>
      <c r="N3743" t="s">
        <v>1597</v>
      </c>
      <c r="O3743" t="s">
        <v>1745</v>
      </c>
      <c r="Q3743" t="s">
        <v>4984</v>
      </c>
    </row>
    <row r="3744" spans="2:17">
      <c r="B3744" t="s">
        <v>1596</v>
      </c>
      <c r="C3744" t="s">
        <v>787</v>
      </c>
      <c r="D3744">
        <v>1.61665058631877E-11</v>
      </c>
      <c r="E3744" t="s">
        <v>94</v>
      </c>
      <c r="H3744" t="s">
        <v>588</v>
      </c>
      <c r="I3744">
        <v>1.61665058631877E-11</v>
      </c>
      <c r="J3744">
        <v>1.0247973619913604</v>
      </c>
      <c r="N3744" t="s">
        <v>1597</v>
      </c>
      <c r="O3744" t="s">
        <v>1745</v>
      </c>
      <c r="Q3744" t="s">
        <v>4984</v>
      </c>
    </row>
    <row r="3745" spans="2:17">
      <c r="B3745" t="s">
        <v>1596</v>
      </c>
      <c r="C3745" t="s">
        <v>787</v>
      </c>
      <c r="D3745">
        <v>2.44478923243954E-6</v>
      </c>
      <c r="E3745" t="s">
        <v>94</v>
      </c>
      <c r="H3745" t="s">
        <v>588</v>
      </c>
      <c r="I3745">
        <v>2.44478923243954E-6</v>
      </c>
      <c r="J3745">
        <v>1.0247973619913604</v>
      </c>
      <c r="N3745" t="s">
        <v>1597</v>
      </c>
      <c r="O3745" t="s">
        <v>2387</v>
      </c>
      <c r="Q3745" t="s">
        <v>3088</v>
      </c>
    </row>
    <row r="3746" spans="2:17">
      <c r="B3746" t="s">
        <v>1596</v>
      </c>
      <c r="C3746" t="s">
        <v>787</v>
      </c>
      <c r="D3746">
        <v>2.78206641508556E-11</v>
      </c>
      <c r="E3746" t="s">
        <v>94</v>
      </c>
      <c r="H3746" t="s">
        <v>588</v>
      </c>
      <c r="I3746">
        <v>2.78206641508556E-11</v>
      </c>
      <c r="J3746">
        <v>1.0247973619913604</v>
      </c>
      <c r="N3746" t="s">
        <v>1597</v>
      </c>
      <c r="O3746" t="s">
        <v>1745</v>
      </c>
      <c r="Q3746" t="s">
        <v>4984</v>
      </c>
    </row>
    <row r="3747" spans="2:17">
      <c r="B3747" t="s">
        <v>1596</v>
      </c>
      <c r="C3747" t="s">
        <v>787</v>
      </c>
      <c r="D3747">
        <v>1.8495932854550001E-11</v>
      </c>
      <c r="E3747" t="s">
        <v>94</v>
      </c>
      <c r="H3747" t="s">
        <v>588</v>
      </c>
      <c r="I3747">
        <v>1.8495932854550001E-11</v>
      </c>
      <c r="J3747">
        <v>1.0247973619913604</v>
      </c>
      <c r="N3747" t="s">
        <v>1597</v>
      </c>
      <c r="O3747" t="s">
        <v>1745</v>
      </c>
      <c r="Q3747" t="s">
        <v>4984</v>
      </c>
    </row>
    <row r="3748" spans="2:17">
      <c r="B3748" t="s">
        <v>1596</v>
      </c>
      <c r="C3748" t="s">
        <v>787</v>
      </c>
      <c r="D3748">
        <v>7.07699485962662E-6</v>
      </c>
      <c r="E3748" t="s">
        <v>94</v>
      </c>
      <c r="H3748" t="s">
        <v>588</v>
      </c>
      <c r="I3748">
        <v>7.07699485962662E-6</v>
      </c>
      <c r="J3748">
        <v>1.0247973619913604</v>
      </c>
      <c r="N3748" t="s">
        <v>1597</v>
      </c>
      <c r="O3748" t="s">
        <v>2387</v>
      </c>
      <c r="Q3748" t="s">
        <v>3088</v>
      </c>
    </row>
    <row r="3749" spans="2:17">
      <c r="B3749" t="s">
        <v>1596</v>
      </c>
      <c r="C3749" t="s">
        <v>787</v>
      </c>
      <c r="D3749">
        <v>2.4696693119217001E-12</v>
      </c>
      <c r="E3749" t="s">
        <v>94</v>
      </c>
      <c r="H3749" t="s">
        <v>588</v>
      </c>
      <c r="I3749">
        <v>2.4696693119217001E-12</v>
      </c>
      <c r="J3749">
        <v>1.0247973619913604</v>
      </c>
      <c r="N3749" t="s">
        <v>1597</v>
      </c>
      <c r="O3749" t="s">
        <v>1745</v>
      </c>
      <c r="Q3749" t="s">
        <v>4984</v>
      </c>
    </row>
    <row r="3750" spans="2:17">
      <c r="B3750" t="s">
        <v>1596</v>
      </c>
      <c r="C3750" t="s">
        <v>787</v>
      </c>
      <c r="D3750">
        <v>3.8578375242298601E-5</v>
      </c>
      <c r="E3750" t="s">
        <v>94</v>
      </c>
      <c r="H3750" t="s">
        <v>588</v>
      </c>
      <c r="I3750">
        <v>3.8578375242298601E-5</v>
      </c>
      <c r="J3750">
        <v>1.0247973619913604</v>
      </c>
      <c r="N3750" t="s">
        <v>1597</v>
      </c>
      <c r="O3750" t="s">
        <v>1745</v>
      </c>
      <c r="Q3750" t="s">
        <v>4984</v>
      </c>
    </row>
    <row r="3751" spans="2:17">
      <c r="B3751" t="s">
        <v>1596</v>
      </c>
      <c r="C3751" t="s">
        <v>787</v>
      </c>
      <c r="D3751">
        <v>9.8272209034399597E-12</v>
      </c>
      <c r="E3751" t="s">
        <v>94</v>
      </c>
      <c r="H3751" t="s">
        <v>588</v>
      </c>
      <c r="I3751">
        <v>9.8272209034399597E-12</v>
      </c>
      <c r="J3751">
        <v>1.0247973619913604</v>
      </c>
      <c r="N3751" t="s">
        <v>1597</v>
      </c>
      <c r="O3751" t="s">
        <v>1745</v>
      </c>
      <c r="Q3751" t="s">
        <v>4984</v>
      </c>
    </row>
    <row r="3752" spans="2:17">
      <c r="B3752" t="s">
        <v>1596</v>
      </c>
      <c r="C3752" t="s">
        <v>787</v>
      </c>
      <c r="D3752">
        <v>8.8394732964736305E-12</v>
      </c>
      <c r="E3752" t="s">
        <v>94</v>
      </c>
      <c r="H3752" t="s">
        <v>588</v>
      </c>
      <c r="I3752">
        <v>8.8394732964736305E-12</v>
      </c>
      <c r="J3752">
        <v>1.0247973619913604</v>
      </c>
      <c r="N3752" t="s">
        <v>1597</v>
      </c>
      <c r="O3752" t="s">
        <v>1745</v>
      </c>
      <c r="Q3752" t="s">
        <v>4984</v>
      </c>
    </row>
    <row r="3753" spans="2:17">
      <c r="B3753" t="s">
        <v>1596</v>
      </c>
      <c r="C3753" t="s">
        <v>787</v>
      </c>
      <c r="D3753">
        <v>1.22443284217467E-8</v>
      </c>
      <c r="E3753" t="s">
        <v>94</v>
      </c>
      <c r="H3753" t="s">
        <v>588</v>
      </c>
      <c r="I3753">
        <v>1.22443284217467E-8</v>
      </c>
      <c r="J3753">
        <v>1.0247973619913604</v>
      </c>
      <c r="N3753" t="s">
        <v>1597</v>
      </c>
      <c r="O3753" t="s">
        <v>1745</v>
      </c>
      <c r="Q3753" t="s">
        <v>4984</v>
      </c>
    </row>
    <row r="3754" spans="2:17">
      <c r="B3754" t="s">
        <v>1596</v>
      </c>
      <c r="C3754" t="s">
        <v>787</v>
      </c>
      <c r="D3754">
        <v>1.9027926691624301E-10</v>
      </c>
      <c r="E3754" t="s">
        <v>94</v>
      </c>
      <c r="H3754" t="s">
        <v>588</v>
      </c>
      <c r="I3754">
        <v>1.9027926691624301E-10</v>
      </c>
      <c r="J3754">
        <v>1.0247973619913604</v>
      </c>
      <c r="N3754" t="s">
        <v>1597</v>
      </c>
      <c r="O3754" t="s">
        <v>1745</v>
      </c>
      <c r="Q3754" t="s">
        <v>4984</v>
      </c>
    </row>
    <row r="3755" spans="2:17">
      <c r="B3755" t="s">
        <v>1596</v>
      </c>
      <c r="C3755" t="s">
        <v>787</v>
      </c>
      <c r="D3755">
        <v>2.70189413189401E-11</v>
      </c>
      <c r="E3755" t="s">
        <v>94</v>
      </c>
      <c r="H3755" t="s">
        <v>588</v>
      </c>
      <c r="I3755">
        <v>2.70189413189401E-11</v>
      </c>
      <c r="J3755">
        <v>1.0247973619913604</v>
      </c>
      <c r="N3755" t="s">
        <v>1597</v>
      </c>
      <c r="O3755" t="s">
        <v>1745</v>
      </c>
      <c r="Q3755" t="s">
        <v>4984</v>
      </c>
    </row>
    <row r="3756" spans="2:17">
      <c r="B3756" t="s">
        <v>1596</v>
      </c>
      <c r="C3756" t="s">
        <v>787</v>
      </c>
      <c r="D3756">
        <v>2.4981234629490002E-12</v>
      </c>
      <c r="E3756" t="s">
        <v>94</v>
      </c>
      <c r="H3756" t="s">
        <v>588</v>
      </c>
      <c r="I3756">
        <v>2.4981234629490002E-12</v>
      </c>
      <c r="J3756">
        <v>1.0247973619913604</v>
      </c>
      <c r="N3756" t="s">
        <v>1597</v>
      </c>
      <c r="O3756" t="s">
        <v>1745</v>
      </c>
      <c r="Q3756" t="s">
        <v>4984</v>
      </c>
    </row>
    <row r="3757" spans="2:17">
      <c r="B3757" t="s">
        <v>1596</v>
      </c>
      <c r="C3757" t="s">
        <v>787</v>
      </c>
      <c r="D3757">
        <v>4.7026747423187597E-12</v>
      </c>
      <c r="E3757" t="s">
        <v>94</v>
      </c>
      <c r="H3757" t="s">
        <v>588</v>
      </c>
      <c r="I3757">
        <v>4.7026747423187597E-12</v>
      </c>
      <c r="J3757">
        <v>1.0247973619913604</v>
      </c>
      <c r="N3757" t="s">
        <v>1597</v>
      </c>
      <c r="O3757" t="s">
        <v>1745</v>
      </c>
      <c r="Q3757" t="s">
        <v>4984</v>
      </c>
    </row>
    <row r="3758" spans="2:17">
      <c r="B3758" t="s">
        <v>1596</v>
      </c>
      <c r="C3758" t="s">
        <v>787</v>
      </c>
      <c r="D3758">
        <v>2.4192341198350701E-12</v>
      </c>
      <c r="E3758" t="s">
        <v>94</v>
      </c>
      <c r="H3758" t="s">
        <v>588</v>
      </c>
      <c r="I3758">
        <v>2.4192341198350701E-12</v>
      </c>
      <c r="J3758">
        <v>1.0247973619913604</v>
      </c>
      <c r="N3758" t="s">
        <v>1597</v>
      </c>
      <c r="O3758" t="s">
        <v>1745</v>
      </c>
      <c r="Q3758" t="s">
        <v>4984</v>
      </c>
    </row>
    <row r="3759" spans="2:17">
      <c r="B3759" t="s">
        <v>1596</v>
      </c>
      <c r="C3759" t="s">
        <v>787</v>
      </c>
      <c r="D3759">
        <v>1.8266919790388598E-11</v>
      </c>
      <c r="E3759" t="s">
        <v>94</v>
      </c>
      <c r="H3759" t="s">
        <v>588</v>
      </c>
      <c r="I3759">
        <v>1.8266919790388598E-11</v>
      </c>
      <c r="J3759">
        <v>1.0247973619913604</v>
      </c>
      <c r="N3759" t="s">
        <v>1597</v>
      </c>
      <c r="O3759" t="s">
        <v>1745</v>
      </c>
      <c r="Q3759" t="s">
        <v>4984</v>
      </c>
    </row>
    <row r="3760" spans="2:17">
      <c r="B3760" t="s">
        <v>1596</v>
      </c>
      <c r="C3760" t="s">
        <v>787</v>
      </c>
      <c r="D3760">
        <v>5.3522160670079599E-7</v>
      </c>
      <c r="E3760" t="s">
        <v>94</v>
      </c>
      <c r="H3760" t="s">
        <v>588</v>
      </c>
      <c r="I3760">
        <v>5.3522160670079599E-7</v>
      </c>
      <c r="J3760">
        <v>1.0247973619913604</v>
      </c>
      <c r="N3760" t="s">
        <v>1597</v>
      </c>
      <c r="O3760" t="s">
        <v>2387</v>
      </c>
      <c r="Q3760" t="s">
        <v>3088</v>
      </c>
    </row>
    <row r="3761" spans="2:17">
      <c r="B3761" t="s">
        <v>1596</v>
      </c>
      <c r="C3761" t="s">
        <v>787</v>
      </c>
      <c r="D3761">
        <v>8.2377077411917494E-5</v>
      </c>
      <c r="E3761" t="s">
        <v>94</v>
      </c>
      <c r="H3761" t="s">
        <v>588</v>
      </c>
      <c r="I3761">
        <v>8.2377077411917494E-5</v>
      </c>
      <c r="J3761">
        <v>1.0247973619913604</v>
      </c>
      <c r="N3761" t="s">
        <v>1598</v>
      </c>
      <c r="O3761" t="s">
        <v>2387</v>
      </c>
      <c r="Q3761" t="s">
        <v>3088</v>
      </c>
    </row>
    <row r="3762" spans="2:17">
      <c r="B3762" t="s">
        <v>1596</v>
      </c>
      <c r="C3762" t="s">
        <v>787</v>
      </c>
      <c r="D3762">
        <v>2.77605437710153E-6</v>
      </c>
      <c r="E3762" t="s">
        <v>94</v>
      </c>
      <c r="H3762" t="s">
        <v>588</v>
      </c>
      <c r="I3762">
        <v>2.77605437710153E-6</v>
      </c>
      <c r="J3762">
        <v>1.0247973619913604</v>
      </c>
      <c r="N3762" t="s">
        <v>1597</v>
      </c>
      <c r="O3762" t="s">
        <v>2387</v>
      </c>
      <c r="Q3762" t="s">
        <v>3088</v>
      </c>
    </row>
    <row r="3763" spans="2:17">
      <c r="B3763" t="s">
        <v>1596</v>
      </c>
      <c r="C3763" t="s">
        <v>787</v>
      </c>
      <c r="D3763">
        <v>4.3272715771664301E-11</v>
      </c>
      <c r="E3763" t="s">
        <v>94</v>
      </c>
      <c r="H3763" t="s">
        <v>588</v>
      </c>
      <c r="I3763">
        <v>4.3272715771664301E-11</v>
      </c>
      <c r="J3763">
        <v>1.0247973619913604</v>
      </c>
      <c r="N3763" t="s">
        <v>1597</v>
      </c>
      <c r="O3763" t="s">
        <v>1745</v>
      </c>
      <c r="Q3763" t="s">
        <v>4984</v>
      </c>
    </row>
    <row r="3764" spans="2:17">
      <c r="B3764" t="s">
        <v>1596</v>
      </c>
      <c r="C3764" t="s">
        <v>787</v>
      </c>
      <c r="D3764">
        <v>2.1937067760162999E-11</v>
      </c>
      <c r="E3764" t="s">
        <v>94</v>
      </c>
      <c r="H3764" t="s">
        <v>588</v>
      </c>
      <c r="I3764">
        <v>2.1937067760162999E-11</v>
      </c>
      <c r="J3764">
        <v>1.0247973619913604</v>
      </c>
      <c r="N3764" t="s">
        <v>1597</v>
      </c>
      <c r="O3764" t="s">
        <v>1745</v>
      </c>
      <c r="Q3764" t="s">
        <v>4984</v>
      </c>
    </row>
    <row r="3765" spans="2:17">
      <c r="B3765" t="s">
        <v>1596</v>
      </c>
      <c r="C3765" t="s">
        <v>787</v>
      </c>
      <c r="D3765">
        <v>6.85762050152448E-12</v>
      </c>
      <c r="E3765" t="s">
        <v>94</v>
      </c>
      <c r="H3765" t="s">
        <v>588</v>
      </c>
      <c r="I3765">
        <v>6.85762050152448E-12</v>
      </c>
      <c r="J3765">
        <v>1.0247973619913604</v>
      </c>
      <c r="N3765" t="s">
        <v>1597</v>
      </c>
      <c r="O3765" t="s">
        <v>1745</v>
      </c>
      <c r="Q3765" t="s">
        <v>4984</v>
      </c>
    </row>
    <row r="3766" spans="2:17">
      <c r="B3766" t="s">
        <v>4985</v>
      </c>
      <c r="C3766" t="s">
        <v>787</v>
      </c>
      <c r="D3766">
        <v>2.6335746234397402E-12</v>
      </c>
      <c r="E3766" t="s">
        <v>94</v>
      </c>
      <c r="H3766" t="s">
        <v>588</v>
      </c>
      <c r="I3766">
        <v>2.6335746234397402E-12</v>
      </c>
      <c r="J3766">
        <v>1.0247973619913604</v>
      </c>
      <c r="N3766" t="s">
        <v>4986</v>
      </c>
      <c r="O3766" t="s">
        <v>641</v>
      </c>
      <c r="Q3766" t="s">
        <v>1672</v>
      </c>
    </row>
    <row r="3767" spans="2:17">
      <c r="B3767" t="s">
        <v>4985</v>
      </c>
      <c r="C3767" t="s">
        <v>787</v>
      </c>
      <c r="D3767">
        <v>1.9917296384728801E-13</v>
      </c>
      <c r="E3767" t="s">
        <v>94</v>
      </c>
      <c r="H3767" t="s">
        <v>588</v>
      </c>
      <c r="I3767">
        <v>1.9917296384728801E-13</v>
      </c>
      <c r="J3767">
        <v>1.0247973619913604</v>
      </c>
      <c r="N3767" t="s">
        <v>4986</v>
      </c>
      <c r="O3767" t="s">
        <v>641</v>
      </c>
      <c r="Q3767" t="s">
        <v>1672</v>
      </c>
    </row>
    <row r="3768" spans="2:17">
      <c r="B3768" t="s">
        <v>4985</v>
      </c>
      <c r="C3768" t="s">
        <v>787</v>
      </c>
      <c r="D3768">
        <v>2.7592850713998801E-10</v>
      </c>
      <c r="E3768" t="s">
        <v>94</v>
      </c>
      <c r="H3768" t="s">
        <v>588</v>
      </c>
      <c r="I3768">
        <v>2.7592850713998801E-10</v>
      </c>
      <c r="J3768">
        <v>1.0247973619913604</v>
      </c>
      <c r="N3768" t="s">
        <v>4986</v>
      </c>
      <c r="O3768" t="s">
        <v>641</v>
      </c>
      <c r="Q3768" t="s">
        <v>1672</v>
      </c>
    </row>
    <row r="3769" spans="2:17">
      <c r="B3769" t="s">
        <v>4985</v>
      </c>
      <c r="C3769" t="s">
        <v>787</v>
      </c>
      <c r="D3769">
        <v>1.087760639614E-12</v>
      </c>
      <c r="E3769" t="s">
        <v>94</v>
      </c>
      <c r="H3769" t="s">
        <v>588</v>
      </c>
      <c r="I3769">
        <v>1.087760639614E-12</v>
      </c>
      <c r="J3769">
        <v>1.0247973619913604</v>
      </c>
      <c r="N3769" t="s">
        <v>4986</v>
      </c>
      <c r="O3769" t="s">
        <v>641</v>
      </c>
      <c r="Q3769" t="s">
        <v>1672</v>
      </c>
    </row>
    <row r="3770" spans="2:17">
      <c r="B3770" t="s">
        <v>4985</v>
      </c>
      <c r="C3770" t="s">
        <v>787</v>
      </c>
      <c r="D3770">
        <v>1.03293042084864E-12</v>
      </c>
      <c r="E3770" t="s">
        <v>94</v>
      </c>
      <c r="H3770" t="s">
        <v>588</v>
      </c>
      <c r="I3770">
        <v>1.03293042084864E-12</v>
      </c>
      <c r="J3770">
        <v>1.0247973619913604</v>
      </c>
      <c r="N3770" t="s">
        <v>4986</v>
      </c>
      <c r="O3770" t="s">
        <v>641</v>
      </c>
      <c r="Q3770" t="s">
        <v>1672</v>
      </c>
    </row>
    <row r="3771" spans="2:17">
      <c r="B3771" t="s">
        <v>4985</v>
      </c>
      <c r="C3771" t="s">
        <v>787</v>
      </c>
      <c r="D3771">
        <v>4.3944287474930999E-13</v>
      </c>
      <c r="E3771" t="s">
        <v>94</v>
      </c>
      <c r="H3771" t="s">
        <v>588</v>
      </c>
      <c r="I3771">
        <v>4.3944287474930999E-13</v>
      </c>
      <c r="J3771">
        <v>1.0247973619913604</v>
      </c>
      <c r="N3771" t="s">
        <v>4986</v>
      </c>
      <c r="O3771" t="s">
        <v>641</v>
      </c>
      <c r="Q3771" t="s">
        <v>1672</v>
      </c>
    </row>
    <row r="3772" spans="2:17">
      <c r="B3772" t="s">
        <v>4985</v>
      </c>
      <c r="C3772" t="s">
        <v>787</v>
      </c>
      <c r="D3772">
        <v>3.9415243343539099E-11</v>
      </c>
      <c r="E3772" t="s">
        <v>94</v>
      </c>
      <c r="H3772" t="s">
        <v>588</v>
      </c>
      <c r="I3772">
        <v>3.9415243343539099E-11</v>
      </c>
      <c r="J3772">
        <v>1.0247973619913604</v>
      </c>
      <c r="N3772" t="s">
        <v>4986</v>
      </c>
      <c r="O3772" t="s">
        <v>641</v>
      </c>
      <c r="Q3772" t="s">
        <v>1672</v>
      </c>
    </row>
    <row r="3773" spans="2:17">
      <c r="B3773" t="s">
        <v>4985</v>
      </c>
      <c r="C3773" t="s">
        <v>787</v>
      </c>
      <c r="D3773">
        <v>3.4160511178084502E-11</v>
      </c>
      <c r="E3773" t="s">
        <v>94</v>
      </c>
      <c r="H3773" t="s">
        <v>588</v>
      </c>
      <c r="I3773">
        <v>3.4160511178084502E-11</v>
      </c>
      <c r="J3773">
        <v>1.0247973619913604</v>
      </c>
      <c r="N3773" t="s">
        <v>4987</v>
      </c>
      <c r="O3773" t="s">
        <v>641</v>
      </c>
      <c r="Q3773" t="s">
        <v>1672</v>
      </c>
    </row>
    <row r="3774" spans="2:17">
      <c r="B3774" t="s">
        <v>4988</v>
      </c>
      <c r="C3774" t="s">
        <v>2661</v>
      </c>
      <c r="D3774">
        <v>2.3185344949159801E-5</v>
      </c>
      <c r="E3774" t="s">
        <v>94</v>
      </c>
      <c r="N3774" t="s">
        <v>4989</v>
      </c>
      <c r="Q3774" t="s">
        <v>4990</v>
      </c>
    </row>
    <row r="3775" spans="2:17">
      <c r="B3775" t="s">
        <v>4988</v>
      </c>
      <c r="C3775" t="s">
        <v>2661</v>
      </c>
      <c r="D3775">
        <v>1.32510921101707E-4</v>
      </c>
      <c r="E3775" t="s">
        <v>94</v>
      </c>
      <c r="N3775" t="s">
        <v>4989</v>
      </c>
      <c r="Q3775" t="s">
        <v>4990</v>
      </c>
    </row>
    <row r="3776" spans="2:17">
      <c r="B3776" t="s">
        <v>4988</v>
      </c>
      <c r="C3776" t="s">
        <v>2661</v>
      </c>
      <c r="D3776">
        <v>1.3155956064251501E-6</v>
      </c>
      <c r="E3776" t="s">
        <v>94</v>
      </c>
      <c r="N3776" t="s">
        <v>4989</v>
      </c>
      <c r="Q3776" t="s">
        <v>4990</v>
      </c>
    </row>
    <row r="3777" spans="2:17">
      <c r="B3777" t="s">
        <v>4988</v>
      </c>
      <c r="C3777" t="s">
        <v>2661</v>
      </c>
      <c r="D3777">
        <v>4.3714149591945702E-4</v>
      </c>
      <c r="E3777" t="s">
        <v>94</v>
      </c>
      <c r="N3777" t="s">
        <v>4989</v>
      </c>
      <c r="Q3777" t="s">
        <v>4990</v>
      </c>
    </row>
    <row r="3778" spans="2:17">
      <c r="B3778" t="s">
        <v>4991</v>
      </c>
      <c r="C3778" t="s">
        <v>787</v>
      </c>
      <c r="D3778">
        <v>1.2810002115582601E-3</v>
      </c>
      <c r="E3778" t="s">
        <v>94</v>
      </c>
      <c r="H3778" t="s">
        <v>588</v>
      </c>
      <c r="I3778">
        <v>1.2810002115582601E-3</v>
      </c>
      <c r="J3778">
        <v>1</v>
      </c>
      <c r="N3778" t="s">
        <v>4992</v>
      </c>
      <c r="O3778" t="s">
        <v>798</v>
      </c>
      <c r="Q3778" t="s">
        <v>4993</v>
      </c>
    </row>
    <row r="3779" spans="2:17">
      <c r="B3779" t="s">
        <v>4991</v>
      </c>
      <c r="C3779" t="s">
        <v>787</v>
      </c>
      <c r="D3779">
        <v>3.4014363050374399E-4</v>
      </c>
      <c r="E3779" t="s">
        <v>94</v>
      </c>
      <c r="N3779" t="s">
        <v>4992</v>
      </c>
      <c r="Q3779" t="s">
        <v>4993</v>
      </c>
    </row>
    <row r="3780" spans="2:17">
      <c r="B3780" t="s">
        <v>4991</v>
      </c>
      <c r="C3780" t="s">
        <v>787</v>
      </c>
      <c r="D3780">
        <v>6.0575212327502505E-4</v>
      </c>
      <c r="E3780" t="s">
        <v>94</v>
      </c>
      <c r="N3780" t="s">
        <v>4992</v>
      </c>
      <c r="Q3780" t="s">
        <v>4993</v>
      </c>
    </row>
    <row r="3781" spans="2:17">
      <c r="B3781" t="s">
        <v>1599</v>
      </c>
      <c r="C3781" t="s">
        <v>787</v>
      </c>
      <c r="D3781">
        <v>1.15477170744457E-6</v>
      </c>
      <c r="E3781" t="s">
        <v>94</v>
      </c>
      <c r="H3781" t="s">
        <v>588</v>
      </c>
      <c r="I3781">
        <v>1.15477170744457E-6</v>
      </c>
      <c r="J3781">
        <v>1.0247973619913604</v>
      </c>
      <c r="N3781" t="s">
        <v>1600</v>
      </c>
      <c r="O3781" t="s">
        <v>4994</v>
      </c>
      <c r="Q3781" t="s">
        <v>4915</v>
      </c>
    </row>
    <row r="3782" spans="2:17">
      <c r="B3782" t="s">
        <v>1599</v>
      </c>
      <c r="C3782" t="s">
        <v>787</v>
      </c>
      <c r="D3782">
        <v>2.2590823489384399E-5</v>
      </c>
      <c r="E3782" t="s">
        <v>94</v>
      </c>
      <c r="H3782" t="s">
        <v>588</v>
      </c>
      <c r="I3782">
        <v>2.2590823489384399E-5</v>
      </c>
      <c r="J3782">
        <v>1.0247973619913604</v>
      </c>
      <c r="N3782" t="s">
        <v>1602</v>
      </c>
      <c r="O3782" t="s">
        <v>4914</v>
      </c>
      <c r="Q3782" t="s">
        <v>4915</v>
      </c>
    </row>
    <row r="3783" spans="2:17">
      <c r="B3783" t="s">
        <v>1599</v>
      </c>
      <c r="C3783" t="s">
        <v>787</v>
      </c>
      <c r="D3783">
        <v>8.7333505377692796E-8</v>
      </c>
      <c r="E3783" t="s">
        <v>94</v>
      </c>
      <c r="H3783" t="s">
        <v>588</v>
      </c>
      <c r="I3783">
        <v>8.7333505377692796E-8</v>
      </c>
      <c r="J3783">
        <v>1.0247973619913604</v>
      </c>
      <c r="N3783" t="s">
        <v>1600</v>
      </c>
      <c r="O3783" t="s">
        <v>4994</v>
      </c>
      <c r="Q3783" t="s">
        <v>4915</v>
      </c>
    </row>
    <row r="3784" spans="2:17">
      <c r="B3784" t="s">
        <v>1599</v>
      </c>
      <c r="C3784" t="s">
        <v>787</v>
      </c>
      <c r="D3784">
        <v>3.4449997990428998E-8</v>
      </c>
      <c r="E3784" t="s">
        <v>94</v>
      </c>
      <c r="H3784" t="s">
        <v>588</v>
      </c>
      <c r="I3784">
        <v>3.4449997990428998E-8</v>
      </c>
      <c r="J3784">
        <v>1.0247973619913604</v>
      </c>
      <c r="N3784" t="s">
        <v>1600</v>
      </c>
      <c r="O3784" t="s">
        <v>1745</v>
      </c>
      <c r="Q3784" t="s">
        <v>4995</v>
      </c>
    </row>
    <row r="3785" spans="2:17">
      <c r="B3785" t="s">
        <v>1599</v>
      </c>
      <c r="C3785" t="s">
        <v>787</v>
      </c>
      <c r="D3785">
        <v>8.8872025209311607E-9</v>
      </c>
      <c r="E3785" t="s">
        <v>94</v>
      </c>
      <c r="H3785" t="s">
        <v>588</v>
      </c>
      <c r="I3785">
        <v>8.8872025209311607E-9</v>
      </c>
      <c r="J3785">
        <v>1.0247973619913604</v>
      </c>
      <c r="N3785" t="s">
        <v>1600</v>
      </c>
      <c r="O3785" t="s">
        <v>1745</v>
      </c>
      <c r="Q3785" t="s">
        <v>4995</v>
      </c>
    </row>
    <row r="3786" spans="2:17">
      <c r="B3786" t="s">
        <v>1599</v>
      </c>
      <c r="C3786" t="s">
        <v>787</v>
      </c>
      <c r="D3786">
        <v>1.7895762921211699E-8</v>
      </c>
      <c r="E3786" t="s">
        <v>94</v>
      </c>
      <c r="H3786" t="s">
        <v>588</v>
      </c>
      <c r="I3786">
        <v>1.7895762921211699E-8</v>
      </c>
      <c r="J3786">
        <v>1.0247973619913604</v>
      </c>
      <c r="N3786" t="s">
        <v>1600</v>
      </c>
      <c r="O3786" t="s">
        <v>1745</v>
      </c>
      <c r="Q3786" t="s">
        <v>4995</v>
      </c>
    </row>
    <row r="3787" spans="2:17">
      <c r="B3787" t="s">
        <v>1599</v>
      </c>
      <c r="C3787" t="s">
        <v>787</v>
      </c>
      <c r="D3787">
        <v>4.7098153466165703E-9</v>
      </c>
      <c r="E3787" t="s">
        <v>94</v>
      </c>
      <c r="H3787" t="s">
        <v>588</v>
      </c>
      <c r="I3787">
        <v>4.7098153466165703E-9</v>
      </c>
      <c r="J3787">
        <v>1.0247973619913604</v>
      </c>
      <c r="N3787" t="s">
        <v>1600</v>
      </c>
      <c r="O3787" t="s">
        <v>1745</v>
      </c>
      <c r="Q3787" t="s">
        <v>4995</v>
      </c>
    </row>
    <row r="3788" spans="2:17">
      <c r="B3788" t="s">
        <v>1599</v>
      </c>
      <c r="C3788" t="s">
        <v>787</v>
      </c>
      <c r="D3788">
        <v>1.8419108401429299E-9</v>
      </c>
      <c r="E3788" t="s">
        <v>94</v>
      </c>
      <c r="H3788" t="s">
        <v>588</v>
      </c>
      <c r="I3788">
        <v>1.8419108401429299E-9</v>
      </c>
      <c r="J3788">
        <v>1.0247973619913604</v>
      </c>
      <c r="N3788" t="s">
        <v>1600</v>
      </c>
      <c r="O3788" t="s">
        <v>1745</v>
      </c>
      <c r="Q3788" t="s">
        <v>4995</v>
      </c>
    </row>
    <row r="3789" spans="2:17">
      <c r="B3789" t="s">
        <v>1599</v>
      </c>
      <c r="C3789" t="s">
        <v>787</v>
      </c>
      <c r="D3789">
        <v>8.6137776383106108E-9</v>
      </c>
      <c r="E3789" t="s">
        <v>94</v>
      </c>
      <c r="H3789" t="s">
        <v>588</v>
      </c>
      <c r="I3789">
        <v>8.6137776383106108E-9</v>
      </c>
      <c r="J3789">
        <v>1.0247973619913604</v>
      </c>
      <c r="N3789" t="s">
        <v>1600</v>
      </c>
      <c r="O3789" t="s">
        <v>1745</v>
      </c>
      <c r="Q3789" t="s">
        <v>4995</v>
      </c>
    </row>
    <row r="3790" spans="2:17">
      <c r="B3790" t="s">
        <v>1599</v>
      </c>
      <c r="C3790" t="s">
        <v>787</v>
      </c>
      <c r="D3790">
        <v>1.09907262858629E-8</v>
      </c>
      <c r="E3790" t="s">
        <v>94</v>
      </c>
      <c r="H3790" t="s">
        <v>588</v>
      </c>
      <c r="I3790">
        <v>1.09907262858629E-8</v>
      </c>
      <c r="J3790">
        <v>1.0247973619913604</v>
      </c>
      <c r="N3790" t="s">
        <v>1600</v>
      </c>
      <c r="O3790" t="s">
        <v>1745</v>
      </c>
      <c r="Q3790" t="s">
        <v>4995</v>
      </c>
    </row>
    <row r="3791" spans="2:17">
      <c r="B3791" t="s">
        <v>1599</v>
      </c>
      <c r="C3791" t="s">
        <v>787</v>
      </c>
      <c r="D3791">
        <v>9.7335374077869508E-10</v>
      </c>
      <c r="E3791" t="s">
        <v>94</v>
      </c>
      <c r="H3791" t="s">
        <v>588</v>
      </c>
      <c r="I3791">
        <v>9.7335374077869508E-10</v>
      </c>
      <c r="J3791">
        <v>1.0247973619913604</v>
      </c>
      <c r="N3791" t="s">
        <v>1600</v>
      </c>
      <c r="O3791" t="s">
        <v>1745</v>
      </c>
      <c r="Q3791" t="s">
        <v>4995</v>
      </c>
    </row>
    <row r="3792" spans="2:17">
      <c r="B3792" t="s">
        <v>1599</v>
      </c>
      <c r="C3792" t="s">
        <v>787</v>
      </c>
      <c r="D3792">
        <v>1.08925964833816E-7</v>
      </c>
      <c r="E3792" t="s">
        <v>94</v>
      </c>
      <c r="H3792" t="s">
        <v>588</v>
      </c>
      <c r="I3792">
        <v>1.08925964833816E-7</v>
      </c>
      <c r="J3792">
        <v>1.0247973619913604</v>
      </c>
      <c r="N3792" t="s">
        <v>1600</v>
      </c>
      <c r="O3792" t="s">
        <v>1745</v>
      </c>
      <c r="Q3792" t="s">
        <v>4995</v>
      </c>
    </row>
    <row r="3793" spans="2:17">
      <c r="B3793" t="s">
        <v>1599</v>
      </c>
      <c r="C3793" t="s">
        <v>787</v>
      </c>
      <c r="D3793">
        <v>2.5056616982320602E-9</v>
      </c>
      <c r="E3793" t="s">
        <v>94</v>
      </c>
      <c r="H3793" t="s">
        <v>588</v>
      </c>
      <c r="I3793">
        <v>2.5056616982320602E-9</v>
      </c>
      <c r="J3793">
        <v>1.0247973619913604</v>
      </c>
      <c r="N3793" t="s">
        <v>1600</v>
      </c>
      <c r="O3793" t="s">
        <v>1745</v>
      </c>
      <c r="Q3793" t="s">
        <v>4995</v>
      </c>
    </row>
    <row r="3794" spans="2:17">
      <c r="B3794" t="s">
        <v>1599</v>
      </c>
      <c r="C3794" t="s">
        <v>787</v>
      </c>
      <c r="D3794">
        <v>8.3385118168282295E-9</v>
      </c>
      <c r="E3794" t="s">
        <v>94</v>
      </c>
      <c r="H3794" t="s">
        <v>588</v>
      </c>
      <c r="I3794">
        <v>8.3385118168282295E-9</v>
      </c>
      <c r="J3794">
        <v>1.0247973619913604</v>
      </c>
      <c r="N3794" t="s">
        <v>1600</v>
      </c>
      <c r="O3794" t="s">
        <v>1745</v>
      </c>
      <c r="Q3794" t="s">
        <v>4995</v>
      </c>
    </row>
    <row r="3795" spans="2:17">
      <c r="B3795" t="s">
        <v>1599</v>
      </c>
      <c r="C3795" t="s">
        <v>787</v>
      </c>
      <c r="D3795">
        <v>2.1553474163577299E-9</v>
      </c>
      <c r="E3795" t="s">
        <v>94</v>
      </c>
      <c r="H3795" t="s">
        <v>588</v>
      </c>
      <c r="I3795">
        <v>2.1553474163577299E-9</v>
      </c>
      <c r="J3795">
        <v>1.0247973619913604</v>
      </c>
      <c r="N3795" t="s">
        <v>1600</v>
      </c>
      <c r="O3795" t="s">
        <v>1745</v>
      </c>
      <c r="Q3795" t="s">
        <v>4995</v>
      </c>
    </row>
    <row r="3796" spans="2:17">
      <c r="B3796" t="s">
        <v>1599</v>
      </c>
      <c r="C3796" t="s">
        <v>787</v>
      </c>
      <c r="D3796">
        <v>1.22655838359438E-8</v>
      </c>
      <c r="E3796" t="s">
        <v>94</v>
      </c>
      <c r="H3796" t="s">
        <v>588</v>
      </c>
      <c r="I3796">
        <v>1.22655838359438E-8</v>
      </c>
      <c r="J3796">
        <v>1.0247973619913604</v>
      </c>
      <c r="N3796" t="s">
        <v>1600</v>
      </c>
      <c r="O3796" t="s">
        <v>1745</v>
      </c>
      <c r="Q3796" t="s">
        <v>4995</v>
      </c>
    </row>
    <row r="3797" spans="2:17">
      <c r="B3797" t="s">
        <v>1599</v>
      </c>
      <c r="C3797" t="s">
        <v>787</v>
      </c>
      <c r="D3797">
        <v>1.43961320098159E-8</v>
      </c>
      <c r="E3797" t="s">
        <v>94</v>
      </c>
      <c r="H3797" t="s">
        <v>588</v>
      </c>
      <c r="I3797">
        <v>1.43961320098159E-8</v>
      </c>
      <c r="J3797">
        <v>1.0247973619913604</v>
      </c>
      <c r="N3797" t="s">
        <v>1600</v>
      </c>
      <c r="O3797" t="s">
        <v>1745</v>
      </c>
      <c r="Q3797" t="s">
        <v>4995</v>
      </c>
    </row>
    <row r="3798" spans="2:17">
      <c r="B3798" t="s">
        <v>1599</v>
      </c>
      <c r="C3798" t="s">
        <v>787</v>
      </c>
      <c r="D3798">
        <v>1.2329907150971799E-9</v>
      </c>
      <c r="E3798" t="s">
        <v>94</v>
      </c>
      <c r="H3798" t="s">
        <v>588</v>
      </c>
      <c r="I3798">
        <v>1.2329907150971799E-9</v>
      </c>
      <c r="J3798">
        <v>1.0247973619913604</v>
      </c>
      <c r="N3798" t="s">
        <v>1600</v>
      </c>
      <c r="O3798" t="s">
        <v>1745</v>
      </c>
      <c r="Q3798" t="s">
        <v>4995</v>
      </c>
    </row>
    <row r="3799" spans="2:17">
      <c r="B3799" t="s">
        <v>1599</v>
      </c>
      <c r="C3799" t="s">
        <v>787</v>
      </c>
      <c r="D3799">
        <v>3.8322082377492902E-10</v>
      </c>
      <c r="E3799" t="s">
        <v>94</v>
      </c>
      <c r="H3799" t="s">
        <v>588</v>
      </c>
      <c r="I3799">
        <v>3.8322082377492902E-10</v>
      </c>
      <c r="J3799">
        <v>1.0247973619913604</v>
      </c>
      <c r="N3799" t="s">
        <v>1600</v>
      </c>
      <c r="O3799" t="s">
        <v>1745</v>
      </c>
      <c r="Q3799" t="s">
        <v>4995</v>
      </c>
    </row>
    <row r="3800" spans="2:17">
      <c r="B3800" t="s">
        <v>1599</v>
      </c>
      <c r="C3800" t="s">
        <v>787</v>
      </c>
      <c r="D3800">
        <v>9.8549342802021303E-9</v>
      </c>
      <c r="E3800" t="s">
        <v>94</v>
      </c>
      <c r="H3800" t="s">
        <v>588</v>
      </c>
      <c r="I3800">
        <v>9.8549342802021303E-9</v>
      </c>
      <c r="J3800">
        <v>1.0247973619913604</v>
      </c>
      <c r="N3800" t="s">
        <v>1600</v>
      </c>
      <c r="O3800" t="s">
        <v>1745</v>
      </c>
      <c r="Q3800" t="s">
        <v>4995</v>
      </c>
    </row>
    <row r="3801" spans="2:17">
      <c r="B3801" t="s">
        <v>1599</v>
      </c>
      <c r="C3801" t="s">
        <v>787</v>
      </c>
      <c r="D3801">
        <v>1.7282824435676599E-5</v>
      </c>
      <c r="E3801" t="s">
        <v>94</v>
      </c>
      <c r="H3801" t="s">
        <v>588</v>
      </c>
      <c r="I3801">
        <v>1.7282824435676599E-5</v>
      </c>
      <c r="J3801">
        <v>1.0247973619913604</v>
      </c>
      <c r="N3801" t="s">
        <v>1600</v>
      </c>
      <c r="O3801" t="s">
        <v>4994</v>
      </c>
      <c r="Q3801" t="s">
        <v>4915</v>
      </c>
    </row>
    <row r="3802" spans="2:17">
      <c r="B3802" t="s">
        <v>1599</v>
      </c>
      <c r="C3802" t="s">
        <v>787</v>
      </c>
      <c r="D3802">
        <v>1.4885000678453199E-9</v>
      </c>
      <c r="E3802" t="s">
        <v>94</v>
      </c>
      <c r="H3802" t="s">
        <v>588</v>
      </c>
      <c r="I3802">
        <v>1.4885000678453199E-9</v>
      </c>
      <c r="J3802">
        <v>1.0247973619913604</v>
      </c>
      <c r="N3802" t="s">
        <v>1600</v>
      </c>
      <c r="O3802" t="s">
        <v>1745</v>
      </c>
      <c r="Q3802" t="s">
        <v>4995</v>
      </c>
    </row>
    <row r="3803" spans="2:17">
      <c r="B3803" t="s">
        <v>1599</v>
      </c>
      <c r="C3803" t="s">
        <v>787</v>
      </c>
      <c r="D3803">
        <v>8.5570742503198302E-8</v>
      </c>
      <c r="E3803" t="s">
        <v>94</v>
      </c>
      <c r="H3803" t="s">
        <v>588</v>
      </c>
      <c r="I3803">
        <v>8.5570742503198302E-8</v>
      </c>
      <c r="J3803">
        <v>1.0247973619913604</v>
      </c>
      <c r="N3803" t="s">
        <v>1600</v>
      </c>
      <c r="O3803" t="s">
        <v>1745</v>
      </c>
      <c r="Q3803" t="s">
        <v>4995</v>
      </c>
    </row>
    <row r="3804" spans="2:17">
      <c r="B3804" t="s">
        <v>1599</v>
      </c>
      <c r="C3804" t="s">
        <v>787</v>
      </c>
      <c r="D3804">
        <v>1.9268722985180499E-7</v>
      </c>
      <c r="E3804" t="s">
        <v>94</v>
      </c>
      <c r="H3804" t="s">
        <v>588</v>
      </c>
      <c r="I3804">
        <v>1.9268722985180499E-7</v>
      </c>
      <c r="J3804">
        <v>1.0247973619913604</v>
      </c>
      <c r="N3804" t="s">
        <v>1600</v>
      </c>
      <c r="O3804" t="s">
        <v>4994</v>
      </c>
      <c r="Q3804" t="s">
        <v>4915</v>
      </c>
    </row>
    <row r="3805" spans="2:17">
      <c r="B3805" t="s">
        <v>1599</v>
      </c>
      <c r="C3805" t="s">
        <v>787</v>
      </c>
      <c r="D3805">
        <v>6.5239125526743002E-6</v>
      </c>
      <c r="E3805" t="s">
        <v>94</v>
      </c>
      <c r="H3805" t="s">
        <v>588</v>
      </c>
      <c r="I3805">
        <v>6.5239125526743002E-6</v>
      </c>
      <c r="J3805">
        <v>1.0247973619913604</v>
      </c>
      <c r="N3805" t="s">
        <v>1600</v>
      </c>
      <c r="O3805" t="s">
        <v>1745</v>
      </c>
      <c r="Q3805" t="s">
        <v>4995</v>
      </c>
    </row>
    <row r="3806" spans="2:17">
      <c r="B3806" t="s">
        <v>1599</v>
      </c>
      <c r="C3806" t="s">
        <v>787</v>
      </c>
      <c r="D3806">
        <v>1.20989331567337E-4</v>
      </c>
      <c r="E3806" t="s">
        <v>94</v>
      </c>
      <c r="H3806" t="s">
        <v>588</v>
      </c>
      <c r="I3806">
        <v>1.20989331567337E-4</v>
      </c>
      <c r="J3806">
        <v>1.0247973619913604</v>
      </c>
      <c r="N3806" t="s">
        <v>1600</v>
      </c>
      <c r="O3806" t="s">
        <v>4994</v>
      </c>
      <c r="Q3806" t="s">
        <v>4915</v>
      </c>
    </row>
    <row r="3807" spans="2:17">
      <c r="B3807" t="s">
        <v>1599</v>
      </c>
      <c r="C3807" t="s">
        <v>787</v>
      </c>
      <c r="D3807">
        <v>2.3056407774031901E-8</v>
      </c>
      <c r="E3807" t="s">
        <v>94</v>
      </c>
      <c r="H3807" t="s">
        <v>588</v>
      </c>
      <c r="I3807">
        <v>2.3056407774031901E-8</v>
      </c>
      <c r="J3807">
        <v>1.0247973619913604</v>
      </c>
      <c r="N3807" t="s">
        <v>1600</v>
      </c>
      <c r="O3807" t="s">
        <v>1745</v>
      </c>
      <c r="Q3807" t="s">
        <v>4995</v>
      </c>
    </row>
    <row r="3808" spans="2:17">
      <c r="B3808" t="s">
        <v>1599</v>
      </c>
      <c r="C3808" t="s">
        <v>787</v>
      </c>
      <c r="D3808">
        <v>9.6178204163322506E-9</v>
      </c>
      <c r="E3808" t="s">
        <v>94</v>
      </c>
      <c r="H3808" t="s">
        <v>588</v>
      </c>
      <c r="I3808">
        <v>9.6178204163322506E-9</v>
      </c>
      <c r="J3808">
        <v>1.0247973619913604</v>
      </c>
      <c r="N3808" t="s">
        <v>1600</v>
      </c>
      <c r="O3808" t="s">
        <v>1745</v>
      </c>
      <c r="Q3808" t="s">
        <v>4995</v>
      </c>
    </row>
    <row r="3809" spans="2:17">
      <c r="B3809" t="s">
        <v>1599</v>
      </c>
      <c r="C3809" t="s">
        <v>787</v>
      </c>
      <c r="D3809">
        <v>3.6538518977411599E-9</v>
      </c>
      <c r="E3809" t="s">
        <v>94</v>
      </c>
      <c r="H3809" t="s">
        <v>588</v>
      </c>
      <c r="I3809">
        <v>3.6538518977411599E-9</v>
      </c>
      <c r="J3809">
        <v>1.0247973619913604</v>
      </c>
      <c r="N3809" t="s">
        <v>1600</v>
      </c>
      <c r="O3809" t="s">
        <v>1745</v>
      </c>
      <c r="Q3809" t="s">
        <v>4995</v>
      </c>
    </row>
    <row r="3810" spans="2:17">
      <c r="B3810" t="s">
        <v>1599</v>
      </c>
      <c r="C3810" t="s">
        <v>787</v>
      </c>
      <c r="D3810">
        <v>4.8044164528715798E-8</v>
      </c>
      <c r="E3810" t="s">
        <v>94</v>
      </c>
      <c r="H3810" t="s">
        <v>588</v>
      </c>
      <c r="I3810">
        <v>4.8044164528715798E-8</v>
      </c>
      <c r="J3810">
        <v>1.0247973619913604</v>
      </c>
      <c r="N3810" t="s">
        <v>1600</v>
      </c>
      <c r="O3810" t="s">
        <v>1745</v>
      </c>
      <c r="Q3810" t="s">
        <v>4995</v>
      </c>
    </row>
    <row r="3811" spans="2:17">
      <c r="B3811" t="s">
        <v>1599</v>
      </c>
      <c r="C3811" t="s">
        <v>787</v>
      </c>
      <c r="D3811">
        <v>1.16884270059169E-8</v>
      </c>
      <c r="E3811" t="s">
        <v>94</v>
      </c>
      <c r="H3811" t="s">
        <v>588</v>
      </c>
      <c r="I3811">
        <v>1.16884270059169E-8</v>
      </c>
      <c r="J3811">
        <v>1.0247973619913604</v>
      </c>
      <c r="N3811" t="s">
        <v>1600</v>
      </c>
      <c r="O3811" t="s">
        <v>1745</v>
      </c>
      <c r="Q3811" t="s">
        <v>4995</v>
      </c>
    </row>
    <row r="3812" spans="2:17">
      <c r="B3812" t="s">
        <v>1599</v>
      </c>
      <c r="C3812" t="s">
        <v>787</v>
      </c>
      <c r="D3812">
        <v>1.33104086962216E-9</v>
      </c>
      <c r="E3812" t="s">
        <v>94</v>
      </c>
      <c r="H3812" t="s">
        <v>588</v>
      </c>
      <c r="I3812">
        <v>1.33104086962216E-9</v>
      </c>
      <c r="J3812">
        <v>1.0247973619913604</v>
      </c>
      <c r="N3812" t="s">
        <v>1600</v>
      </c>
      <c r="O3812" t="s">
        <v>1745</v>
      </c>
      <c r="Q3812" t="s">
        <v>4995</v>
      </c>
    </row>
    <row r="3813" spans="2:17">
      <c r="B3813" t="s">
        <v>1599</v>
      </c>
      <c r="C3813" t="s">
        <v>787</v>
      </c>
      <c r="D3813">
        <v>9.7329123895321108E-9</v>
      </c>
      <c r="E3813" t="s">
        <v>94</v>
      </c>
      <c r="H3813" t="s">
        <v>588</v>
      </c>
      <c r="I3813">
        <v>9.7329123895321108E-9</v>
      </c>
      <c r="J3813">
        <v>1.0247973619913604</v>
      </c>
      <c r="N3813" t="s">
        <v>1600</v>
      </c>
      <c r="O3813" t="s">
        <v>1745</v>
      </c>
      <c r="Q3813" t="s">
        <v>4995</v>
      </c>
    </row>
    <row r="3814" spans="2:17">
      <c r="B3814" t="s">
        <v>1599</v>
      </c>
      <c r="C3814" t="s">
        <v>787</v>
      </c>
      <c r="D3814">
        <v>5.9887755329578496E-9</v>
      </c>
      <c r="E3814" t="s">
        <v>94</v>
      </c>
      <c r="H3814" t="s">
        <v>588</v>
      </c>
      <c r="I3814">
        <v>5.9887755329578496E-9</v>
      </c>
      <c r="J3814">
        <v>1.0247973619913604</v>
      </c>
      <c r="N3814" t="s">
        <v>1600</v>
      </c>
      <c r="O3814" t="s">
        <v>1745</v>
      </c>
      <c r="Q3814" t="s">
        <v>4995</v>
      </c>
    </row>
    <row r="3815" spans="2:17">
      <c r="B3815" t="s">
        <v>1599</v>
      </c>
      <c r="C3815" t="s">
        <v>787</v>
      </c>
      <c r="D3815">
        <v>5.2361033596964597E-9</v>
      </c>
      <c r="E3815" t="s">
        <v>94</v>
      </c>
      <c r="H3815" t="s">
        <v>588</v>
      </c>
      <c r="I3815">
        <v>5.2361033596964597E-9</v>
      </c>
      <c r="J3815">
        <v>1.0247973619913604</v>
      </c>
      <c r="N3815" t="s">
        <v>1600</v>
      </c>
      <c r="O3815" t="s">
        <v>1745</v>
      </c>
      <c r="Q3815" t="s">
        <v>4995</v>
      </c>
    </row>
    <row r="3816" spans="2:17">
      <c r="B3816" t="s">
        <v>1599</v>
      </c>
      <c r="C3816" t="s">
        <v>787</v>
      </c>
      <c r="D3816">
        <v>1.4300428523188299E-8</v>
      </c>
      <c r="E3816" t="s">
        <v>94</v>
      </c>
      <c r="H3816" t="s">
        <v>588</v>
      </c>
      <c r="I3816">
        <v>1.4300428523188299E-8</v>
      </c>
      <c r="J3816">
        <v>1.0247973619913604</v>
      </c>
      <c r="N3816" t="s">
        <v>1600</v>
      </c>
      <c r="O3816" t="s">
        <v>1745</v>
      </c>
      <c r="Q3816" t="s">
        <v>4995</v>
      </c>
    </row>
    <row r="3817" spans="2:17">
      <c r="B3817" t="s">
        <v>1599</v>
      </c>
      <c r="C3817" t="s">
        <v>787</v>
      </c>
      <c r="D3817">
        <v>1.2890073426889799E-9</v>
      </c>
      <c r="E3817" t="s">
        <v>94</v>
      </c>
      <c r="H3817" t="s">
        <v>588</v>
      </c>
      <c r="I3817">
        <v>1.2890073426889799E-9</v>
      </c>
      <c r="J3817">
        <v>1.0247973619913604</v>
      </c>
      <c r="N3817" t="s">
        <v>1600</v>
      </c>
      <c r="O3817" t="s">
        <v>1745</v>
      </c>
      <c r="Q3817" t="s">
        <v>4995</v>
      </c>
    </row>
    <row r="3818" spans="2:17">
      <c r="B3818" t="s">
        <v>1599</v>
      </c>
      <c r="C3818" t="s">
        <v>787</v>
      </c>
      <c r="D3818">
        <v>3.5428678412552698E-9</v>
      </c>
      <c r="E3818" t="s">
        <v>94</v>
      </c>
      <c r="H3818" t="s">
        <v>588</v>
      </c>
      <c r="I3818">
        <v>3.5428678412552698E-9</v>
      </c>
      <c r="J3818">
        <v>1.0247973619913604</v>
      </c>
      <c r="N3818" t="s">
        <v>1600</v>
      </c>
      <c r="O3818" t="s">
        <v>1745</v>
      </c>
      <c r="Q3818" t="s">
        <v>4995</v>
      </c>
    </row>
    <row r="3819" spans="2:17">
      <c r="B3819" t="s">
        <v>1599</v>
      </c>
      <c r="C3819" t="s">
        <v>787</v>
      </c>
      <c r="D3819">
        <v>3.4497530634622798E-9</v>
      </c>
      <c r="E3819" t="s">
        <v>94</v>
      </c>
      <c r="H3819" t="s">
        <v>588</v>
      </c>
      <c r="I3819">
        <v>3.4497530634622798E-9</v>
      </c>
      <c r="J3819">
        <v>1.0247973619913604</v>
      </c>
      <c r="N3819" t="s">
        <v>1600</v>
      </c>
      <c r="O3819" t="s">
        <v>1745</v>
      </c>
      <c r="Q3819" t="s">
        <v>4995</v>
      </c>
    </row>
    <row r="3820" spans="2:17">
      <c r="B3820" t="s">
        <v>1599</v>
      </c>
      <c r="C3820" t="s">
        <v>787</v>
      </c>
      <c r="D3820">
        <v>1.01383892615252E-7</v>
      </c>
      <c r="E3820" t="s">
        <v>94</v>
      </c>
      <c r="H3820" t="s">
        <v>588</v>
      </c>
      <c r="I3820">
        <v>1.01383892615252E-7</v>
      </c>
      <c r="J3820">
        <v>1.0247973619913604</v>
      </c>
      <c r="N3820" t="s">
        <v>1600</v>
      </c>
      <c r="O3820" t="s">
        <v>1745</v>
      </c>
      <c r="Q3820" t="s">
        <v>4995</v>
      </c>
    </row>
    <row r="3821" spans="2:17">
      <c r="B3821" t="s">
        <v>1599</v>
      </c>
      <c r="C3821" t="s">
        <v>787</v>
      </c>
      <c r="D3821">
        <v>1.4823302992842101E-8</v>
      </c>
      <c r="E3821" t="s">
        <v>94</v>
      </c>
      <c r="H3821" t="s">
        <v>588</v>
      </c>
      <c r="I3821">
        <v>1.4823302992842101E-8</v>
      </c>
      <c r="J3821">
        <v>1.0247973619913604</v>
      </c>
      <c r="N3821" t="s">
        <v>1600</v>
      </c>
      <c r="O3821" t="s">
        <v>1745</v>
      </c>
      <c r="Q3821" t="s">
        <v>4995</v>
      </c>
    </row>
    <row r="3822" spans="2:17">
      <c r="B3822" t="s">
        <v>1599</v>
      </c>
      <c r="C3822" t="s">
        <v>787</v>
      </c>
      <c r="D3822">
        <v>4.5292007871677598E-7</v>
      </c>
      <c r="E3822" t="s">
        <v>94</v>
      </c>
      <c r="H3822" t="s">
        <v>588</v>
      </c>
      <c r="I3822">
        <v>4.5292007871677598E-7</v>
      </c>
      <c r="J3822">
        <v>1.0247973619913604</v>
      </c>
      <c r="N3822" t="s">
        <v>1600</v>
      </c>
      <c r="O3822" t="s">
        <v>4994</v>
      </c>
      <c r="Q3822" t="s">
        <v>4915</v>
      </c>
    </row>
    <row r="3823" spans="2:17">
      <c r="B3823" t="s">
        <v>1599</v>
      </c>
      <c r="C3823" t="s">
        <v>787</v>
      </c>
      <c r="D3823">
        <v>1.3158800345035399E-9</v>
      </c>
      <c r="E3823" t="s">
        <v>94</v>
      </c>
      <c r="H3823" t="s">
        <v>588</v>
      </c>
      <c r="I3823">
        <v>1.3158800345035399E-9</v>
      </c>
      <c r="J3823">
        <v>1.0247973619913604</v>
      </c>
      <c r="N3823" t="s">
        <v>1600</v>
      </c>
      <c r="O3823" t="s">
        <v>1745</v>
      </c>
      <c r="Q3823" t="s">
        <v>4995</v>
      </c>
    </row>
    <row r="3824" spans="2:17">
      <c r="B3824" t="s">
        <v>1599</v>
      </c>
      <c r="C3824" t="s">
        <v>787</v>
      </c>
      <c r="D3824">
        <v>4.7696207273498097E-7</v>
      </c>
      <c r="E3824" t="s">
        <v>94</v>
      </c>
      <c r="H3824" t="s">
        <v>588</v>
      </c>
      <c r="I3824">
        <v>4.7696207273498097E-7</v>
      </c>
      <c r="J3824">
        <v>1.0247973619913604</v>
      </c>
      <c r="N3824" t="s">
        <v>1600</v>
      </c>
      <c r="O3824" t="s">
        <v>4994</v>
      </c>
      <c r="Q3824" t="s">
        <v>4915</v>
      </c>
    </row>
    <row r="3825" spans="2:17">
      <c r="B3825" t="s">
        <v>4996</v>
      </c>
      <c r="C3825" t="s">
        <v>787</v>
      </c>
      <c r="D3825">
        <v>4.7642123186654598E-5</v>
      </c>
      <c r="E3825" t="s">
        <v>94</v>
      </c>
      <c r="H3825" t="s">
        <v>588</v>
      </c>
      <c r="I3825">
        <v>4.7642123186654598E-5</v>
      </c>
      <c r="J3825">
        <v>1.1051709180756477</v>
      </c>
      <c r="N3825" t="s">
        <v>4997</v>
      </c>
      <c r="O3825" t="s">
        <v>2267</v>
      </c>
      <c r="Q3825" t="s">
        <v>979</v>
      </c>
    </row>
    <row r="3826" spans="2:17">
      <c r="B3826" t="s">
        <v>4996</v>
      </c>
      <c r="C3826" t="s">
        <v>787</v>
      </c>
      <c r="D3826">
        <v>8.3652788286247095E-7</v>
      </c>
      <c r="E3826" t="s">
        <v>94</v>
      </c>
      <c r="H3826" t="s">
        <v>588</v>
      </c>
      <c r="I3826">
        <v>8.3652788286247095E-7</v>
      </c>
      <c r="J3826">
        <v>1.1051709180756477</v>
      </c>
      <c r="N3826" t="s">
        <v>4998</v>
      </c>
      <c r="O3826" t="s">
        <v>4520</v>
      </c>
      <c r="Q3826" t="s">
        <v>2133</v>
      </c>
    </row>
    <row r="3827" spans="2:17">
      <c r="B3827" t="s">
        <v>4996</v>
      </c>
      <c r="C3827" t="s">
        <v>787</v>
      </c>
      <c r="D3827">
        <v>3.4551597544213298E-7</v>
      </c>
      <c r="E3827" t="s">
        <v>94</v>
      </c>
      <c r="H3827" t="s">
        <v>588</v>
      </c>
      <c r="I3827">
        <v>3.4551597544213298E-7</v>
      </c>
      <c r="J3827">
        <v>1.1051709180756477</v>
      </c>
      <c r="N3827" t="s">
        <v>4998</v>
      </c>
      <c r="O3827" t="s">
        <v>4520</v>
      </c>
      <c r="Q3827" t="s">
        <v>2133</v>
      </c>
    </row>
    <row r="3828" spans="2:17">
      <c r="B3828" t="s">
        <v>4996</v>
      </c>
      <c r="C3828" t="s">
        <v>787</v>
      </c>
      <c r="D3828">
        <v>1.3958450783251499E-7</v>
      </c>
      <c r="E3828" t="s">
        <v>94</v>
      </c>
      <c r="H3828" t="s">
        <v>588</v>
      </c>
      <c r="I3828">
        <v>1.3958450783251499E-7</v>
      </c>
      <c r="J3828">
        <v>1.1051709180756477</v>
      </c>
      <c r="N3828" t="s">
        <v>4998</v>
      </c>
      <c r="O3828" t="s">
        <v>4520</v>
      </c>
      <c r="Q3828" t="s">
        <v>2133</v>
      </c>
    </row>
    <row r="3829" spans="2:17">
      <c r="B3829" t="s">
        <v>4996</v>
      </c>
      <c r="C3829" t="s">
        <v>787</v>
      </c>
      <c r="D3829">
        <v>1.25198465132592E-5</v>
      </c>
      <c r="E3829" t="s">
        <v>94</v>
      </c>
      <c r="H3829" t="s">
        <v>588</v>
      </c>
      <c r="I3829">
        <v>1.25198465132592E-5</v>
      </c>
      <c r="J3829">
        <v>1.1051709180756477</v>
      </c>
      <c r="N3829" t="s">
        <v>4998</v>
      </c>
      <c r="O3829" t="s">
        <v>4520</v>
      </c>
      <c r="Q3829" t="s">
        <v>2133</v>
      </c>
    </row>
    <row r="3830" spans="2:17">
      <c r="B3830" t="s">
        <v>4996</v>
      </c>
      <c r="C3830" t="s">
        <v>787</v>
      </c>
      <c r="D3830">
        <v>6.3265242719038496E-8</v>
      </c>
      <c r="E3830" t="s">
        <v>94</v>
      </c>
      <c r="H3830" t="s">
        <v>588</v>
      </c>
      <c r="I3830">
        <v>6.3265242719038496E-8</v>
      </c>
      <c r="J3830">
        <v>1.1051709180756477</v>
      </c>
      <c r="N3830" t="s">
        <v>4998</v>
      </c>
      <c r="O3830" t="s">
        <v>4520</v>
      </c>
      <c r="Q3830" t="s">
        <v>2133</v>
      </c>
    </row>
    <row r="3831" spans="2:17">
      <c r="B3831" t="s">
        <v>4996</v>
      </c>
      <c r="C3831" t="s">
        <v>787</v>
      </c>
      <c r="D3831">
        <v>8.7645851324971203E-5</v>
      </c>
      <c r="E3831" t="s">
        <v>94</v>
      </c>
      <c r="H3831" t="s">
        <v>588</v>
      </c>
      <c r="I3831">
        <v>8.7645851324971203E-5</v>
      </c>
      <c r="J3831">
        <v>1.1051709180756477</v>
      </c>
      <c r="N3831" t="s">
        <v>4998</v>
      </c>
      <c r="O3831" t="s">
        <v>4520</v>
      </c>
      <c r="Q3831" t="s">
        <v>2133</v>
      </c>
    </row>
    <row r="3832" spans="2:17">
      <c r="B3832" t="s">
        <v>4996</v>
      </c>
      <c r="C3832" t="s">
        <v>787</v>
      </c>
      <c r="D3832">
        <v>3.2932479983322798E-7</v>
      </c>
      <c r="E3832" t="s">
        <v>94</v>
      </c>
      <c r="H3832" t="s">
        <v>588</v>
      </c>
      <c r="I3832">
        <v>3.2932479983322798E-7</v>
      </c>
      <c r="J3832">
        <v>1.1051709180756477</v>
      </c>
      <c r="N3832" t="s">
        <v>4998</v>
      </c>
      <c r="O3832" t="s">
        <v>4520</v>
      </c>
      <c r="Q3832" t="s">
        <v>2133</v>
      </c>
    </row>
    <row r="3833" spans="2:17">
      <c r="B3833" t="s">
        <v>4999</v>
      </c>
      <c r="C3833" t="s">
        <v>787</v>
      </c>
      <c r="D3833">
        <v>1.18973554179984E-5</v>
      </c>
      <c r="E3833" t="s">
        <v>94</v>
      </c>
      <c r="H3833" t="s">
        <v>588</v>
      </c>
      <c r="I3833">
        <v>1.18973554179984E-5</v>
      </c>
      <c r="J3833">
        <v>1.4496887707801178</v>
      </c>
      <c r="N3833" t="s">
        <v>5000</v>
      </c>
      <c r="O3833" t="s">
        <v>1994</v>
      </c>
      <c r="Q3833" t="s">
        <v>979</v>
      </c>
    </row>
    <row r="3834" spans="2:17">
      <c r="B3834" t="s">
        <v>4999</v>
      </c>
      <c r="C3834" t="s">
        <v>787</v>
      </c>
      <c r="D3834">
        <v>3.5194100140616202E-6</v>
      </c>
      <c r="E3834" t="s">
        <v>94</v>
      </c>
      <c r="H3834" t="s">
        <v>588</v>
      </c>
      <c r="I3834">
        <v>3.5194100140616202E-6</v>
      </c>
      <c r="J3834">
        <v>1.4496887707801178</v>
      </c>
      <c r="N3834" t="s">
        <v>5000</v>
      </c>
      <c r="O3834" t="s">
        <v>1994</v>
      </c>
      <c r="Q3834" t="s">
        <v>979</v>
      </c>
    </row>
    <row r="3835" spans="2:17">
      <c r="B3835" t="s">
        <v>4999</v>
      </c>
      <c r="C3835" t="s">
        <v>787</v>
      </c>
      <c r="D3835">
        <v>1.41464666991841E-5</v>
      </c>
      <c r="E3835" t="s">
        <v>94</v>
      </c>
      <c r="H3835" t="s">
        <v>588</v>
      </c>
      <c r="I3835">
        <v>1.41464666991841E-5</v>
      </c>
      <c r="J3835">
        <v>1.4496887707801178</v>
      </c>
      <c r="N3835" t="s">
        <v>5000</v>
      </c>
      <c r="O3835" t="s">
        <v>1994</v>
      </c>
      <c r="Q3835" t="s">
        <v>979</v>
      </c>
    </row>
    <row r="3836" spans="2:17">
      <c r="B3836" t="s">
        <v>5001</v>
      </c>
      <c r="C3836" t="s">
        <v>787</v>
      </c>
      <c r="D3836">
        <v>4.8337473229119196E-9</v>
      </c>
      <c r="E3836" t="s">
        <v>94</v>
      </c>
      <c r="H3836" t="s">
        <v>588</v>
      </c>
      <c r="I3836">
        <v>4.8337473229119196E-9</v>
      </c>
      <c r="J3836">
        <v>1.0247973619913604</v>
      </c>
      <c r="N3836" t="s">
        <v>5002</v>
      </c>
      <c r="O3836" t="s">
        <v>2189</v>
      </c>
    </row>
    <row r="3837" spans="2:17">
      <c r="B3837" t="s">
        <v>5001</v>
      </c>
      <c r="C3837" t="s">
        <v>787</v>
      </c>
      <c r="D3837">
        <v>7.7733571366209204E-6</v>
      </c>
      <c r="E3837" t="s">
        <v>94</v>
      </c>
      <c r="H3837" t="s">
        <v>588</v>
      </c>
      <c r="I3837">
        <v>7.7733571366209204E-6</v>
      </c>
      <c r="J3837">
        <v>1.0247973619913604</v>
      </c>
      <c r="N3837" t="s">
        <v>5003</v>
      </c>
      <c r="O3837" t="s">
        <v>1883</v>
      </c>
    </row>
    <row r="3838" spans="2:17">
      <c r="B3838" t="s">
        <v>5001</v>
      </c>
      <c r="C3838" t="s">
        <v>787</v>
      </c>
      <c r="D3838">
        <v>1.06648803048432E-8</v>
      </c>
      <c r="E3838" t="s">
        <v>94</v>
      </c>
      <c r="H3838" t="s">
        <v>588</v>
      </c>
      <c r="I3838">
        <v>1.06648803048432E-8</v>
      </c>
      <c r="J3838">
        <v>1.0247973619913604</v>
      </c>
      <c r="N3838" t="s">
        <v>5002</v>
      </c>
      <c r="O3838" t="s">
        <v>2189</v>
      </c>
    </row>
    <row r="3839" spans="2:17">
      <c r="B3839" t="s">
        <v>5001</v>
      </c>
      <c r="C3839" t="s">
        <v>787</v>
      </c>
      <c r="D3839">
        <v>6.3914469312718006E-8</v>
      </c>
      <c r="E3839" t="s">
        <v>94</v>
      </c>
      <c r="H3839" t="s">
        <v>588</v>
      </c>
      <c r="I3839">
        <v>6.3914469312718006E-8</v>
      </c>
      <c r="J3839">
        <v>1.0247973619913604</v>
      </c>
      <c r="N3839" t="s">
        <v>5002</v>
      </c>
      <c r="O3839" t="s">
        <v>2189</v>
      </c>
    </row>
    <row r="3840" spans="2:17">
      <c r="B3840" t="s">
        <v>5001</v>
      </c>
      <c r="C3840" t="s">
        <v>787</v>
      </c>
      <c r="D3840">
        <v>2.6398964890308002E-8</v>
      </c>
      <c r="E3840" t="s">
        <v>94</v>
      </c>
      <c r="H3840" t="s">
        <v>588</v>
      </c>
      <c r="I3840">
        <v>2.6398964890308002E-8</v>
      </c>
      <c r="J3840">
        <v>1.0247973619913604</v>
      </c>
      <c r="N3840" t="s">
        <v>5002</v>
      </c>
      <c r="O3840" t="s">
        <v>2189</v>
      </c>
    </row>
    <row r="3841" spans="2:17">
      <c r="B3841" t="s">
        <v>5001</v>
      </c>
      <c r="C3841" t="s">
        <v>787</v>
      </c>
      <c r="D3841">
        <v>9.565722340700519E-7</v>
      </c>
      <c r="E3841" t="s">
        <v>94</v>
      </c>
      <c r="H3841" t="s">
        <v>588</v>
      </c>
      <c r="I3841">
        <v>9.565722340700519E-7</v>
      </c>
      <c r="J3841">
        <v>1.0247973619913604</v>
      </c>
      <c r="N3841" t="s">
        <v>5002</v>
      </c>
      <c r="O3841" t="s">
        <v>2189</v>
      </c>
    </row>
    <row r="3842" spans="2:17">
      <c r="B3842" t="s">
        <v>5001</v>
      </c>
      <c r="C3842" t="s">
        <v>787</v>
      </c>
      <c r="D3842">
        <v>2.5068285173280999E-8</v>
      </c>
      <c r="E3842" t="s">
        <v>94</v>
      </c>
      <c r="H3842" t="s">
        <v>588</v>
      </c>
      <c r="I3842">
        <v>2.5068285173280999E-8</v>
      </c>
      <c r="J3842">
        <v>1.0247973619913604</v>
      </c>
      <c r="N3842" t="s">
        <v>5002</v>
      </c>
      <c r="O3842" t="s">
        <v>2189</v>
      </c>
    </row>
    <row r="3843" spans="2:17">
      <c r="B3843" t="s">
        <v>5001</v>
      </c>
      <c r="C3843" t="s">
        <v>787</v>
      </c>
      <c r="D3843">
        <v>6.6965347953833699E-6</v>
      </c>
      <c r="E3843" t="s">
        <v>94</v>
      </c>
      <c r="H3843" t="s">
        <v>588</v>
      </c>
      <c r="I3843">
        <v>6.6965347953833699E-6</v>
      </c>
      <c r="J3843">
        <v>1.0247973619913604</v>
      </c>
      <c r="N3843" t="s">
        <v>5002</v>
      </c>
      <c r="O3843" t="s">
        <v>2189</v>
      </c>
    </row>
    <row r="3844" spans="2:17">
      <c r="B3844" t="s">
        <v>5004</v>
      </c>
      <c r="C3844" t="s">
        <v>787</v>
      </c>
      <c r="D3844">
        <v>9.3234670002341008E-6</v>
      </c>
      <c r="E3844" t="s">
        <v>94</v>
      </c>
      <c r="N3844" t="s">
        <v>5005</v>
      </c>
      <c r="Q3844" t="s">
        <v>5006</v>
      </c>
    </row>
    <row r="3845" spans="2:17">
      <c r="B3845" t="s">
        <v>5004</v>
      </c>
      <c r="C3845" t="s">
        <v>787</v>
      </c>
      <c r="D3845">
        <v>7.3131735024435996E-9</v>
      </c>
      <c r="E3845" t="s">
        <v>94</v>
      </c>
      <c r="N3845" t="s">
        <v>5005</v>
      </c>
      <c r="Q3845" t="s">
        <v>5006</v>
      </c>
    </row>
    <row r="3846" spans="2:17">
      <c r="B3846" t="s">
        <v>1603</v>
      </c>
      <c r="C3846" t="s">
        <v>787</v>
      </c>
      <c r="D3846">
        <v>8.9101368753464298E-8</v>
      </c>
      <c r="E3846" t="s">
        <v>94</v>
      </c>
      <c r="N3846" t="s">
        <v>1604</v>
      </c>
      <c r="Q3846" t="s">
        <v>5007</v>
      </c>
    </row>
    <row r="3847" spans="2:17">
      <c r="B3847" t="s">
        <v>1603</v>
      </c>
      <c r="C3847" t="s">
        <v>787</v>
      </c>
      <c r="D3847">
        <v>8.65697153421241E-7</v>
      </c>
      <c r="E3847" t="s">
        <v>94</v>
      </c>
      <c r="N3847" t="s">
        <v>1604</v>
      </c>
      <c r="Q3847" t="s">
        <v>5007</v>
      </c>
    </row>
    <row r="3848" spans="2:17">
      <c r="B3848" t="s">
        <v>1603</v>
      </c>
      <c r="C3848" t="s">
        <v>787</v>
      </c>
      <c r="D3848">
        <v>7.9939163112689806E-6</v>
      </c>
      <c r="E3848" t="s">
        <v>94</v>
      </c>
      <c r="N3848" t="s">
        <v>1604</v>
      </c>
      <c r="Q3848" t="s">
        <v>3016</v>
      </c>
    </row>
    <row r="3849" spans="2:17">
      <c r="B3849" t="s">
        <v>1603</v>
      </c>
      <c r="C3849" t="s">
        <v>787</v>
      </c>
      <c r="D3849">
        <v>4.90438701195343E-6</v>
      </c>
      <c r="E3849" t="s">
        <v>94</v>
      </c>
      <c r="N3849" t="s">
        <v>1604</v>
      </c>
      <c r="Q3849" t="s">
        <v>5007</v>
      </c>
    </row>
    <row r="3850" spans="2:17">
      <c r="B3850" t="s">
        <v>1603</v>
      </c>
      <c r="C3850" t="s">
        <v>787</v>
      </c>
      <c r="D3850">
        <v>7.17068686129815E-7</v>
      </c>
      <c r="E3850" t="s">
        <v>94</v>
      </c>
      <c r="N3850" t="s">
        <v>1604</v>
      </c>
      <c r="Q3850" t="s">
        <v>5007</v>
      </c>
    </row>
    <row r="3851" spans="2:17">
      <c r="B3851" t="s">
        <v>1603</v>
      </c>
      <c r="C3851" t="s">
        <v>787</v>
      </c>
      <c r="D3851">
        <v>4.7082399265187402E-7</v>
      </c>
      <c r="E3851" t="s">
        <v>94</v>
      </c>
      <c r="N3851" t="s">
        <v>1604</v>
      </c>
      <c r="Q3851" t="s">
        <v>5007</v>
      </c>
    </row>
    <row r="3852" spans="2:17">
      <c r="B3852" t="s">
        <v>1603</v>
      </c>
      <c r="C3852" t="s">
        <v>787</v>
      </c>
      <c r="D3852">
        <v>1.2918117314723E-4</v>
      </c>
      <c r="E3852" t="s">
        <v>94</v>
      </c>
      <c r="H3852" t="s">
        <v>588</v>
      </c>
      <c r="I3852">
        <v>1.2918117314723E-4</v>
      </c>
      <c r="J3852">
        <v>1.0247973619913604</v>
      </c>
      <c r="N3852" t="s">
        <v>1604</v>
      </c>
      <c r="O3852" t="s">
        <v>2220</v>
      </c>
      <c r="Q3852" t="s">
        <v>5008</v>
      </c>
    </row>
    <row r="3853" spans="2:17">
      <c r="B3853" t="s">
        <v>1603</v>
      </c>
      <c r="C3853" t="s">
        <v>787</v>
      </c>
      <c r="D3853">
        <v>5.9645210821902006E-8</v>
      </c>
      <c r="E3853" t="s">
        <v>94</v>
      </c>
      <c r="N3853" t="s">
        <v>1604</v>
      </c>
      <c r="Q3853" t="s">
        <v>5007</v>
      </c>
    </row>
    <row r="3854" spans="2:17">
      <c r="B3854" t="s">
        <v>1603</v>
      </c>
      <c r="C3854" t="s">
        <v>787</v>
      </c>
      <c r="D3854">
        <v>5.2692303818200197E-6</v>
      </c>
      <c r="E3854" t="s">
        <v>94</v>
      </c>
      <c r="N3854" t="s">
        <v>1604</v>
      </c>
      <c r="Q3854" t="s">
        <v>5007</v>
      </c>
    </row>
    <row r="3855" spans="2:17">
      <c r="B3855" t="s">
        <v>1603</v>
      </c>
      <c r="C3855" t="s">
        <v>787</v>
      </c>
      <c r="D3855">
        <v>8.8924659938341205E-6</v>
      </c>
      <c r="E3855" t="s">
        <v>94</v>
      </c>
      <c r="N3855" t="s">
        <v>1605</v>
      </c>
      <c r="Q3855" t="s">
        <v>3016</v>
      </c>
    </row>
    <row r="3856" spans="2:17">
      <c r="B3856" t="s">
        <v>1603</v>
      </c>
      <c r="C3856" t="s">
        <v>787</v>
      </c>
      <c r="D3856">
        <v>4.1394350454518096E-6</v>
      </c>
      <c r="E3856" t="s">
        <v>94</v>
      </c>
      <c r="N3856" t="s">
        <v>1604</v>
      </c>
      <c r="Q3856" t="s">
        <v>5007</v>
      </c>
    </row>
    <row r="3857" spans="2:17">
      <c r="B3857" t="s">
        <v>1603</v>
      </c>
      <c r="C3857" t="s">
        <v>787</v>
      </c>
      <c r="D3857">
        <v>2.6100634983084899E-5</v>
      </c>
      <c r="E3857" t="s">
        <v>94</v>
      </c>
      <c r="H3857" t="s">
        <v>588</v>
      </c>
      <c r="I3857">
        <v>2.6100634983084899E-5</v>
      </c>
      <c r="J3857">
        <v>1.0247973619913604</v>
      </c>
      <c r="N3857" t="s">
        <v>1604</v>
      </c>
      <c r="O3857" t="s">
        <v>2220</v>
      </c>
      <c r="Q3857" t="s">
        <v>5008</v>
      </c>
    </row>
    <row r="3858" spans="2:17">
      <c r="B3858" t="s">
        <v>1603</v>
      </c>
      <c r="C3858" t="s">
        <v>787</v>
      </c>
      <c r="D3858">
        <v>1.6664986749647101E-6</v>
      </c>
      <c r="E3858" t="s">
        <v>94</v>
      </c>
      <c r="N3858" t="s">
        <v>1604</v>
      </c>
      <c r="Q3858" t="s">
        <v>5007</v>
      </c>
    </row>
    <row r="3859" spans="2:17">
      <c r="B3859" t="s">
        <v>1603</v>
      </c>
      <c r="C3859" t="s">
        <v>787</v>
      </c>
      <c r="D3859">
        <v>2.8970354346923502E-7</v>
      </c>
      <c r="E3859" t="s">
        <v>94</v>
      </c>
      <c r="N3859" t="s">
        <v>1604</v>
      </c>
      <c r="Q3859" t="s">
        <v>5007</v>
      </c>
    </row>
    <row r="3860" spans="2:17">
      <c r="B3860" t="s">
        <v>1603</v>
      </c>
      <c r="C3860" t="s">
        <v>787</v>
      </c>
      <c r="D3860">
        <v>6.9640453754570496E-7</v>
      </c>
      <c r="E3860" t="s">
        <v>94</v>
      </c>
      <c r="N3860" t="s">
        <v>1604</v>
      </c>
      <c r="Q3860" t="s">
        <v>5007</v>
      </c>
    </row>
    <row r="3861" spans="2:17">
      <c r="B3861" t="s">
        <v>1603</v>
      </c>
      <c r="C3861" t="s">
        <v>787</v>
      </c>
      <c r="D3861">
        <v>6.9177493687929296E-7</v>
      </c>
      <c r="E3861" t="s">
        <v>94</v>
      </c>
      <c r="N3861" t="s">
        <v>1604</v>
      </c>
      <c r="Q3861" t="s">
        <v>5007</v>
      </c>
    </row>
    <row r="3862" spans="2:17">
      <c r="B3862" t="s">
        <v>1603</v>
      </c>
      <c r="C3862" t="s">
        <v>787</v>
      </c>
      <c r="D3862">
        <v>7.2005327589228395E-8</v>
      </c>
      <c r="E3862" t="s">
        <v>94</v>
      </c>
      <c r="N3862" t="s">
        <v>1604</v>
      </c>
      <c r="Q3862" t="s">
        <v>5007</v>
      </c>
    </row>
    <row r="3863" spans="2:17">
      <c r="B3863" t="s">
        <v>1603</v>
      </c>
      <c r="C3863" t="s">
        <v>787</v>
      </c>
      <c r="D3863">
        <v>4.03370673571083E-7</v>
      </c>
      <c r="E3863" t="s">
        <v>94</v>
      </c>
      <c r="N3863" t="s">
        <v>1604</v>
      </c>
      <c r="Q3863" t="s">
        <v>5007</v>
      </c>
    </row>
    <row r="3864" spans="2:17">
      <c r="B3864" t="s">
        <v>1603</v>
      </c>
      <c r="C3864" t="s">
        <v>787</v>
      </c>
      <c r="D3864">
        <v>1.8538085117370101E-8</v>
      </c>
      <c r="E3864" t="s">
        <v>94</v>
      </c>
      <c r="N3864" t="s">
        <v>1604</v>
      </c>
      <c r="Q3864" t="s">
        <v>5007</v>
      </c>
    </row>
    <row r="3865" spans="2:17">
      <c r="B3865" t="s">
        <v>1603</v>
      </c>
      <c r="C3865" t="s">
        <v>787</v>
      </c>
      <c r="D3865">
        <v>4.1668649805649801E-7</v>
      </c>
      <c r="E3865" t="s">
        <v>94</v>
      </c>
      <c r="N3865" t="s">
        <v>1604</v>
      </c>
      <c r="Q3865" t="s">
        <v>5007</v>
      </c>
    </row>
    <row r="3866" spans="2:17">
      <c r="B3866" t="s">
        <v>1603</v>
      </c>
      <c r="C3866" t="s">
        <v>787</v>
      </c>
      <c r="D3866">
        <v>4.2991326819204599E-7</v>
      </c>
      <c r="E3866" t="s">
        <v>94</v>
      </c>
      <c r="N3866" t="s">
        <v>1604</v>
      </c>
      <c r="Q3866" t="s">
        <v>5007</v>
      </c>
    </row>
    <row r="3867" spans="2:17">
      <c r="B3867" t="s">
        <v>1603</v>
      </c>
      <c r="C3867" t="s">
        <v>787</v>
      </c>
      <c r="D3867">
        <v>6.4388330186999199E-8</v>
      </c>
      <c r="E3867" t="s">
        <v>94</v>
      </c>
      <c r="N3867" t="s">
        <v>1604</v>
      </c>
      <c r="Q3867" t="s">
        <v>5007</v>
      </c>
    </row>
    <row r="3868" spans="2:17">
      <c r="B3868" t="s">
        <v>1603</v>
      </c>
      <c r="C3868" t="s">
        <v>787</v>
      </c>
      <c r="D3868">
        <v>3.3017737345940599E-6</v>
      </c>
      <c r="E3868" t="s">
        <v>94</v>
      </c>
      <c r="N3868" t="s">
        <v>1604</v>
      </c>
      <c r="Q3868" t="s">
        <v>3016</v>
      </c>
    </row>
    <row r="3869" spans="2:17">
      <c r="B3869" t="s">
        <v>1603</v>
      </c>
      <c r="C3869" t="s">
        <v>787</v>
      </c>
      <c r="D3869">
        <v>4.7672673085159099E-7</v>
      </c>
      <c r="E3869" t="s">
        <v>94</v>
      </c>
      <c r="N3869" t="s">
        <v>1604</v>
      </c>
      <c r="Q3869" t="s">
        <v>5007</v>
      </c>
    </row>
    <row r="3870" spans="2:17">
      <c r="B3870" t="s">
        <v>1603</v>
      </c>
      <c r="C3870" t="s">
        <v>787</v>
      </c>
      <c r="D3870">
        <v>2.3241085978912202E-6</v>
      </c>
      <c r="E3870" t="s">
        <v>94</v>
      </c>
      <c r="N3870" t="s">
        <v>1604</v>
      </c>
      <c r="Q3870" t="s">
        <v>5007</v>
      </c>
    </row>
    <row r="3871" spans="2:17">
      <c r="B3871" t="s">
        <v>1603</v>
      </c>
      <c r="C3871" t="s">
        <v>787</v>
      </c>
      <c r="D3871">
        <v>3.1353428401596401E-6</v>
      </c>
      <c r="E3871" t="s">
        <v>94</v>
      </c>
      <c r="N3871" t="s">
        <v>1604</v>
      </c>
      <c r="Q3871" t="s">
        <v>3016</v>
      </c>
    </row>
    <row r="3872" spans="2:17">
      <c r="B3872" t="s">
        <v>1603</v>
      </c>
      <c r="C3872" t="s">
        <v>787</v>
      </c>
      <c r="D3872">
        <v>6.0456688422334305E-7</v>
      </c>
      <c r="E3872" t="s">
        <v>94</v>
      </c>
      <c r="N3872" t="s">
        <v>1604</v>
      </c>
      <c r="Q3872" t="s">
        <v>3016</v>
      </c>
    </row>
    <row r="3873" spans="2:17">
      <c r="B3873" t="s">
        <v>1603</v>
      </c>
      <c r="C3873" t="s">
        <v>787</v>
      </c>
      <c r="D3873">
        <v>2.2783458613395499E-7</v>
      </c>
      <c r="E3873" t="s">
        <v>94</v>
      </c>
      <c r="N3873" t="s">
        <v>1604</v>
      </c>
      <c r="Q3873" t="s">
        <v>5007</v>
      </c>
    </row>
    <row r="3874" spans="2:17">
      <c r="B3874" t="s">
        <v>1603</v>
      </c>
      <c r="C3874" t="s">
        <v>787</v>
      </c>
      <c r="D3874">
        <v>4.7085422754750001E-8</v>
      </c>
      <c r="E3874" t="s">
        <v>94</v>
      </c>
      <c r="N3874" t="s">
        <v>1604</v>
      </c>
      <c r="Q3874" t="s">
        <v>5007</v>
      </c>
    </row>
    <row r="3875" spans="2:17">
      <c r="B3875" t="s">
        <v>1603</v>
      </c>
      <c r="C3875" t="s">
        <v>787</v>
      </c>
      <c r="D3875">
        <v>1.04263681363542E-7</v>
      </c>
      <c r="E3875" t="s">
        <v>94</v>
      </c>
      <c r="N3875" t="s">
        <v>1604</v>
      </c>
      <c r="Q3875" t="s">
        <v>5007</v>
      </c>
    </row>
    <row r="3876" spans="2:17">
      <c r="B3876" t="s">
        <v>1603</v>
      </c>
      <c r="C3876" t="s">
        <v>787</v>
      </c>
      <c r="D3876">
        <v>1.1153403554782499E-6</v>
      </c>
      <c r="E3876" t="s">
        <v>94</v>
      </c>
      <c r="N3876" t="s">
        <v>1604</v>
      </c>
      <c r="Q3876" t="s">
        <v>5007</v>
      </c>
    </row>
    <row r="3877" spans="2:17">
      <c r="B3877" t="s">
        <v>1603</v>
      </c>
      <c r="C3877" t="s">
        <v>787</v>
      </c>
      <c r="D3877">
        <v>1.6687980390630299E-7</v>
      </c>
      <c r="E3877" t="s">
        <v>94</v>
      </c>
      <c r="N3877" t="s">
        <v>1604</v>
      </c>
      <c r="Q3877" t="s">
        <v>5007</v>
      </c>
    </row>
    <row r="3878" spans="2:17">
      <c r="B3878" t="s">
        <v>1603</v>
      </c>
      <c r="C3878" t="s">
        <v>787</v>
      </c>
      <c r="D3878">
        <v>1.7138417728405401E-7</v>
      </c>
      <c r="E3878" t="s">
        <v>94</v>
      </c>
      <c r="N3878" t="s">
        <v>1604</v>
      </c>
      <c r="Q3878" t="s">
        <v>5007</v>
      </c>
    </row>
    <row r="3879" spans="2:17">
      <c r="B3879" t="s">
        <v>1603</v>
      </c>
      <c r="C3879" t="s">
        <v>787</v>
      </c>
      <c r="D3879">
        <v>2.5329346356817401E-7</v>
      </c>
      <c r="E3879" t="s">
        <v>94</v>
      </c>
      <c r="N3879" t="s">
        <v>1604</v>
      </c>
      <c r="Q3879" t="s">
        <v>5007</v>
      </c>
    </row>
    <row r="3880" spans="2:17">
      <c r="B3880" t="s">
        <v>1603</v>
      </c>
      <c r="C3880" t="s">
        <v>787</v>
      </c>
      <c r="D3880">
        <v>5.9334050515613101E-7</v>
      </c>
      <c r="E3880" t="s">
        <v>94</v>
      </c>
      <c r="N3880" t="s">
        <v>1604</v>
      </c>
      <c r="Q3880" t="s">
        <v>5007</v>
      </c>
    </row>
    <row r="3881" spans="2:17">
      <c r="B3881" t="s">
        <v>1603</v>
      </c>
      <c r="C3881" t="s">
        <v>787</v>
      </c>
      <c r="D3881">
        <v>5.6542087820132295E-7</v>
      </c>
      <c r="E3881" t="s">
        <v>94</v>
      </c>
      <c r="N3881" t="s">
        <v>1604</v>
      </c>
      <c r="Q3881" t="s">
        <v>5007</v>
      </c>
    </row>
    <row r="3882" spans="2:17">
      <c r="B3882" t="s">
        <v>1603</v>
      </c>
      <c r="C3882" t="s">
        <v>787</v>
      </c>
      <c r="D3882">
        <v>3.1794775678780301E-4</v>
      </c>
      <c r="E3882" t="s">
        <v>94</v>
      </c>
      <c r="N3882" t="s">
        <v>1604</v>
      </c>
      <c r="Q3882" t="s">
        <v>5007</v>
      </c>
    </row>
    <row r="3883" spans="2:17">
      <c r="B3883" t="s">
        <v>1603</v>
      </c>
      <c r="C3883" t="s">
        <v>787</v>
      </c>
      <c r="D3883">
        <v>6.3654933580022095E-8</v>
      </c>
      <c r="E3883" t="s">
        <v>94</v>
      </c>
      <c r="N3883" t="s">
        <v>1604</v>
      </c>
      <c r="Q3883" t="s">
        <v>5007</v>
      </c>
    </row>
    <row r="3884" spans="2:17">
      <c r="B3884" t="s">
        <v>1603</v>
      </c>
      <c r="C3884" t="s">
        <v>787</v>
      </c>
      <c r="D3884">
        <v>6.23549826971764E-8</v>
      </c>
      <c r="E3884" t="s">
        <v>94</v>
      </c>
      <c r="N3884" t="s">
        <v>1604</v>
      </c>
      <c r="Q3884" t="s">
        <v>5007</v>
      </c>
    </row>
    <row r="3885" spans="2:17">
      <c r="B3885" t="s">
        <v>1603</v>
      </c>
      <c r="C3885" t="s">
        <v>787</v>
      </c>
      <c r="D3885">
        <v>4.0990092011029502E-4</v>
      </c>
      <c r="E3885" t="s">
        <v>94</v>
      </c>
      <c r="H3885" t="s">
        <v>588</v>
      </c>
      <c r="I3885">
        <v>4.0990092011029502E-4</v>
      </c>
      <c r="J3885">
        <v>1</v>
      </c>
      <c r="N3885" t="s">
        <v>1604</v>
      </c>
      <c r="O3885" t="s">
        <v>1157</v>
      </c>
      <c r="Q3885" t="s">
        <v>4632</v>
      </c>
    </row>
    <row r="3886" spans="2:17">
      <c r="B3886" t="s">
        <v>1603</v>
      </c>
      <c r="C3886" t="s">
        <v>787</v>
      </c>
      <c r="D3886">
        <v>4.6525648519106298E-7</v>
      </c>
      <c r="E3886" t="s">
        <v>94</v>
      </c>
      <c r="N3886" t="s">
        <v>1604</v>
      </c>
      <c r="Q3886" t="s">
        <v>5007</v>
      </c>
    </row>
    <row r="3887" spans="2:17">
      <c r="B3887" t="s">
        <v>1603</v>
      </c>
      <c r="C3887" t="s">
        <v>787</v>
      </c>
      <c r="D3887">
        <v>3.4059387406148699E-5</v>
      </c>
      <c r="E3887" t="s">
        <v>94</v>
      </c>
      <c r="H3887" t="s">
        <v>588</v>
      </c>
      <c r="I3887">
        <v>3.4059387406148699E-5</v>
      </c>
      <c r="J3887">
        <v>1</v>
      </c>
      <c r="N3887" t="s">
        <v>1604</v>
      </c>
      <c r="O3887" t="s">
        <v>1157</v>
      </c>
      <c r="Q3887" t="s">
        <v>4632</v>
      </c>
    </row>
    <row r="3888" spans="2:17">
      <c r="B3888" t="s">
        <v>1603</v>
      </c>
      <c r="C3888" t="s">
        <v>787</v>
      </c>
      <c r="D3888">
        <v>1.21209931599231E-7</v>
      </c>
      <c r="E3888" t="s">
        <v>94</v>
      </c>
      <c r="N3888" t="s">
        <v>1604</v>
      </c>
      <c r="Q3888" t="s">
        <v>5007</v>
      </c>
    </row>
    <row r="3889" spans="2:17">
      <c r="B3889" t="s">
        <v>1603</v>
      </c>
      <c r="C3889" t="s">
        <v>787</v>
      </c>
      <c r="D3889">
        <v>1.7675296665603901E-7</v>
      </c>
      <c r="E3889" t="s">
        <v>94</v>
      </c>
      <c r="N3889" t="s">
        <v>1604</v>
      </c>
      <c r="Q3889" t="s">
        <v>5007</v>
      </c>
    </row>
    <row r="3890" spans="2:17">
      <c r="B3890" t="s">
        <v>1603</v>
      </c>
      <c r="C3890" t="s">
        <v>787</v>
      </c>
      <c r="D3890">
        <v>8.3051269884844699E-5</v>
      </c>
      <c r="E3890" t="s">
        <v>94</v>
      </c>
      <c r="H3890" t="s">
        <v>588</v>
      </c>
      <c r="I3890">
        <v>8.3051269884844699E-5</v>
      </c>
      <c r="J3890">
        <v>1</v>
      </c>
      <c r="N3890" t="s">
        <v>1605</v>
      </c>
      <c r="O3890" t="s">
        <v>1157</v>
      </c>
      <c r="Q3890" t="s">
        <v>4632</v>
      </c>
    </row>
    <row r="3891" spans="2:17">
      <c r="B3891" t="s">
        <v>5009</v>
      </c>
      <c r="C3891" t="s">
        <v>787</v>
      </c>
      <c r="D3891">
        <v>1.0219375832605E-7</v>
      </c>
      <c r="E3891" t="s">
        <v>94</v>
      </c>
      <c r="H3891" t="s">
        <v>588</v>
      </c>
      <c r="I3891">
        <v>1.0219375832605E-7</v>
      </c>
      <c r="J3891">
        <v>1.0247973619913604</v>
      </c>
      <c r="N3891" t="s">
        <v>5010</v>
      </c>
      <c r="O3891" t="s">
        <v>2314</v>
      </c>
      <c r="Q3891" t="s">
        <v>5011</v>
      </c>
    </row>
    <row r="3892" spans="2:17">
      <c r="B3892" t="s">
        <v>5009</v>
      </c>
      <c r="C3892" t="s">
        <v>787</v>
      </c>
      <c r="D3892">
        <v>3.36927094165729E-6</v>
      </c>
      <c r="E3892" t="s">
        <v>94</v>
      </c>
      <c r="H3892" t="s">
        <v>588</v>
      </c>
      <c r="I3892">
        <v>3.36927094165729E-6</v>
      </c>
      <c r="J3892">
        <v>1.0247973619913604</v>
      </c>
      <c r="N3892" t="s">
        <v>5010</v>
      </c>
      <c r="O3892" t="s">
        <v>2314</v>
      </c>
      <c r="Q3892" t="s">
        <v>5011</v>
      </c>
    </row>
    <row r="3893" spans="2:17">
      <c r="B3893" t="s">
        <v>5009</v>
      </c>
      <c r="C3893" t="s">
        <v>787</v>
      </c>
      <c r="D3893">
        <v>8.86590123053226E-6</v>
      </c>
      <c r="E3893" t="s">
        <v>94</v>
      </c>
      <c r="H3893" t="s">
        <v>588</v>
      </c>
      <c r="I3893">
        <v>8.86590123053226E-6</v>
      </c>
      <c r="J3893">
        <v>1.0247973619913604</v>
      </c>
      <c r="N3893" t="s">
        <v>5010</v>
      </c>
      <c r="O3893" t="s">
        <v>2314</v>
      </c>
      <c r="Q3893" t="s">
        <v>5011</v>
      </c>
    </row>
    <row r="3894" spans="2:17">
      <c r="B3894" t="s">
        <v>5012</v>
      </c>
      <c r="C3894" t="s">
        <v>787</v>
      </c>
      <c r="D3894">
        <v>4.1871513700016999E-6</v>
      </c>
      <c r="E3894" t="s">
        <v>94</v>
      </c>
      <c r="H3894" t="s">
        <v>588</v>
      </c>
      <c r="I3894">
        <v>4.1871513700016999E-6</v>
      </c>
      <c r="J3894">
        <v>1.1051709180756477</v>
      </c>
      <c r="N3894" t="s">
        <v>5013</v>
      </c>
      <c r="O3894" t="s">
        <v>2267</v>
      </c>
      <c r="Q3894" t="s">
        <v>5014</v>
      </c>
    </row>
    <row r="3895" spans="2:17">
      <c r="B3895" t="s">
        <v>5015</v>
      </c>
      <c r="C3895" t="s">
        <v>787</v>
      </c>
      <c r="D3895">
        <v>7.2678953419556503E-3</v>
      </c>
      <c r="E3895" t="s">
        <v>94</v>
      </c>
      <c r="H3895" t="s">
        <v>588</v>
      </c>
      <c r="I3895">
        <v>7.2678953419556503E-3</v>
      </c>
      <c r="J3895">
        <v>1</v>
      </c>
      <c r="N3895" t="s">
        <v>5016</v>
      </c>
      <c r="O3895" t="s">
        <v>1157</v>
      </c>
      <c r="Q3895" t="s">
        <v>4632</v>
      </c>
    </row>
    <row r="3896" spans="2:17">
      <c r="B3896" t="s">
        <v>5015</v>
      </c>
      <c r="C3896" t="s">
        <v>787</v>
      </c>
      <c r="D3896">
        <v>2.7940738781255102E-4</v>
      </c>
      <c r="E3896" t="s">
        <v>94</v>
      </c>
      <c r="H3896" t="s">
        <v>588</v>
      </c>
      <c r="I3896">
        <v>2.7940738781255102E-4</v>
      </c>
      <c r="J3896">
        <v>1</v>
      </c>
      <c r="N3896" t="s">
        <v>5016</v>
      </c>
      <c r="O3896" t="s">
        <v>1157</v>
      </c>
      <c r="Q3896" t="s">
        <v>4632</v>
      </c>
    </row>
    <row r="3897" spans="2:17">
      <c r="B3897" t="s">
        <v>5015</v>
      </c>
      <c r="C3897" t="s">
        <v>787</v>
      </c>
      <c r="D3897">
        <v>1.25292141769121E-2</v>
      </c>
      <c r="E3897" t="s">
        <v>94</v>
      </c>
      <c r="H3897" t="s">
        <v>588</v>
      </c>
      <c r="I3897">
        <v>1.25292141769121E-2</v>
      </c>
      <c r="J3897">
        <v>1</v>
      </c>
      <c r="N3897" t="s">
        <v>5016</v>
      </c>
      <c r="O3897" t="s">
        <v>1157</v>
      </c>
      <c r="Q3897" t="s">
        <v>979</v>
      </c>
    </row>
    <row r="3898" spans="2:17">
      <c r="B3898" t="s">
        <v>5017</v>
      </c>
      <c r="C3898" t="s">
        <v>670</v>
      </c>
      <c r="D3898">
        <v>2.60613211940088E-3</v>
      </c>
      <c r="E3898" t="s">
        <v>94</v>
      </c>
      <c r="H3898" t="s">
        <v>588</v>
      </c>
      <c r="I3898">
        <v>2.60613211940088E-3</v>
      </c>
      <c r="J3898">
        <v>1</v>
      </c>
      <c r="N3898" t="s">
        <v>5018</v>
      </c>
      <c r="O3898" t="s">
        <v>1157</v>
      </c>
      <c r="Q3898" t="s">
        <v>979</v>
      </c>
    </row>
    <row r="3899" spans="2:17">
      <c r="B3899" t="s">
        <v>5017</v>
      </c>
      <c r="C3899" t="s">
        <v>670</v>
      </c>
      <c r="D3899">
        <v>7.9399903159931896E-4</v>
      </c>
      <c r="E3899" t="s">
        <v>94</v>
      </c>
      <c r="H3899" t="s">
        <v>588</v>
      </c>
      <c r="I3899">
        <v>7.9399903159931896E-4</v>
      </c>
      <c r="J3899">
        <v>1</v>
      </c>
      <c r="N3899" t="s">
        <v>5018</v>
      </c>
      <c r="O3899" t="s">
        <v>1157</v>
      </c>
      <c r="Q3899" t="s">
        <v>4632</v>
      </c>
    </row>
    <row r="3900" spans="2:17">
      <c r="B3900" t="s">
        <v>5017</v>
      </c>
      <c r="C3900" t="s">
        <v>670</v>
      </c>
      <c r="D3900">
        <v>1.78469683429985E-4</v>
      </c>
      <c r="E3900" t="s">
        <v>94</v>
      </c>
      <c r="N3900" t="s">
        <v>5019</v>
      </c>
      <c r="Q3900" t="s">
        <v>5020</v>
      </c>
    </row>
    <row r="3901" spans="2:17">
      <c r="B3901" t="s">
        <v>5017</v>
      </c>
      <c r="C3901" t="s">
        <v>670</v>
      </c>
      <c r="D3901">
        <v>9.60990603084536E-5</v>
      </c>
      <c r="E3901" t="s">
        <v>94</v>
      </c>
      <c r="N3901" t="s">
        <v>5021</v>
      </c>
      <c r="Q3901" t="s">
        <v>5020</v>
      </c>
    </row>
    <row r="3902" spans="2:17">
      <c r="B3902" t="s">
        <v>5022</v>
      </c>
      <c r="C3902" t="s">
        <v>787</v>
      </c>
      <c r="D3902">
        <v>3.7646870984000099E-4</v>
      </c>
      <c r="E3902" t="s">
        <v>94</v>
      </c>
      <c r="H3902" t="s">
        <v>588</v>
      </c>
      <c r="I3902">
        <v>3.7646870984000099E-4</v>
      </c>
      <c r="J3902">
        <v>1.0247973619913604</v>
      </c>
      <c r="N3902" t="s">
        <v>5023</v>
      </c>
      <c r="O3902" t="s">
        <v>4388</v>
      </c>
    </row>
    <row r="3903" spans="2:17">
      <c r="B3903" t="s">
        <v>5022</v>
      </c>
      <c r="C3903" t="s">
        <v>787</v>
      </c>
      <c r="D3903">
        <v>5.57865157084808E-4</v>
      </c>
      <c r="E3903" t="s">
        <v>94</v>
      </c>
      <c r="H3903" t="s">
        <v>588</v>
      </c>
      <c r="I3903">
        <v>5.57865157084808E-4</v>
      </c>
      <c r="J3903">
        <v>1.0247973619913604</v>
      </c>
      <c r="N3903" t="s">
        <v>5023</v>
      </c>
      <c r="O3903" t="s">
        <v>4388</v>
      </c>
    </row>
    <row r="3904" spans="2:17">
      <c r="B3904" t="s">
        <v>5022</v>
      </c>
      <c r="C3904" t="s">
        <v>787</v>
      </c>
      <c r="D3904">
        <v>5.5782587764641699E-4</v>
      </c>
      <c r="E3904" t="s">
        <v>94</v>
      </c>
      <c r="H3904" t="s">
        <v>588</v>
      </c>
      <c r="I3904">
        <v>5.5782587764641699E-4</v>
      </c>
      <c r="J3904">
        <v>1.0247973619913604</v>
      </c>
      <c r="N3904" t="s">
        <v>5023</v>
      </c>
      <c r="O3904" t="s">
        <v>641</v>
      </c>
      <c r="Q3904" t="s">
        <v>1643</v>
      </c>
    </row>
    <row r="3905" spans="2:17">
      <c r="B3905" t="s">
        <v>5024</v>
      </c>
      <c r="C3905" t="s">
        <v>650</v>
      </c>
      <c r="D3905">
        <v>8.3055694188865703E-8</v>
      </c>
      <c r="E3905" t="s">
        <v>94</v>
      </c>
      <c r="H3905" t="s">
        <v>588</v>
      </c>
      <c r="I3905">
        <v>8.3055694188865703E-8</v>
      </c>
      <c r="J3905">
        <v>1.0247973619913604</v>
      </c>
      <c r="N3905" t="s">
        <v>5025</v>
      </c>
      <c r="O3905" t="s">
        <v>641</v>
      </c>
      <c r="Q3905" t="s">
        <v>1672</v>
      </c>
    </row>
    <row r="3906" spans="2:17">
      <c r="B3906" t="s">
        <v>5024</v>
      </c>
      <c r="C3906" t="s">
        <v>650</v>
      </c>
      <c r="D3906">
        <v>5.5273392668711299E-5</v>
      </c>
      <c r="E3906" t="s">
        <v>94</v>
      </c>
      <c r="H3906" t="s">
        <v>588</v>
      </c>
      <c r="I3906">
        <v>5.5273392668711299E-5</v>
      </c>
      <c r="J3906">
        <v>1.0247973619913604</v>
      </c>
      <c r="N3906" t="s">
        <v>5025</v>
      </c>
      <c r="O3906" t="s">
        <v>641</v>
      </c>
      <c r="Q3906" t="s">
        <v>1672</v>
      </c>
    </row>
    <row r="3907" spans="2:17">
      <c r="B3907" t="s">
        <v>5026</v>
      </c>
      <c r="C3907" t="s">
        <v>787</v>
      </c>
      <c r="D3907">
        <v>1.7216620255156801E-4</v>
      </c>
      <c r="E3907" t="s">
        <v>94</v>
      </c>
      <c r="H3907" t="s">
        <v>588</v>
      </c>
      <c r="I3907">
        <v>1.7216620255156801E-4</v>
      </c>
      <c r="J3907">
        <v>1</v>
      </c>
      <c r="N3907" t="s">
        <v>5027</v>
      </c>
      <c r="O3907" t="s">
        <v>798</v>
      </c>
      <c r="Q3907" t="s">
        <v>4517</v>
      </c>
    </row>
    <row r="3908" spans="2:17">
      <c r="B3908" t="s">
        <v>5026</v>
      </c>
      <c r="C3908" t="s">
        <v>787</v>
      </c>
      <c r="D3908">
        <v>1.7265329688972501E-4</v>
      </c>
      <c r="E3908" t="s">
        <v>94</v>
      </c>
      <c r="N3908" t="s">
        <v>5027</v>
      </c>
      <c r="Q3908" t="s">
        <v>4517</v>
      </c>
    </row>
    <row r="3909" spans="2:17">
      <c r="B3909" t="s">
        <v>5028</v>
      </c>
      <c r="C3909" t="s">
        <v>787</v>
      </c>
      <c r="D3909">
        <v>1.9199742308438401E-5</v>
      </c>
      <c r="E3909" t="s">
        <v>94</v>
      </c>
      <c r="H3909" t="s">
        <v>588</v>
      </c>
      <c r="I3909">
        <v>1.9199742308438401E-5</v>
      </c>
      <c r="J3909">
        <v>1.8068915230828115</v>
      </c>
      <c r="N3909" t="s">
        <v>5029</v>
      </c>
      <c r="O3909" t="s">
        <v>4037</v>
      </c>
      <c r="Q3909" t="s">
        <v>979</v>
      </c>
    </row>
    <row r="3910" spans="2:17">
      <c r="B3910" t="s">
        <v>5030</v>
      </c>
      <c r="C3910" t="s">
        <v>670</v>
      </c>
      <c r="D3910">
        <v>4.2401225757634798E-5</v>
      </c>
      <c r="E3910" t="s">
        <v>94</v>
      </c>
      <c r="H3910" t="s">
        <v>588</v>
      </c>
      <c r="I3910">
        <v>4.2401225757634798E-5</v>
      </c>
      <c r="J3910">
        <v>1.0247973619913604</v>
      </c>
      <c r="N3910" t="s">
        <v>5031</v>
      </c>
      <c r="O3910" t="s">
        <v>641</v>
      </c>
      <c r="Q3910" t="s">
        <v>1643</v>
      </c>
    </row>
    <row r="3911" spans="2:17">
      <c r="B3911" t="s">
        <v>5030</v>
      </c>
      <c r="C3911" t="s">
        <v>670</v>
      </c>
      <c r="D3911">
        <v>1.3687304790707E-4</v>
      </c>
      <c r="E3911" t="s">
        <v>94</v>
      </c>
      <c r="H3911" t="s">
        <v>588</v>
      </c>
      <c r="I3911">
        <v>1.3687304790707E-4</v>
      </c>
      <c r="J3911">
        <v>1.0247973619913604</v>
      </c>
      <c r="N3911" t="s">
        <v>5031</v>
      </c>
      <c r="O3911" t="s">
        <v>641</v>
      </c>
      <c r="Q3911" t="s">
        <v>1643</v>
      </c>
    </row>
    <row r="3912" spans="2:17">
      <c r="B3912" t="s">
        <v>1606</v>
      </c>
      <c r="C3912" t="s">
        <v>787</v>
      </c>
      <c r="D3912">
        <v>2.1897628229398901E-11</v>
      </c>
      <c r="E3912" t="s">
        <v>94</v>
      </c>
      <c r="H3912" t="s">
        <v>588</v>
      </c>
      <c r="I3912">
        <v>2.1897628229398901E-11</v>
      </c>
      <c r="J3912">
        <v>1.1051709180756477</v>
      </c>
      <c r="N3912" t="s">
        <v>1607</v>
      </c>
      <c r="O3912" t="s">
        <v>4612</v>
      </c>
      <c r="Q3912" t="s">
        <v>5032</v>
      </c>
    </row>
    <row r="3913" spans="2:17">
      <c r="B3913" t="s">
        <v>1606</v>
      </c>
      <c r="C3913" t="s">
        <v>787</v>
      </c>
      <c r="D3913">
        <v>2.95128665761782E-10</v>
      </c>
      <c r="E3913" t="s">
        <v>94</v>
      </c>
      <c r="H3913" t="s">
        <v>588</v>
      </c>
      <c r="I3913">
        <v>2.95128665761782E-10</v>
      </c>
      <c r="J3913">
        <v>1.1051709180756477</v>
      </c>
      <c r="N3913" t="s">
        <v>1607</v>
      </c>
      <c r="O3913" t="s">
        <v>4612</v>
      </c>
      <c r="Q3913" t="s">
        <v>5032</v>
      </c>
    </row>
    <row r="3914" spans="2:17">
      <c r="B3914" t="s">
        <v>1606</v>
      </c>
      <c r="C3914" t="s">
        <v>787</v>
      </c>
      <c r="D3914">
        <v>1.13269524061068E-10</v>
      </c>
      <c r="E3914" t="s">
        <v>94</v>
      </c>
      <c r="H3914" t="s">
        <v>588</v>
      </c>
      <c r="I3914">
        <v>1.13269524061068E-10</v>
      </c>
      <c r="J3914">
        <v>1.1051709180756477</v>
      </c>
      <c r="N3914" t="s">
        <v>1607</v>
      </c>
      <c r="O3914" t="s">
        <v>4612</v>
      </c>
      <c r="Q3914" t="s">
        <v>5032</v>
      </c>
    </row>
    <row r="3915" spans="2:17">
      <c r="B3915" t="s">
        <v>1606</v>
      </c>
      <c r="C3915" t="s">
        <v>787</v>
      </c>
      <c r="D3915">
        <v>9.5598447492284702E-10</v>
      </c>
      <c r="E3915" t="s">
        <v>94</v>
      </c>
      <c r="H3915" t="s">
        <v>588</v>
      </c>
      <c r="I3915">
        <v>9.5598447492284702E-10</v>
      </c>
      <c r="J3915">
        <v>1.1051709180756477</v>
      </c>
      <c r="N3915" t="s">
        <v>1607</v>
      </c>
      <c r="O3915" t="s">
        <v>4612</v>
      </c>
      <c r="Q3915" t="s">
        <v>5032</v>
      </c>
    </row>
    <row r="3916" spans="2:17">
      <c r="B3916" t="s">
        <v>1606</v>
      </c>
      <c r="C3916" t="s">
        <v>787</v>
      </c>
      <c r="D3916">
        <v>7.3647870556463399E-9</v>
      </c>
      <c r="E3916" t="s">
        <v>94</v>
      </c>
      <c r="H3916" t="s">
        <v>588</v>
      </c>
      <c r="I3916">
        <v>7.3647870556463399E-9</v>
      </c>
      <c r="J3916">
        <v>1.1051709180756477</v>
      </c>
      <c r="N3916" t="s">
        <v>1607</v>
      </c>
      <c r="O3916" t="s">
        <v>4612</v>
      </c>
      <c r="Q3916" t="s">
        <v>5032</v>
      </c>
    </row>
    <row r="3917" spans="2:17">
      <c r="B3917" t="s">
        <v>1606</v>
      </c>
      <c r="C3917" t="s">
        <v>787</v>
      </c>
      <c r="D3917">
        <v>7.3129739965000905E-5</v>
      </c>
      <c r="E3917" t="s">
        <v>94</v>
      </c>
      <c r="H3917" t="s">
        <v>588</v>
      </c>
      <c r="I3917">
        <v>7.3129739965000905E-5</v>
      </c>
      <c r="J3917">
        <v>1.0247973619913604</v>
      </c>
      <c r="N3917" t="s">
        <v>1607</v>
      </c>
      <c r="O3917" t="s">
        <v>641</v>
      </c>
      <c r="Q3917" t="s">
        <v>1672</v>
      </c>
    </row>
    <row r="3918" spans="2:17">
      <c r="B3918" t="s">
        <v>1606</v>
      </c>
      <c r="C3918" t="s">
        <v>787</v>
      </c>
      <c r="D3918">
        <v>6.9205318662718496E-10</v>
      </c>
      <c r="E3918" t="s">
        <v>94</v>
      </c>
      <c r="H3918" t="s">
        <v>588</v>
      </c>
      <c r="I3918">
        <v>6.9205318662718496E-10</v>
      </c>
      <c r="J3918">
        <v>1.1051709180756477</v>
      </c>
      <c r="N3918" t="s">
        <v>1607</v>
      </c>
      <c r="O3918" t="s">
        <v>4612</v>
      </c>
      <c r="Q3918" t="s">
        <v>5032</v>
      </c>
    </row>
    <row r="3919" spans="2:17">
      <c r="B3919" t="s">
        <v>1606</v>
      </c>
      <c r="C3919" t="s">
        <v>787</v>
      </c>
      <c r="D3919">
        <v>1.0982910332145301E-6</v>
      </c>
      <c r="E3919" t="s">
        <v>94</v>
      </c>
      <c r="H3919" t="s">
        <v>588</v>
      </c>
      <c r="I3919">
        <v>1.0982910332145301E-6</v>
      </c>
      <c r="J3919">
        <v>1</v>
      </c>
      <c r="N3919" t="s">
        <v>1607</v>
      </c>
      <c r="O3919" t="s">
        <v>1157</v>
      </c>
      <c r="Q3919" t="s">
        <v>4632</v>
      </c>
    </row>
    <row r="3920" spans="2:17">
      <c r="B3920" t="s">
        <v>1606</v>
      </c>
      <c r="C3920" t="s">
        <v>787</v>
      </c>
      <c r="D3920">
        <v>9.8988048093513605E-11</v>
      </c>
      <c r="E3920" t="s">
        <v>94</v>
      </c>
      <c r="H3920" t="s">
        <v>588</v>
      </c>
      <c r="I3920">
        <v>9.8988048093513605E-11</v>
      </c>
      <c r="J3920">
        <v>1.1051709180756477</v>
      </c>
      <c r="N3920" t="s">
        <v>1607</v>
      </c>
      <c r="O3920" t="s">
        <v>4612</v>
      </c>
      <c r="Q3920" t="s">
        <v>5032</v>
      </c>
    </row>
    <row r="3921" spans="2:17">
      <c r="B3921" t="s">
        <v>1606</v>
      </c>
      <c r="C3921" t="s">
        <v>787</v>
      </c>
      <c r="D3921">
        <v>6.4064935369063097E-10</v>
      </c>
      <c r="E3921" t="s">
        <v>94</v>
      </c>
      <c r="H3921" t="s">
        <v>588</v>
      </c>
      <c r="I3921">
        <v>6.4064935369063097E-10</v>
      </c>
      <c r="J3921">
        <v>1.1051709180756477</v>
      </c>
      <c r="N3921" t="s">
        <v>1607</v>
      </c>
      <c r="O3921" t="s">
        <v>4612</v>
      </c>
      <c r="Q3921" t="s">
        <v>5032</v>
      </c>
    </row>
    <row r="3922" spans="2:17">
      <c r="B3922" t="s">
        <v>1606</v>
      </c>
      <c r="C3922" t="s">
        <v>787</v>
      </c>
      <c r="D3922">
        <v>9.3208606690176398E-7</v>
      </c>
      <c r="E3922" t="s">
        <v>94</v>
      </c>
      <c r="H3922" t="s">
        <v>588</v>
      </c>
      <c r="I3922">
        <v>9.3208606690176398E-7</v>
      </c>
      <c r="J3922">
        <v>1</v>
      </c>
      <c r="N3922" t="s">
        <v>5033</v>
      </c>
      <c r="O3922" t="s">
        <v>1157</v>
      </c>
      <c r="Q3922" t="s">
        <v>4632</v>
      </c>
    </row>
    <row r="3923" spans="2:17">
      <c r="B3923" t="s">
        <v>1606</v>
      </c>
      <c r="C3923" t="s">
        <v>787</v>
      </c>
      <c r="D3923">
        <v>5.0018299949928302E-10</v>
      </c>
      <c r="E3923" t="s">
        <v>94</v>
      </c>
      <c r="H3923" t="s">
        <v>588</v>
      </c>
      <c r="I3923">
        <v>5.0018299949928302E-10</v>
      </c>
      <c r="J3923">
        <v>1.1051709180756477</v>
      </c>
      <c r="N3923" t="s">
        <v>1607</v>
      </c>
      <c r="O3923" t="s">
        <v>4612</v>
      </c>
      <c r="Q3923" t="s">
        <v>5032</v>
      </c>
    </row>
    <row r="3924" spans="2:17">
      <c r="B3924" t="s">
        <v>1606</v>
      </c>
      <c r="C3924" t="s">
        <v>787</v>
      </c>
      <c r="D3924">
        <v>1.2139016526892799E-10</v>
      </c>
      <c r="E3924" t="s">
        <v>94</v>
      </c>
      <c r="H3924" t="s">
        <v>588</v>
      </c>
      <c r="I3924">
        <v>1.2139016526892799E-10</v>
      </c>
      <c r="J3924">
        <v>1.1051709180756477</v>
      </c>
      <c r="N3924" t="s">
        <v>1607</v>
      </c>
      <c r="O3924" t="s">
        <v>4612</v>
      </c>
      <c r="Q3924" t="s">
        <v>5032</v>
      </c>
    </row>
    <row r="3925" spans="2:17">
      <c r="B3925" t="s">
        <v>1606</v>
      </c>
      <c r="C3925" t="s">
        <v>787</v>
      </c>
      <c r="D3925">
        <v>1.88041619733728E-9</v>
      </c>
      <c r="E3925" t="s">
        <v>94</v>
      </c>
      <c r="H3925" t="s">
        <v>588</v>
      </c>
      <c r="I3925">
        <v>1.88041619733728E-9</v>
      </c>
      <c r="J3925">
        <v>1.1051709180756477</v>
      </c>
      <c r="N3925" t="s">
        <v>1607</v>
      </c>
      <c r="O3925" t="s">
        <v>4612</v>
      </c>
      <c r="Q3925" t="s">
        <v>5032</v>
      </c>
    </row>
    <row r="3926" spans="2:17">
      <c r="B3926" t="s">
        <v>1606</v>
      </c>
      <c r="C3926" t="s">
        <v>787</v>
      </c>
      <c r="D3926">
        <v>1.1218596987050101E-3</v>
      </c>
      <c r="E3926" t="s">
        <v>94</v>
      </c>
      <c r="H3926" t="s">
        <v>588</v>
      </c>
      <c r="I3926">
        <v>1.1218596987050101E-3</v>
      </c>
      <c r="J3926">
        <v>1.0247973619913604</v>
      </c>
      <c r="N3926" t="s">
        <v>5033</v>
      </c>
      <c r="O3926" t="s">
        <v>641</v>
      </c>
      <c r="Q3926" t="s">
        <v>1672</v>
      </c>
    </row>
    <row r="3927" spans="2:17">
      <c r="B3927" t="s">
        <v>1606</v>
      </c>
      <c r="C3927" t="s">
        <v>787</v>
      </c>
      <c r="D3927">
        <v>1.6480742356268199E-3</v>
      </c>
      <c r="E3927" t="s">
        <v>94</v>
      </c>
      <c r="H3927" t="s">
        <v>588</v>
      </c>
      <c r="I3927">
        <v>1.6480742356268199E-3</v>
      </c>
      <c r="J3927">
        <v>1.0247973619913604</v>
      </c>
      <c r="N3927" t="s">
        <v>1607</v>
      </c>
      <c r="O3927" t="s">
        <v>2220</v>
      </c>
      <c r="Q3927" t="s">
        <v>5034</v>
      </c>
    </row>
    <row r="3928" spans="2:17">
      <c r="B3928" t="s">
        <v>1606</v>
      </c>
      <c r="C3928" t="s">
        <v>787</v>
      </c>
      <c r="D3928">
        <v>2.7507100509847802E-10</v>
      </c>
      <c r="E3928" t="s">
        <v>94</v>
      </c>
      <c r="H3928" t="s">
        <v>588</v>
      </c>
      <c r="I3928">
        <v>2.7507100509847802E-10</v>
      </c>
      <c r="J3928">
        <v>1.1051709180756477</v>
      </c>
      <c r="N3928" t="s">
        <v>1607</v>
      </c>
      <c r="O3928" t="s">
        <v>4612</v>
      </c>
      <c r="Q3928" t="s">
        <v>5032</v>
      </c>
    </row>
    <row r="3929" spans="2:17">
      <c r="B3929" t="s">
        <v>1606</v>
      </c>
      <c r="C3929" t="s">
        <v>787</v>
      </c>
      <c r="D3929">
        <v>1.43638071632168E-3</v>
      </c>
      <c r="E3929" t="s">
        <v>94</v>
      </c>
      <c r="H3929" t="s">
        <v>588</v>
      </c>
      <c r="I3929">
        <v>1.43638071632168E-3</v>
      </c>
      <c r="J3929">
        <v>1.0247973619913604</v>
      </c>
      <c r="N3929" t="s">
        <v>1607</v>
      </c>
      <c r="O3929" t="s">
        <v>641</v>
      </c>
      <c r="Q3929" t="s">
        <v>1672</v>
      </c>
    </row>
    <row r="3930" spans="2:17">
      <c r="B3930" t="s">
        <v>1606</v>
      </c>
      <c r="C3930" t="s">
        <v>787</v>
      </c>
      <c r="D3930">
        <v>8.8484591690527395E-10</v>
      </c>
      <c r="E3930" t="s">
        <v>94</v>
      </c>
      <c r="H3930" t="s">
        <v>588</v>
      </c>
      <c r="I3930">
        <v>8.8484591690527395E-10</v>
      </c>
      <c r="J3930">
        <v>1.1051709180756477</v>
      </c>
      <c r="N3930" t="s">
        <v>1607</v>
      </c>
      <c r="O3930" t="s">
        <v>4612</v>
      </c>
      <c r="Q3930" t="s">
        <v>5032</v>
      </c>
    </row>
    <row r="3931" spans="2:17">
      <c r="B3931" t="s">
        <v>1606</v>
      </c>
      <c r="C3931" t="s">
        <v>787</v>
      </c>
      <c r="D3931">
        <v>1.74873107043601E-3</v>
      </c>
      <c r="E3931" t="s">
        <v>94</v>
      </c>
      <c r="H3931" t="s">
        <v>588</v>
      </c>
      <c r="I3931">
        <v>1.74873107043601E-3</v>
      </c>
      <c r="J3931">
        <v>1.0247973619913604</v>
      </c>
      <c r="N3931" t="s">
        <v>1607</v>
      </c>
      <c r="O3931" t="s">
        <v>641</v>
      </c>
      <c r="Q3931" t="s">
        <v>1672</v>
      </c>
    </row>
    <row r="3932" spans="2:17">
      <c r="B3932" t="s">
        <v>1606</v>
      </c>
      <c r="C3932" t="s">
        <v>787</v>
      </c>
      <c r="D3932">
        <v>1.5434171574483899E-10</v>
      </c>
      <c r="E3932" t="s">
        <v>94</v>
      </c>
      <c r="H3932" t="s">
        <v>588</v>
      </c>
      <c r="I3932">
        <v>1.5434171574483899E-10</v>
      </c>
      <c r="J3932">
        <v>1.1051709180756477</v>
      </c>
      <c r="N3932" t="s">
        <v>1607</v>
      </c>
      <c r="O3932" t="s">
        <v>4612</v>
      </c>
      <c r="Q3932" t="s">
        <v>5032</v>
      </c>
    </row>
    <row r="3933" spans="2:17">
      <c r="B3933" t="s">
        <v>1606</v>
      </c>
      <c r="C3933" t="s">
        <v>787</v>
      </c>
      <c r="D3933">
        <v>1.9467191582349799E-10</v>
      </c>
      <c r="E3933" t="s">
        <v>94</v>
      </c>
      <c r="H3933" t="s">
        <v>588</v>
      </c>
      <c r="I3933">
        <v>1.9467191582349799E-10</v>
      </c>
      <c r="J3933">
        <v>1.1051709180756477</v>
      </c>
      <c r="N3933" t="s">
        <v>1607</v>
      </c>
      <c r="O3933" t="s">
        <v>4612</v>
      </c>
      <c r="Q3933" t="s">
        <v>5032</v>
      </c>
    </row>
    <row r="3934" spans="2:17">
      <c r="B3934" t="s">
        <v>1606</v>
      </c>
      <c r="C3934" t="s">
        <v>787</v>
      </c>
      <c r="D3934">
        <v>1.9449210864137101E-9</v>
      </c>
      <c r="E3934" t="s">
        <v>94</v>
      </c>
      <c r="H3934" t="s">
        <v>588</v>
      </c>
      <c r="I3934">
        <v>1.9449210864137101E-9</v>
      </c>
      <c r="J3934">
        <v>1.1051709180756477</v>
      </c>
      <c r="N3934" t="s">
        <v>1607</v>
      </c>
      <c r="O3934" t="s">
        <v>4612</v>
      </c>
      <c r="Q3934" t="s">
        <v>5032</v>
      </c>
    </row>
    <row r="3935" spans="2:17">
      <c r="B3935" t="s">
        <v>1606</v>
      </c>
      <c r="C3935" t="s">
        <v>787</v>
      </c>
      <c r="D3935">
        <v>9.32178909749746E-11</v>
      </c>
      <c r="E3935" t="s">
        <v>94</v>
      </c>
      <c r="H3935" t="s">
        <v>588</v>
      </c>
      <c r="I3935">
        <v>9.32178909749746E-11</v>
      </c>
      <c r="J3935">
        <v>1.1051709180756477</v>
      </c>
      <c r="N3935" t="s">
        <v>1607</v>
      </c>
      <c r="O3935" t="s">
        <v>4612</v>
      </c>
      <c r="Q3935" t="s">
        <v>5032</v>
      </c>
    </row>
    <row r="3936" spans="2:17">
      <c r="B3936" t="s">
        <v>1606</v>
      </c>
      <c r="C3936" t="s">
        <v>787</v>
      </c>
      <c r="D3936">
        <v>4.1970361458182901E-10</v>
      </c>
      <c r="E3936" t="s">
        <v>94</v>
      </c>
      <c r="H3936" t="s">
        <v>588</v>
      </c>
      <c r="I3936">
        <v>4.1970361458182901E-10</v>
      </c>
      <c r="J3936">
        <v>1.1051709180756477</v>
      </c>
      <c r="N3936" t="s">
        <v>1607</v>
      </c>
      <c r="O3936" t="s">
        <v>4612</v>
      </c>
      <c r="Q3936" t="s">
        <v>5032</v>
      </c>
    </row>
    <row r="3937" spans="2:17">
      <c r="B3937" t="s">
        <v>1606</v>
      </c>
      <c r="C3937" t="s">
        <v>787</v>
      </c>
      <c r="D3937">
        <v>5.2533081566507403E-9</v>
      </c>
      <c r="E3937" t="s">
        <v>94</v>
      </c>
      <c r="H3937" t="s">
        <v>588</v>
      </c>
      <c r="I3937">
        <v>5.2533081566507403E-9</v>
      </c>
      <c r="J3937">
        <v>1.1051709180756477</v>
      </c>
      <c r="N3937" t="s">
        <v>1607</v>
      </c>
      <c r="O3937" t="s">
        <v>4612</v>
      </c>
      <c r="Q3937" t="s">
        <v>5032</v>
      </c>
    </row>
    <row r="3938" spans="2:17">
      <c r="B3938" t="s">
        <v>1606</v>
      </c>
      <c r="C3938" t="s">
        <v>787</v>
      </c>
      <c r="D3938">
        <v>7.6785417656523404E-10</v>
      </c>
      <c r="E3938" t="s">
        <v>94</v>
      </c>
      <c r="H3938" t="s">
        <v>588</v>
      </c>
      <c r="I3938">
        <v>7.6785417656523404E-10</v>
      </c>
      <c r="J3938">
        <v>1.1051709180756477</v>
      </c>
      <c r="N3938" t="s">
        <v>1607</v>
      </c>
      <c r="O3938" t="s">
        <v>4612</v>
      </c>
      <c r="Q3938" t="s">
        <v>5032</v>
      </c>
    </row>
    <row r="3939" spans="2:17">
      <c r="B3939" t="s">
        <v>1606</v>
      </c>
      <c r="C3939" t="s">
        <v>787</v>
      </c>
      <c r="D3939">
        <v>8.2374060718239197E-10</v>
      </c>
      <c r="E3939" t="s">
        <v>94</v>
      </c>
      <c r="H3939" t="s">
        <v>588</v>
      </c>
      <c r="I3939">
        <v>8.2374060718239197E-10</v>
      </c>
      <c r="J3939">
        <v>1.1051709180756477</v>
      </c>
      <c r="N3939" t="s">
        <v>1607</v>
      </c>
      <c r="O3939" t="s">
        <v>4612</v>
      </c>
      <c r="Q3939" t="s">
        <v>5032</v>
      </c>
    </row>
    <row r="3940" spans="2:17">
      <c r="B3940" t="s">
        <v>1606</v>
      </c>
      <c r="C3940" t="s">
        <v>787</v>
      </c>
      <c r="D3940">
        <v>5.1102670511685303E-3</v>
      </c>
      <c r="E3940" t="s">
        <v>94</v>
      </c>
      <c r="H3940" t="s">
        <v>588</v>
      </c>
      <c r="I3940">
        <v>5.1102670511685303E-3</v>
      </c>
      <c r="J3940">
        <v>1</v>
      </c>
      <c r="N3940" t="s">
        <v>1607</v>
      </c>
      <c r="O3940" t="s">
        <v>1157</v>
      </c>
      <c r="Q3940" t="s">
        <v>4632</v>
      </c>
    </row>
    <row r="3941" spans="2:17">
      <c r="B3941" t="s">
        <v>1606</v>
      </c>
      <c r="C3941" t="s">
        <v>787</v>
      </c>
      <c r="D3941">
        <v>6.9325082136272897E-9</v>
      </c>
      <c r="E3941" t="s">
        <v>94</v>
      </c>
      <c r="H3941" t="s">
        <v>588</v>
      </c>
      <c r="I3941">
        <v>6.9325082136272897E-9</v>
      </c>
      <c r="J3941">
        <v>1.1051709180756477</v>
      </c>
      <c r="N3941" t="s">
        <v>1607</v>
      </c>
      <c r="O3941" t="s">
        <v>4612</v>
      </c>
      <c r="Q3941" t="s">
        <v>5032</v>
      </c>
    </row>
    <row r="3942" spans="2:17">
      <c r="B3942" t="s">
        <v>1606</v>
      </c>
      <c r="C3942" t="s">
        <v>787</v>
      </c>
      <c r="D3942">
        <v>4.3886264428803098E-10</v>
      </c>
      <c r="E3942" t="s">
        <v>94</v>
      </c>
      <c r="H3942" t="s">
        <v>588</v>
      </c>
      <c r="I3942">
        <v>4.3886264428803098E-10</v>
      </c>
      <c r="J3942">
        <v>1.1051709180756477</v>
      </c>
      <c r="N3942" t="s">
        <v>1607</v>
      </c>
      <c r="O3942" t="s">
        <v>4612</v>
      </c>
      <c r="Q3942" t="s">
        <v>5032</v>
      </c>
    </row>
    <row r="3943" spans="2:17">
      <c r="B3943" t="s">
        <v>1606</v>
      </c>
      <c r="C3943" t="s">
        <v>787</v>
      </c>
      <c r="D3943">
        <v>6.6302119361964701E-9</v>
      </c>
      <c r="E3943" t="s">
        <v>94</v>
      </c>
      <c r="H3943" t="s">
        <v>588</v>
      </c>
      <c r="I3943">
        <v>6.6302119361964701E-9</v>
      </c>
      <c r="J3943">
        <v>1.1051709180756477</v>
      </c>
      <c r="N3943" t="s">
        <v>1607</v>
      </c>
      <c r="O3943" t="s">
        <v>4612</v>
      </c>
      <c r="Q3943" t="s">
        <v>5032</v>
      </c>
    </row>
    <row r="3944" spans="2:17">
      <c r="B3944" t="s">
        <v>1606</v>
      </c>
      <c r="C3944" t="s">
        <v>787</v>
      </c>
      <c r="D3944">
        <v>1.12928005856373E-9</v>
      </c>
      <c r="E3944" t="s">
        <v>94</v>
      </c>
      <c r="H3944" t="s">
        <v>588</v>
      </c>
      <c r="I3944">
        <v>1.12928005856373E-9</v>
      </c>
      <c r="J3944">
        <v>1.1051709180756477</v>
      </c>
      <c r="N3944" t="s">
        <v>1607</v>
      </c>
      <c r="O3944" t="s">
        <v>4612</v>
      </c>
      <c r="Q3944" t="s">
        <v>5032</v>
      </c>
    </row>
    <row r="3945" spans="2:17">
      <c r="B3945" t="s">
        <v>1606</v>
      </c>
      <c r="C3945" t="s">
        <v>787</v>
      </c>
      <c r="D3945">
        <v>8.1994799256234204E-11</v>
      </c>
      <c r="E3945" t="s">
        <v>94</v>
      </c>
      <c r="H3945" t="s">
        <v>588</v>
      </c>
      <c r="I3945">
        <v>8.1994799256234204E-11</v>
      </c>
      <c r="J3945">
        <v>1.1051709180756477</v>
      </c>
      <c r="N3945" t="s">
        <v>1607</v>
      </c>
      <c r="O3945" t="s">
        <v>4612</v>
      </c>
      <c r="Q3945" t="s">
        <v>5032</v>
      </c>
    </row>
    <row r="3946" spans="2:17">
      <c r="B3946" t="s">
        <v>1606</v>
      </c>
      <c r="C3946" t="s">
        <v>787</v>
      </c>
      <c r="D3946">
        <v>1.6371320354258101E-7</v>
      </c>
      <c r="E3946" t="s">
        <v>94</v>
      </c>
      <c r="H3946" t="s">
        <v>588</v>
      </c>
      <c r="I3946">
        <v>1.6371320354258101E-7</v>
      </c>
      <c r="J3946">
        <v>1.1051709180756477</v>
      </c>
      <c r="N3946" t="s">
        <v>1607</v>
      </c>
      <c r="O3946" t="s">
        <v>4612</v>
      </c>
      <c r="Q3946" t="s">
        <v>5032</v>
      </c>
    </row>
    <row r="3947" spans="2:17">
      <c r="B3947" t="s">
        <v>1606</v>
      </c>
      <c r="C3947" t="s">
        <v>787</v>
      </c>
      <c r="D3947">
        <v>1.37680674472047E-10</v>
      </c>
      <c r="E3947" t="s">
        <v>94</v>
      </c>
      <c r="H3947" t="s">
        <v>588</v>
      </c>
      <c r="I3947">
        <v>1.37680674472047E-10</v>
      </c>
      <c r="J3947">
        <v>1.1051709180756477</v>
      </c>
      <c r="N3947" t="s">
        <v>1607</v>
      </c>
      <c r="O3947" t="s">
        <v>4612</v>
      </c>
      <c r="Q3947" t="s">
        <v>5032</v>
      </c>
    </row>
    <row r="3948" spans="2:17">
      <c r="B3948" t="s">
        <v>1606</v>
      </c>
      <c r="C3948" t="s">
        <v>787</v>
      </c>
      <c r="D3948">
        <v>5.9306272494373497E-7</v>
      </c>
      <c r="E3948" t="s">
        <v>94</v>
      </c>
      <c r="H3948" t="s">
        <v>588</v>
      </c>
      <c r="I3948">
        <v>5.9306272494373497E-7</v>
      </c>
      <c r="J3948">
        <v>1.1051709180756477</v>
      </c>
      <c r="N3948" t="s">
        <v>1607</v>
      </c>
      <c r="O3948" t="s">
        <v>4612</v>
      </c>
      <c r="Q3948" t="s">
        <v>5032</v>
      </c>
    </row>
    <row r="3949" spans="2:17">
      <c r="B3949" t="s">
        <v>1606</v>
      </c>
      <c r="C3949" t="s">
        <v>787</v>
      </c>
      <c r="D3949">
        <v>3.6640031441068797E-7</v>
      </c>
      <c r="E3949" t="s">
        <v>94</v>
      </c>
      <c r="H3949" t="s">
        <v>588</v>
      </c>
      <c r="I3949">
        <v>3.6640031441068797E-7</v>
      </c>
      <c r="J3949">
        <v>1.1051709180756477</v>
      </c>
      <c r="N3949" t="s">
        <v>1607</v>
      </c>
      <c r="O3949" t="s">
        <v>4612</v>
      </c>
      <c r="Q3949" t="s">
        <v>5035</v>
      </c>
    </row>
    <row r="3950" spans="2:17">
      <c r="B3950" t="s">
        <v>1606</v>
      </c>
      <c r="C3950" t="s">
        <v>787</v>
      </c>
      <c r="D3950">
        <v>1.07020680898884E-9</v>
      </c>
      <c r="E3950" t="s">
        <v>94</v>
      </c>
      <c r="H3950" t="s">
        <v>588</v>
      </c>
      <c r="I3950">
        <v>1.07020680898884E-9</v>
      </c>
      <c r="J3950">
        <v>1.1051709180756477</v>
      </c>
      <c r="N3950" t="s">
        <v>1607</v>
      </c>
      <c r="O3950" t="s">
        <v>4612</v>
      </c>
      <c r="Q3950" t="s">
        <v>5032</v>
      </c>
    </row>
    <row r="3951" spans="2:17">
      <c r="B3951" t="s">
        <v>1606</v>
      </c>
      <c r="C3951" t="s">
        <v>787</v>
      </c>
      <c r="D3951">
        <v>1.01513091193024E-7</v>
      </c>
      <c r="E3951" t="s">
        <v>94</v>
      </c>
      <c r="H3951" t="s">
        <v>588</v>
      </c>
      <c r="I3951">
        <v>1.01513091193024E-7</v>
      </c>
      <c r="J3951">
        <v>1.1051709180756477</v>
      </c>
      <c r="N3951" t="s">
        <v>1607</v>
      </c>
      <c r="O3951" t="s">
        <v>4612</v>
      </c>
      <c r="Q3951" t="s">
        <v>5032</v>
      </c>
    </row>
    <row r="3952" spans="2:17">
      <c r="B3952" t="s">
        <v>1606</v>
      </c>
      <c r="C3952" t="s">
        <v>787</v>
      </c>
      <c r="D3952">
        <v>1.00621256472072E-9</v>
      </c>
      <c r="E3952" t="s">
        <v>94</v>
      </c>
      <c r="H3952" t="s">
        <v>588</v>
      </c>
      <c r="I3952">
        <v>1.00621256472072E-9</v>
      </c>
      <c r="J3952">
        <v>1.1051709180756477</v>
      </c>
      <c r="N3952" t="s">
        <v>1607</v>
      </c>
      <c r="O3952" t="s">
        <v>4612</v>
      </c>
      <c r="Q3952" t="s">
        <v>5032</v>
      </c>
    </row>
    <row r="3953" spans="2:17">
      <c r="B3953" t="s">
        <v>1606</v>
      </c>
      <c r="C3953" t="s">
        <v>787</v>
      </c>
      <c r="D3953">
        <v>2.3179402648647199E-10</v>
      </c>
      <c r="E3953" t="s">
        <v>94</v>
      </c>
      <c r="H3953" t="s">
        <v>588</v>
      </c>
      <c r="I3953">
        <v>2.3179402648647199E-10</v>
      </c>
      <c r="J3953">
        <v>1.1051709180756477</v>
      </c>
      <c r="N3953" t="s">
        <v>1607</v>
      </c>
      <c r="O3953" t="s">
        <v>4612</v>
      </c>
      <c r="Q3953" t="s">
        <v>5032</v>
      </c>
    </row>
    <row r="3954" spans="2:17">
      <c r="B3954" t="s">
        <v>1606</v>
      </c>
      <c r="C3954" t="s">
        <v>787</v>
      </c>
      <c r="D3954">
        <v>7.9701955295372803E-6</v>
      </c>
      <c r="E3954" t="s">
        <v>94</v>
      </c>
      <c r="H3954" t="s">
        <v>588</v>
      </c>
      <c r="I3954">
        <v>7.9701955295372803E-6</v>
      </c>
      <c r="J3954">
        <v>1.0247973619913604</v>
      </c>
      <c r="N3954" t="s">
        <v>1607</v>
      </c>
      <c r="O3954" t="s">
        <v>641</v>
      </c>
      <c r="Q3954" t="s">
        <v>1672</v>
      </c>
    </row>
    <row r="3955" spans="2:17">
      <c r="B3955" t="s">
        <v>1606</v>
      </c>
      <c r="C3955" t="s">
        <v>787</v>
      </c>
      <c r="D3955">
        <v>9.7875972125633791E-4</v>
      </c>
      <c r="E3955" t="s">
        <v>94</v>
      </c>
      <c r="H3955" t="s">
        <v>588</v>
      </c>
      <c r="I3955">
        <v>9.7875972125633791E-4</v>
      </c>
      <c r="J3955">
        <v>1.0247973619913604</v>
      </c>
      <c r="N3955" t="s">
        <v>1607</v>
      </c>
      <c r="O3955" t="s">
        <v>2220</v>
      </c>
      <c r="Q3955" t="s">
        <v>5036</v>
      </c>
    </row>
    <row r="3956" spans="2:17">
      <c r="B3956" t="s">
        <v>1606</v>
      </c>
      <c r="C3956" t="s">
        <v>787</v>
      </c>
      <c r="D3956">
        <v>8.10475940154407E-10</v>
      </c>
      <c r="E3956" t="s">
        <v>94</v>
      </c>
      <c r="H3956" t="s">
        <v>588</v>
      </c>
      <c r="I3956">
        <v>8.10475940154407E-10</v>
      </c>
      <c r="J3956">
        <v>1.1051709180756477</v>
      </c>
      <c r="N3956" t="s">
        <v>1607</v>
      </c>
      <c r="O3956" t="s">
        <v>4612</v>
      </c>
      <c r="Q3956" t="s">
        <v>5032</v>
      </c>
    </row>
    <row r="3957" spans="2:17">
      <c r="B3957" t="s">
        <v>1609</v>
      </c>
      <c r="C3957" t="s">
        <v>670</v>
      </c>
      <c r="D3957">
        <v>2.6144117519811102E-7</v>
      </c>
      <c r="E3957" t="s">
        <v>94</v>
      </c>
      <c r="H3957" t="s">
        <v>588</v>
      </c>
      <c r="I3957">
        <v>2.6144117519811102E-7</v>
      </c>
      <c r="J3957">
        <v>1.0247973619913604</v>
      </c>
      <c r="N3957" t="s">
        <v>1610</v>
      </c>
      <c r="O3957" t="s">
        <v>3767</v>
      </c>
      <c r="Q3957" t="s">
        <v>5037</v>
      </c>
    </row>
    <row r="3958" spans="2:17">
      <c r="B3958" t="s">
        <v>5038</v>
      </c>
      <c r="C3958" t="s">
        <v>787</v>
      </c>
      <c r="D3958">
        <v>3.2528943083867602E-4</v>
      </c>
      <c r="E3958" t="s">
        <v>94</v>
      </c>
      <c r="H3958" t="s">
        <v>588</v>
      </c>
      <c r="I3958">
        <v>3.2528943083867602E-4</v>
      </c>
      <c r="J3958">
        <v>1.0247973619913604</v>
      </c>
      <c r="N3958" t="s">
        <v>5039</v>
      </c>
      <c r="O3958" t="s">
        <v>2422</v>
      </c>
    </row>
    <row r="3959" spans="2:17">
      <c r="B3959" t="s">
        <v>5040</v>
      </c>
      <c r="C3959" t="s">
        <v>787</v>
      </c>
      <c r="D3959">
        <v>5.8476349155381197E-7</v>
      </c>
      <c r="E3959" t="s">
        <v>94</v>
      </c>
      <c r="H3959" t="s">
        <v>588</v>
      </c>
      <c r="I3959">
        <v>5.8476349155381197E-7</v>
      </c>
      <c r="J3959">
        <v>1</v>
      </c>
      <c r="N3959" t="s">
        <v>5041</v>
      </c>
      <c r="O3959" t="s">
        <v>1654</v>
      </c>
      <c r="Q3959" t="s">
        <v>5042</v>
      </c>
    </row>
    <row r="3960" spans="2:17">
      <c r="B3960" t="s">
        <v>5043</v>
      </c>
      <c r="C3960" t="s">
        <v>744</v>
      </c>
      <c r="D3960">
        <v>6.8830894079670302E-5</v>
      </c>
      <c r="E3960" t="s">
        <v>94</v>
      </c>
      <c r="H3960" t="s">
        <v>588</v>
      </c>
      <c r="I3960">
        <v>6.8830894079670302E-5</v>
      </c>
      <c r="J3960">
        <v>1.1051709180756477</v>
      </c>
      <c r="N3960" t="s">
        <v>5044</v>
      </c>
      <c r="O3960" t="s">
        <v>1700</v>
      </c>
      <c r="Q3960" t="s">
        <v>5042</v>
      </c>
    </row>
    <row r="3961" spans="2:17">
      <c r="B3961" t="s">
        <v>5045</v>
      </c>
      <c r="C3961" t="s">
        <v>1613</v>
      </c>
      <c r="D3961">
        <v>5.4106469196513099E-6</v>
      </c>
      <c r="E3961" t="s">
        <v>640</v>
      </c>
      <c r="H3961" t="s">
        <v>588</v>
      </c>
      <c r="I3961">
        <v>5.4106469196513099E-6</v>
      </c>
      <c r="J3961">
        <v>1.0247973619913604</v>
      </c>
      <c r="N3961" t="s">
        <v>5046</v>
      </c>
      <c r="O3961" t="s">
        <v>1719</v>
      </c>
      <c r="Q3961" t="s">
        <v>5047</v>
      </c>
    </row>
    <row r="3962" spans="2:17">
      <c r="B3962" t="s">
        <v>5048</v>
      </c>
      <c r="C3962" t="s">
        <v>1613</v>
      </c>
      <c r="D3962">
        <v>3.9716432352096799E-7</v>
      </c>
      <c r="E3962" t="s">
        <v>640</v>
      </c>
      <c r="H3962" t="s">
        <v>588</v>
      </c>
      <c r="I3962">
        <v>3.9716432352096799E-7</v>
      </c>
      <c r="J3962">
        <v>1</v>
      </c>
      <c r="N3962" t="s">
        <v>5049</v>
      </c>
      <c r="O3962" t="s">
        <v>1054</v>
      </c>
      <c r="Q3962" t="s">
        <v>979</v>
      </c>
    </row>
    <row r="3963" spans="2:17">
      <c r="B3963" t="s">
        <v>5048</v>
      </c>
      <c r="C3963" t="s">
        <v>1613</v>
      </c>
      <c r="D3963">
        <v>3.9747530232059502E-7</v>
      </c>
      <c r="E3963" t="s">
        <v>640</v>
      </c>
      <c r="H3963" t="s">
        <v>588</v>
      </c>
      <c r="I3963">
        <v>3.9747530232059502E-7</v>
      </c>
      <c r="J3963">
        <v>1</v>
      </c>
      <c r="N3963" t="s">
        <v>5049</v>
      </c>
      <c r="O3963" t="s">
        <v>921</v>
      </c>
      <c r="Q3963" t="s">
        <v>979</v>
      </c>
    </row>
    <row r="3964" spans="2:17">
      <c r="B3964" t="s">
        <v>5050</v>
      </c>
      <c r="C3964" t="s">
        <v>1613</v>
      </c>
      <c r="D3964">
        <v>6.1989428893707998E-6</v>
      </c>
      <c r="E3964" t="s">
        <v>640</v>
      </c>
      <c r="H3964" t="s">
        <v>588</v>
      </c>
      <c r="I3964">
        <v>6.1989428893707998E-6</v>
      </c>
      <c r="J3964">
        <v>1.1051709180756477</v>
      </c>
      <c r="N3964" t="s">
        <v>5051</v>
      </c>
      <c r="O3964" t="s">
        <v>2207</v>
      </c>
      <c r="Q3964" t="s">
        <v>2210</v>
      </c>
    </row>
    <row r="3965" spans="2:17">
      <c r="B3965" t="s">
        <v>5050</v>
      </c>
      <c r="C3965" t="s">
        <v>1613</v>
      </c>
      <c r="D3965">
        <v>6.19860063120184E-6</v>
      </c>
      <c r="E3965" t="s">
        <v>640</v>
      </c>
      <c r="H3965" t="s">
        <v>588</v>
      </c>
      <c r="I3965">
        <v>6.19860063120184E-6</v>
      </c>
      <c r="J3965">
        <v>2.2394398661220611</v>
      </c>
      <c r="N3965" t="s">
        <v>5051</v>
      </c>
      <c r="O3965" t="s">
        <v>1082</v>
      </c>
      <c r="Q3965" t="s">
        <v>5052</v>
      </c>
    </row>
    <row r="3966" spans="2:17">
      <c r="B3966" t="s">
        <v>5053</v>
      </c>
      <c r="C3966" t="s">
        <v>1613</v>
      </c>
      <c r="D3966">
        <v>5.8068779834145203E-5</v>
      </c>
      <c r="E3966" t="s">
        <v>640</v>
      </c>
      <c r="H3966" t="s">
        <v>588</v>
      </c>
      <c r="I3966">
        <v>5.8068779834145203E-5</v>
      </c>
      <c r="J3966">
        <v>1.1051709180756477</v>
      </c>
      <c r="N3966" t="s">
        <v>5054</v>
      </c>
      <c r="O3966" t="s">
        <v>2772</v>
      </c>
      <c r="Q3966" t="s">
        <v>979</v>
      </c>
    </row>
    <row r="3967" spans="2:17">
      <c r="B3967" t="s">
        <v>5055</v>
      </c>
      <c r="C3967" t="s">
        <v>1613</v>
      </c>
      <c r="D3967">
        <v>1.4461303302797001E-5</v>
      </c>
      <c r="E3967" t="s">
        <v>640</v>
      </c>
      <c r="H3967" t="s">
        <v>588</v>
      </c>
      <c r="I3967">
        <v>1.4461303302797001E-5</v>
      </c>
      <c r="J3967">
        <v>1.1712995782321958</v>
      </c>
      <c r="N3967" t="s">
        <v>5056</v>
      </c>
      <c r="O3967" t="s">
        <v>2314</v>
      </c>
    </row>
    <row r="3968" spans="2:17">
      <c r="B3968" t="s">
        <v>5057</v>
      </c>
      <c r="C3968" t="s">
        <v>1613</v>
      </c>
      <c r="D3968">
        <v>1.3351230133130999E-7</v>
      </c>
      <c r="E3968" t="s">
        <v>640</v>
      </c>
      <c r="H3968" t="s">
        <v>588</v>
      </c>
      <c r="I3968">
        <v>1.3351230133130999E-7</v>
      </c>
      <c r="J3968">
        <v>1</v>
      </c>
      <c r="N3968" t="s">
        <v>5058</v>
      </c>
      <c r="O3968" t="s">
        <v>1054</v>
      </c>
      <c r="Q3968" t="s">
        <v>2018</v>
      </c>
    </row>
    <row r="3969" spans="2:17">
      <c r="B3969" t="s">
        <v>5059</v>
      </c>
      <c r="C3969" t="s">
        <v>1613</v>
      </c>
      <c r="D3969">
        <v>2.5257915091271002E-7</v>
      </c>
      <c r="E3969" t="s">
        <v>640</v>
      </c>
      <c r="H3969" t="s">
        <v>588</v>
      </c>
      <c r="I3969">
        <v>2.5257915091271002E-7</v>
      </c>
      <c r="J3969">
        <v>1.1051709180756477</v>
      </c>
      <c r="N3969" t="s">
        <v>5060</v>
      </c>
      <c r="O3969" t="s">
        <v>1082</v>
      </c>
      <c r="Q3969" t="s">
        <v>5061</v>
      </c>
    </row>
    <row r="3970" spans="2:17">
      <c r="B3970" t="s">
        <v>5062</v>
      </c>
      <c r="C3970" t="s">
        <v>1613</v>
      </c>
      <c r="D3970">
        <v>9.8620744694887996E-11</v>
      </c>
      <c r="E3970" t="s">
        <v>640</v>
      </c>
      <c r="H3970" t="s">
        <v>588</v>
      </c>
      <c r="I3970">
        <v>9.8620744694887996E-11</v>
      </c>
      <c r="J3970">
        <v>1</v>
      </c>
      <c r="N3970" t="s">
        <v>5063</v>
      </c>
      <c r="O3970" t="s">
        <v>3595</v>
      </c>
      <c r="Q3970" t="s">
        <v>1958</v>
      </c>
    </row>
    <row r="3971" spans="2:17">
      <c r="B3971" t="s">
        <v>5064</v>
      </c>
      <c r="C3971" t="s">
        <v>1613</v>
      </c>
      <c r="D3971">
        <v>4.3265337959053798E-6</v>
      </c>
      <c r="E3971" t="s">
        <v>640</v>
      </c>
      <c r="H3971" t="s">
        <v>588</v>
      </c>
      <c r="I3971">
        <v>4.3265337959053798E-6</v>
      </c>
      <c r="J3971">
        <v>1.1712995782321958</v>
      </c>
      <c r="N3971" t="s">
        <v>5065</v>
      </c>
      <c r="O3971" t="s">
        <v>2387</v>
      </c>
    </row>
    <row r="3972" spans="2:17">
      <c r="B3972" t="s">
        <v>5066</v>
      </c>
      <c r="C3972" t="s">
        <v>1613</v>
      </c>
      <c r="D3972">
        <v>1.5016690278092499E-6</v>
      </c>
      <c r="E3972" t="s">
        <v>640</v>
      </c>
      <c r="H3972" t="s">
        <v>588</v>
      </c>
      <c r="I3972">
        <v>1.5016690278092499E-6</v>
      </c>
      <c r="J3972">
        <v>1.1712995782321958</v>
      </c>
      <c r="N3972" t="s">
        <v>5067</v>
      </c>
      <c r="O3972" t="s">
        <v>2387</v>
      </c>
    </row>
    <row r="3973" spans="2:17">
      <c r="B3973" t="s">
        <v>5068</v>
      </c>
      <c r="C3973" t="s">
        <v>1613</v>
      </c>
      <c r="D3973">
        <v>3.8820527749914701E-7</v>
      </c>
      <c r="E3973" t="s">
        <v>640</v>
      </c>
      <c r="H3973" t="s">
        <v>588</v>
      </c>
      <c r="I3973">
        <v>3.8820527749914701E-7</v>
      </c>
      <c r="J3973">
        <v>1.0247973619913604</v>
      </c>
      <c r="N3973" t="s">
        <v>5069</v>
      </c>
      <c r="O3973" t="s">
        <v>1632</v>
      </c>
      <c r="Q3973" t="s">
        <v>3068</v>
      </c>
    </row>
    <row r="3974" spans="2:17">
      <c r="B3974" t="s">
        <v>5070</v>
      </c>
      <c r="C3974" t="s">
        <v>1613</v>
      </c>
      <c r="D3974">
        <v>9.8391855719856804E-6</v>
      </c>
      <c r="E3974" t="s">
        <v>640</v>
      </c>
      <c r="H3974" t="s">
        <v>588</v>
      </c>
      <c r="I3974">
        <v>9.8391855719856804E-6</v>
      </c>
      <c r="J3974">
        <v>1.0247973619913604</v>
      </c>
      <c r="N3974" t="s">
        <v>5071</v>
      </c>
      <c r="O3974" t="s">
        <v>2272</v>
      </c>
      <c r="Q3974" t="s">
        <v>5072</v>
      </c>
    </row>
    <row r="3975" spans="2:17">
      <c r="B3975" t="s">
        <v>5073</v>
      </c>
      <c r="C3975" t="s">
        <v>1613</v>
      </c>
      <c r="D3975">
        <v>8.7181557648819195E-6</v>
      </c>
      <c r="E3975" t="s">
        <v>640</v>
      </c>
      <c r="H3975" t="s">
        <v>588</v>
      </c>
      <c r="I3975">
        <v>8.7181557648819195E-6</v>
      </c>
      <c r="J3975">
        <v>1.1712995782321958</v>
      </c>
      <c r="N3975" t="s">
        <v>5074</v>
      </c>
      <c r="O3975" t="s">
        <v>5075</v>
      </c>
    </row>
    <row r="3976" spans="2:17">
      <c r="B3976" t="s">
        <v>5076</v>
      </c>
      <c r="C3976" t="s">
        <v>1613</v>
      </c>
      <c r="D3976">
        <v>6.3563197252717196E-6</v>
      </c>
      <c r="E3976" t="s">
        <v>640</v>
      </c>
      <c r="H3976" t="s">
        <v>588</v>
      </c>
      <c r="I3976">
        <v>6.3563197252717196E-6</v>
      </c>
      <c r="J3976">
        <v>1.0247973619913604</v>
      </c>
      <c r="N3976" t="s">
        <v>5077</v>
      </c>
      <c r="O3976" t="s">
        <v>972</v>
      </c>
      <c r="Q3976" t="s">
        <v>5078</v>
      </c>
    </row>
    <row r="3977" spans="2:17">
      <c r="B3977" t="s">
        <v>5079</v>
      </c>
      <c r="C3977" t="s">
        <v>1613</v>
      </c>
      <c r="D3977">
        <v>2.2239051083331299E-6</v>
      </c>
      <c r="E3977" t="s">
        <v>640</v>
      </c>
      <c r="H3977" t="s">
        <v>588</v>
      </c>
      <c r="I3977">
        <v>2.2239051083331299E-6</v>
      </c>
      <c r="J3977">
        <v>1.1051709180756477</v>
      </c>
      <c r="N3977" t="s">
        <v>5080</v>
      </c>
      <c r="O3977" t="s">
        <v>841</v>
      </c>
      <c r="Q3977" t="s">
        <v>979</v>
      </c>
    </row>
    <row r="3978" spans="2:17">
      <c r="B3978" t="s">
        <v>5081</v>
      </c>
      <c r="C3978" t="s">
        <v>1613</v>
      </c>
      <c r="D3978">
        <v>2.3142516016778301E-4</v>
      </c>
      <c r="E3978" t="s">
        <v>640</v>
      </c>
      <c r="N3978" t="s">
        <v>5082</v>
      </c>
      <c r="Q3978" t="s">
        <v>5083</v>
      </c>
    </row>
    <row r="3979" spans="2:17">
      <c r="B3979" t="s">
        <v>1612</v>
      </c>
      <c r="C3979" t="s">
        <v>1613</v>
      </c>
      <c r="D3979">
        <v>2.5842344679581098E-5</v>
      </c>
      <c r="E3979" t="s">
        <v>640</v>
      </c>
      <c r="H3979" t="s">
        <v>588</v>
      </c>
      <c r="I3979">
        <v>2.5842344679581098E-5</v>
      </c>
      <c r="J3979">
        <v>1.0247973619913604</v>
      </c>
      <c r="N3979" t="s">
        <v>1614</v>
      </c>
      <c r="O3979" t="s">
        <v>641</v>
      </c>
      <c r="Q3979" t="s">
        <v>1672</v>
      </c>
    </row>
    <row r="3980" spans="2:17">
      <c r="B3980" t="s">
        <v>1612</v>
      </c>
      <c r="C3980" t="s">
        <v>1613</v>
      </c>
      <c r="D3980">
        <v>1.0508690155298599E-5</v>
      </c>
      <c r="E3980" t="s">
        <v>640</v>
      </c>
      <c r="H3980" t="s">
        <v>588</v>
      </c>
      <c r="I3980">
        <v>1.0508690155298599E-5</v>
      </c>
      <c r="J3980">
        <v>1.2505791921887124</v>
      </c>
      <c r="N3980" t="s">
        <v>5084</v>
      </c>
      <c r="O3980" t="s">
        <v>3149</v>
      </c>
      <c r="Q3980" t="s">
        <v>695</v>
      </c>
    </row>
    <row r="3981" spans="2:17">
      <c r="B3981" t="s">
        <v>1612</v>
      </c>
      <c r="C3981" t="s">
        <v>1613</v>
      </c>
      <c r="D3981">
        <v>5.0319174397193298E-5</v>
      </c>
      <c r="E3981" t="s">
        <v>640</v>
      </c>
      <c r="H3981" t="s">
        <v>588</v>
      </c>
      <c r="I3981">
        <v>5.0319174397193298E-5</v>
      </c>
      <c r="J3981">
        <v>1.0247973619913604</v>
      </c>
      <c r="N3981" t="s">
        <v>1614</v>
      </c>
      <c r="O3981" t="s">
        <v>641</v>
      </c>
      <c r="Q3981" t="s">
        <v>1672</v>
      </c>
    </row>
    <row r="3982" spans="2:17">
      <c r="B3982" t="s">
        <v>1612</v>
      </c>
      <c r="C3982" t="s">
        <v>1613</v>
      </c>
      <c r="D3982">
        <v>8.8074353475509204E-8</v>
      </c>
      <c r="E3982" t="s">
        <v>640</v>
      </c>
      <c r="H3982" t="s">
        <v>588</v>
      </c>
      <c r="I3982">
        <v>8.8074353475509204E-8</v>
      </c>
      <c r="J3982">
        <v>1.151909910168909</v>
      </c>
      <c r="N3982" t="s">
        <v>5085</v>
      </c>
      <c r="O3982" t="s">
        <v>2542</v>
      </c>
      <c r="Q3982" t="s">
        <v>5086</v>
      </c>
    </row>
    <row r="3983" spans="2:17">
      <c r="B3983" t="s">
        <v>1612</v>
      </c>
      <c r="C3983" t="s">
        <v>1613</v>
      </c>
      <c r="D3983">
        <v>2.9137934843762301E-3</v>
      </c>
      <c r="E3983" t="s">
        <v>640</v>
      </c>
      <c r="H3983" t="s">
        <v>588</v>
      </c>
      <c r="I3983">
        <v>2.9137934843762301E-3</v>
      </c>
      <c r="J3983">
        <v>1.0247973619913604</v>
      </c>
      <c r="N3983" t="s">
        <v>1614</v>
      </c>
      <c r="O3983" t="s">
        <v>1713</v>
      </c>
      <c r="Q3983" t="s">
        <v>5087</v>
      </c>
    </row>
    <row r="3984" spans="2:17">
      <c r="B3984" t="s">
        <v>1612</v>
      </c>
      <c r="C3984" t="s">
        <v>1613</v>
      </c>
      <c r="D3984">
        <v>1.0742708247898001E-6</v>
      </c>
      <c r="E3984" t="s">
        <v>640</v>
      </c>
      <c r="H3984" t="s">
        <v>588</v>
      </c>
      <c r="I3984">
        <v>1.0742708247898001E-6</v>
      </c>
      <c r="J3984">
        <v>1.0247973619913604</v>
      </c>
      <c r="N3984" t="s">
        <v>5088</v>
      </c>
      <c r="O3984" t="s">
        <v>1745</v>
      </c>
      <c r="Q3984" t="s">
        <v>5089</v>
      </c>
    </row>
    <row r="3985" spans="2:17">
      <c r="B3985" t="s">
        <v>5090</v>
      </c>
      <c r="C3985" t="s">
        <v>1613</v>
      </c>
      <c r="D3985">
        <v>1.5103678308237701E-5</v>
      </c>
      <c r="E3985" t="s">
        <v>640</v>
      </c>
      <c r="H3985" t="s">
        <v>588</v>
      </c>
      <c r="I3985">
        <v>1.5103678308237701E-5</v>
      </c>
      <c r="J3985">
        <v>1.2214027581601699</v>
      </c>
      <c r="N3985" t="s">
        <v>5091</v>
      </c>
      <c r="O3985" t="s">
        <v>2829</v>
      </c>
      <c r="Q3985" t="s">
        <v>2439</v>
      </c>
    </row>
    <row r="3986" spans="2:17">
      <c r="B3986" t="s">
        <v>5090</v>
      </c>
      <c r="C3986" t="s">
        <v>1613</v>
      </c>
      <c r="D3986">
        <v>2.2637378184044999E-6</v>
      </c>
      <c r="E3986" t="s">
        <v>640</v>
      </c>
      <c r="H3986" t="s">
        <v>588</v>
      </c>
      <c r="I3986">
        <v>2.2637378184044999E-6</v>
      </c>
      <c r="J3986">
        <v>1.2505791921887124</v>
      </c>
      <c r="N3986" t="s">
        <v>5091</v>
      </c>
      <c r="O3986" t="s">
        <v>3157</v>
      </c>
      <c r="Q3986" t="s">
        <v>5092</v>
      </c>
    </row>
    <row r="3987" spans="2:17">
      <c r="B3987" t="s">
        <v>5093</v>
      </c>
      <c r="C3987" t="s">
        <v>1613</v>
      </c>
      <c r="D3987">
        <v>1.5765374021781201E-3</v>
      </c>
      <c r="E3987" t="s">
        <v>640</v>
      </c>
      <c r="H3987" t="s">
        <v>588</v>
      </c>
      <c r="I3987">
        <v>1.5765374021781201E-3</v>
      </c>
      <c r="J3987">
        <v>1.151909910168909</v>
      </c>
      <c r="N3987" t="s">
        <v>5094</v>
      </c>
      <c r="O3987" t="s">
        <v>1967</v>
      </c>
      <c r="Q3987" t="s">
        <v>5095</v>
      </c>
    </row>
    <row r="3988" spans="2:17">
      <c r="B3988" t="s">
        <v>5093</v>
      </c>
      <c r="C3988" t="s">
        <v>1613</v>
      </c>
      <c r="D3988">
        <v>4.7407080634831499E-4</v>
      </c>
      <c r="E3988" t="s">
        <v>640</v>
      </c>
      <c r="H3988" t="s">
        <v>588</v>
      </c>
      <c r="I3988">
        <v>4.7407080634831499E-4</v>
      </c>
      <c r="J3988">
        <v>1.151909910168909</v>
      </c>
      <c r="N3988" t="s">
        <v>5094</v>
      </c>
      <c r="O3988" t="s">
        <v>1967</v>
      </c>
      <c r="Q3988" t="s">
        <v>5095</v>
      </c>
    </row>
    <row r="3989" spans="2:17">
      <c r="B3989" t="s">
        <v>251</v>
      </c>
      <c r="C3989" t="s">
        <v>654</v>
      </c>
      <c r="D3989">
        <v>1.6408648153671601E-2</v>
      </c>
      <c r="E3989" t="s">
        <v>640</v>
      </c>
      <c r="H3989" t="s">
        <v>588</v>
      </c>
      <c r="I3989">
        <v>1.6408648153671601E-2</v>
      </c>
      <c r="J3989">
        <v>1.2214027581601699</v>
      </c>
      <c r="O3989" t="s">
        <v>1028</v>
      </c>
      <c r="Q3989" t="s">
        <v>835</v>
      </c>
    </row>
    <row r="3990" spans="2:17">
      <c r="B3990" t="s">
        <v>251</v>
      </c>
      <c r="C3990" t="s">
        <v>887</v>
      </c>
      <c r="D3990">
        <v>1.79955818814427E-4</v>
      </c>
      <c r="E3990" t="s">
        <v>640</v>
      </c>
      <c r="H3990" t="s">
        <v>588</v>
      </c>
      <c r="I3990">
        <v>1.79955818814427E-4</v>
      </c>
      <c r="J3990">
        <v>2.2695029846362664</v>
      </c>
      <c r="O3990" t="s">
        <v>1157</v>
      </c>
      <c r="Q3990" t="s">
        <v>5096</v>
      </c>
    </row>
    <row r="3991" spans="2:17">
      <c r="B3991" t="s">
        <v>251</v>
      </c>
      <c r="C3991" t="s">
        <v>658</v>
      </c>
      <c r="D3991">
        <v>1.04008625306034E-2</v>
      </c>
      <c r="E3991" t="s">
        <v>640</v>
      </c>
      <c r="H3991" t="s">
        <v>588</v>
      </c>
      <c r="I3991">
        <v>1.04008625306034E-2</v>
      </c>
      <c r="J3991">
        <v>1.0247973619913604</v>
      </c>
      <c r="O3991" t="s">
        <v>2217</v>
      </c>
      <c r="Q3991" t="s">
        <v>5097</v>
      </c>
    </row>
    <row r="3992" spans="2:17">
      <c r="B3992" t="s">
        <v>5098</v>
      </c>
      <c r="C3992" t="s">
        <v>691</v>
      </c>
      <c r="D3992">
        <v>4.4481261555240096E-3</v>
      </c>
      <c r="E3992" t="s">
        <v>94</v>
      </c>
      <c r="N3992" t="s">
        <v>5099</v>
      </c>
      <c r="Q3992" t="s">
        <v>3771</v>
      </c>
    </row>
    <row r="3993" spans="2:17">
      <c r="B3993" t="s">
        <v>5100</v>
      </c>
      <c r="C3993" t="s">
        <v>691</v>
      </c>
      <c r="D3993">
        <v>3.9751685601495397E-2</v>
      </c>
      <c r="E3993" t="s">
        <v>94</v>
      </c>
      <c r="H3993" t="s">
        <v>588</v>
      </c>
      <c r="I3993">
        <v>3.9751685601495397E-2</v>
      </c>
      <c r="J3993">
        <v>1</v>
      </c>
      <c r="N3993" t="s">
        <v>5101</v>
      </c>
      <c r="O3993" t="s">
        <v>2207</v>
      </c>
      <c r="Q3993" t="s">
        <v>5102</v>
      </c>
    </row>
    <row r="3994" spans="2:17">
      <c r="B3994" t="s">
        <v>5103</v>
      </c>
      <c r="C3994" t="s">
        <v>661</v>
      </c>
      <c r="D3994">
        <v>3.7079437856585198E-2</v>
      </c>
      <c r="E3994" t="s">
        <v>640</v>
      </c>
      <c r="H3994" t="s">
        <v>588</v>
      </c>
      <c r="I3994">
        <v>3.7079437856585198E-2</v>
      </c>
      <c r="J3994">
        <v>1.2214027581601699</v>
      </c>
      <c r="O3994" t="s">
        <v>641</v>
      </c>
      <c r="Q3994" t="s">
        <v>1643</v>
      </c>
    </row>
    <row r="3995" spans="2:17">
      <c r="B3995" t="s">
        <v>5103</v>
      </c>
      <c r="C3995" t="s">
        <v>712</v>
      </c>
      <c r="D3995">
        <v>0.167984277213308</v>
      </c>
      <c r="E3995" t="s">
        <v>640</v>
      </c>
      <c r="H3995" t="s">
        <v>588</v>
      </c>
      <c r="I3995">
        <v>0.167984277213308</v>
      </c>
      <c r="J3995">
        <v>1.0247973619913604</v>
      </c>
      <c r="O3995" t="s">
        <v>1002</v>
      </c>
      <c r="Q3995" t="s">
        <v>1618</v>
      </c>
    </row>
    <row r="3996" spans="2:17">
      <c r="B3996" t="s">
        <v>5103</v>
      </c>
      <c r="C3996" t="s">
        <v>881</v>
      </c>
      <c r="D3996">
        <v>2.7562700605960098E-4</v>
      </c>
      <c r="E3996" t="s">
        <v>640</v>
      </c>
      <c r="H3996" t="s">
        <v>588</v>
      </c>
      <c r="I3996">
        <v>2.7562700605960098E-4</v>
      </c>
      <c r="J3996">
        <v>1.4049000000004648</v>
      </c>
      <c r="O3996" t="s">
        <v>1435</v>
      </c>
      <c r="Q3996" t="s">
        <v>5104</v>
      </c>
    </row>
    <row r="3997" spans="2:17">
      <c r="B3997" t="s">
        <v>5103</v>
      </c>
      <c r="C3997" t="s">
        <v>883</v>
      </c>
      <c r="D3997">
        <v>1.29491188634568E-2</v>
      </c>
      <c r="E3997" t="s">
        <v>640</v>
      </c>
      <c r="H3997" t="s">
        <v>588</v>
      </c>
      <c r="I3997">
        <v>1.29491188634568E-2</v>
      </c>
      <c r="J3997">
        <v>1.0247973619913604</v>
      </c>
      <c r="O3997" t="s">
        <v>4446</v>
      </c>
      <c r="Q3997" t="s">
        <v>5105</v>
      </c>
    </row>
    <row r="3998" spans="2:17">
      <c r="B3998" t="s">
        <v>5106</v>
      </c>
      <c r="C3998" t="s">
        <v>787</v>
      </c>
      <c r="D3998">
        <v>2.5371040590775299E-3</v>
      </c>
      <c r="E3998" t="s">
        <v>94</v>
      </c>
      <c r="H3998" t="s">
        <v>588</v>
      </c>
      <c r="I3998">
        <v>2.5371040590775299E-3</v>
      </c>
      <c r="J3998">
        <v>1.0247973619913604</v>
      </c>
      <c r="N3998" t="s">
        <v>5107</v>
      </c>
      <c r="O3998" t="s">
        <v>2004</v>
      </c>
      <c r="Q3998" t="s">
        <v>5108</v>
      </c>
    </row>
    <row r="3999" spans="2:17">
      <c r="B3999" t="s">
        <v>5106</v>
      </c>
      <c r="C3999" t="s">
        <v>787</v>
      </c>
      <c r="D3999">
        <v>3.2116437426849701E-3</v>
      </c>
      <c r="E3999" t="s">
        <v>94</v>
      </c>
      <c r="H3999" t="s">
        <v>588</v>
      </c>
      <c r="I3999">
        <v>3.2116437426849701E-3</v>
      </c>
      <c r="J3999">
        <v>1.1712995782321958</v>
      </c>
      <c r="N3999" t="s">
        <v>5107</v>
      </c>
      <c r="O3999" t="s">
        <v>2387</v>
      </c>
      <c r="Q3999" t="s">
        <v>5109</v>
      </c>
    </row>
    <row r="4000" spans="2:17">
      <c r="B4000" t="s">
        <v>5106</v>
      </c>
      <c r="C4000" t="s">
        <v>787</v>
      </c>
      <c r="D4000">
        <v>4.6204123130841199E-4</v>
      </c>
      <c r="E4000" t="s">
        <v>94</v>
      </c>
      <c r="H4000" t="s">
        <v>588</v>
      </c>
      <c r="I4000">
        <v>4.6204123130841199E-4</v>
      </c>
      <c r="J4000">
        <v>1.0247973619913604</v>
      </c>
      <c r="N4000" t="s">
        <v>5107</v>
      </c>
      <c r="O4000" t="s">
        <v>2004</v>
      </c>
      <c r="Q4000" t="s">
        <v>5108</v>
      </c>
    </row>
    <row r="4001" spans="2:17">
      <c r="B4001" t="s">
        <v>5110</v>
      </c>
      <c r="C4001" t="s">
        <v>658</v>
      </c>
      <c r="D4001">
        <v>7.3757098046740603E-3</v>
      </c>
      <c r="E4001" t="s">
        <v>890</v>
      </c>
      <c r="H4001" t="s">
        <v>588</v>
      </c>
      <c r="I4001">
        <v>7.3757098046740603E-3</v>
      </c>
      <c r="J4001">
        <v>1.2214027581601699</v>
      </c>
      <c r="O4001" t="s">
        <v>956</v>
      </c>
      <c r="Q4001" t="s">
        <v>4400</v>
      </c>
    </row>
    <row r="4002" spans="2:17">
      <c r="B4002" t="s">
        <v>5111</v>
      </c>
      <c r="C4002" t="s">
        <v>658</v>
      </c>
      <c r="D4002">
        <v>0.52212957390505998</v>
      </c>
      <c r="E4002" t="s">
        <v>890</v>
      </c>
      <c r="H4002" t="s">
        <v>588</v>
      </c>
      <c r="I4002">
        <v>0.52212957390505998</v>
      </c>
      <c r="J4002">
        <v>1.7293101253499219</v>
      </c>
      <c r="O4002" t="s">
        <v>851</v>
      </c>
      <c r="Q4002" t="s">
        <v>4395</v>
      </c>
    </row>
    <row r="4003" spans="2:17">
      <c r="B4003" t="s">
        <v>5112</v>
      </c>
      <c r="C4003" t="s">
        <v>658</v>
      </c>
      <c r="D4003">
        <v>2.7361993266392202E-4</v>
      </c>
      <c r="E4003" t="s">
        <v>890</v>
      </c>
      <c r="H4003" t="s">
        <v>588</v>
      </c>
      <c r="I4003">
        <v>2.7361993266392202E-4</v>
      </c>
      <c r="J4003">
        <v>1.2214027581601699</v>
      </c>
      <c r="O4003" t="s">
        <v>956</v>
      </c>
      <c r="Q4003" t="s">
        <v>4400</v>
      </c>
    </row>
    <row r="4004" spans="2:17">
      <c r="B4004" t="s">
        <v>5113</v>
      </c>
      <c r="C4004" t="s">
        <v>658</v>
      </c>
      <c r="D4004">
        <v>0.17830864715799399</v>
      </c>
      <c r="E4004" t="s">
        <v>890</v>
      </c>
      <c r="H4004" t="s">
        <v>588</v>
      </c>
      <c r="I4004">
        <v>0.17830864715799399</v>
      </c>
      <c r="J4004">
        <v>1.7293101253499219</v>
      </c>
      <c r="O4004" t="s">
        <v>851</v>
      </c>
      <c r="Q4004" t="s">
        <v>4395</v>
      </c>
    </row>
    <row r="4005" spans="2:17">
      <c r="B4005" t="s">
        <v>5114</v>
      </c>
      <c r="C4005" t="s">
        <v>658</v>
      </c>
      <c r="D4005">
        <v>6.8789468058937001E-2</v>
      </c>
      <c r="E4005" t="s">
        <v>890</v>
      </c>
      <c r="H4005" t="s">
        <v>588</v>
      </c>
      <c r="I4005">
        <v>6.8789468058937001E-2</v>
      </c>
      <c r="J4005">
        <v>1.2214027581601699</v>
      </c>
      <c r="O4005" t="s">
        <v>956</v>
      </c>
      <c r="Q4005" t="s">
        <v>4400</v>
      </c>
    </row>
    <row r="4006" spans="2:17">
      <c r="B4006" t="s">
        <v>5115</v>
      </c>
      <c r="C4006" t="s">
        <v>658</v>
      </c>
      <c r="D4006">
        <v>2.1487845974080301E-3</v>
      </c>
      <c r="E4006" t="s">
        <v>890</v>
      </c>
      <c r="H4006" t="s">
        <v>588</v>
      </c>
      <c r="I4006">
        <v>2.1487845974080301E-3</v>
      </c>
      <c r="J4006">
        <v>1.2214027581601699</v>
      </c>
      <c r="O4006" t="s">
        <v>956</v>
      </c>
      <c r="Q4006" t="s">
        <v>4400</v>
      </c>
    </row>
    <row r="4007" spans="2:17">
      <c r="B4007" t="s">
        <v>5116</v>
      </c>
      <c r="C4007" t="s">
        <v>658</v>
      </c>
      <c r="D4007">
        <v>1.6077706101591101E-2</v>
      </c>
      <c r="E4007" t="s">
        <v>890</v>
      </c>
      <c r="H4007" t="s">
        <v>588</v>
      </c>
      <c r="I4007">
        <v>1.6077706101591101E-2</v>
      </c>
      <c r="J4007">
        <v>1.2214027581601699</v>
      </c>
      <c r="O4007" t="s">
        <v>956</v>
      </c>
      <c r="Q4007" t="s">
        <v>4400</v>
      </c>
    </row>
    <row r="4008" spans="2:17">
      <c r="B4008" t="s">
        <v>790</v>
      </c>
      <c r="C4008" t="s">
        <v>887</v>
      </c>
      <c r="D4008">
        <v>6.8164245152397003E-7</v>
      </c>
      <c r="E4008" t="s">
        <v>94</v>
      </c>
      <c r="H4008" t="s">
        <v>588</v>
      </c>
      <c r="I4008">
        <v>6.8164245152397003E-7</v>
      </c>
      <c r="J4008">
        <v>1.0247973619913604</v>
      </c>
      <c r="O4008" t="s">
        <v>5117</v>
      </c>
      <c r="Q4008" t="s">
        <v>5118</v>
      </c>
    </row>
    <row r="4009" spans="2:17">
      <c r="B4009" t="s">
        <v>790</v>
      </c>
      <c r="C4009" t="s">
        <v>654</v>
      </c>
      <c r="D4009">
        <v>9.2081035482683906E-8</v>
      </c>
      <c r="E4009" t="s">
        <v>94</v>
      </c>
      <c r="H4009" t="s">
        <v>588</v>
      </c>
      <c r="I4009">
        <v>9.2081035482683906E-8</v>
      </c>
      <c r="J4009">
        <v>1.2214027581601699</v>
      </c>
      <c r="O4009" t="s">
        <v>2192</v>
      </c>
      <c r="Q4009" t="s">
        <v>4375</v>
      </c>
    </row>
    <row r="4010" spans="2:17">
      <c r="B4010" t="s">
        <v>790</v>
      </c>
      <c r="C4010" t="s">
        <v>883</v>
      </c>
      <c r="D4010">
        <v>2.1519076368654199E-8</v>
      </c>
      <c r="E4010" t="s">
        <v>94</v>
      </c>
      <c r="H4010" t="s">
        <v>588</v>
      </c>
      <c r="I4010">
        <v>2.1519076368654199E-8</v>
      </c>
      <c r="J4010">
        <v>1.7293101253499219</v>
      </c>
      <c r="O4010" t="s">
        <v>1082</v>
      </c>
      <c r="Q4010" t="s">
        <v>4466</v>
      </c>
    </row>
    <row r="4011" spans="2:17">
      <c r="B4011" t="s">
        <v>791</v>
      </c>
      <c r="C4011" t="s">
        <v>654</v>
      </c>
      <c r="D4011">
        <v>2.69504209665569E-7</v>
      </c>
      <c r="E4011" t="s">
        <v>94</v>
      </c>
      <c r="H4011" t="s">
        <v>588</v>
      </c>
      <c r="I4011">
        <v>2.69504209665569E-7</v>
      </c>
      <c r="J4011">
        <v>2.2394398661220611</v>
      </c>
      <c r="O4011" t="s">
        <v>641</v>
      </c>
      <c r="Q4011" t="s">
        <v>1643</v>
      </c>
    </row>
    <row r="4012" spans="2:17">
      <c r="B4012" t="s">
        <v>791</v>
      </c>
      <c r="C4012" t="s">
        <v>658</v>
      </c>
      <c r="D4012">
        <v>6.7672379212093998E-9</v>
      </c>
      <c r="E4012" t="s">
        <v>94</v>
      </c>
      <c r="H4012" t="s">
        <v>588</v>
      </c>
      <c r="I4012">
        <v>6.7672379212093998E-9</v>
      </c>
      <c r="J4012">
        <v>2.2394398661220611</v>
      </c>
      <c r="O4012" t="s">
        <v>1157</v>
      </c>
      <c r="Q4012" t="s">
        <v>1166</v>
      </c>
    </row>
    <row r="4013" spans="2:17">
      <c r="B4013" t="s">
        <v>791</v>
      </c>
      <c r="C4013" t="s">
        <v>887</v>
      </c>
      <c r="D4013">
        <v>4.0409145189739897E-6</v>
      </c>
      <c r="E4013" t="s">
        <v>94</v>
      </c>
      <c r="H4013" t="s">
        <v>588</v>
      </c>
      <c r="I4013">
        <v>4.0409145189739897E-6</v>
      </c>
      <c r="J4013">
        <v>2.260000306637675</v>
      </c>
      <c r="O4013" t="s">
        <v>1157</v>
      </c>
      <c r="Q4013" t="s">
        <v>4380</v>
      </c>
    </row>
    <row r="4014" spans="2:17">
      <c r="B4014" t="s">
        <v>791</v>
      </c>
      <c r="C4014" t="s">
        <v>4401</v>
      </c>
      <c r="D4014">
        <v>1.02250105023416E-10</v>
      </c>
      <c r="E4014" t="s">
        <v>94</v>
      </c>
      <c r="H4014" t="s">
        <v>588</v>
      </c>
      <c r="I4014">
        <v>1.02250105023416E-10</v>
      </c>
      <c r="J4014">
        <v>1.2214027581601699</v>
      </c>
      <c r="O4014" t="s">
        <v>4374</v>
      </c>
      <c r="Q4014" t="s">
        <v>5119</v>
      </c>
    </row>
    <row r="4015" spans="2:17">
      <c r="B4015" t="s">
        <v>791</v>
      </c>
      <c r="C4015" t="s">
        <v>4413</v>
      </c>
      <c r="D4015">
        <v>1.39916459825333E-6</v>
      </c>
      <c r="E4015" t="s">
        <v>94</v>
      </c>
      <c r="Q4015" t="s">
        <v>5120</v>
      </c>
    </row>
    <row r="4016" spans="2:17">
      <c r="B4016" t="s">
        <v>791</v>
      </c>
      <c r="C4016" t="s">
        <v>4389</v>
      </c>
      <c r="D4016">
        <v>1.4061541175150401E-8</v>
      </c>
      <c r="E4016" t="s">
        <v>94</v>
      </c>
      <c r="H4016" t="s">
        <v>588</v>
      </c>
      <c r="I4016">
        <v>1.4061541175150401E-8</v>
      </c>
      <c r="J4016">
        <v>1.2214027581601699</v>
      </c>
      <c r="O4016" t="s">
        <v>641</v>
      </c>
      <c r="Q4016" t="s">
        <v>1643</v>
      </c>
    </row>
    <row r="4017" spans="1:17">
      <c r="B4017" t="s">
        <v>5121</v>
      </c>
      <c r="C4017" t="s">
        <v>744</v>
      </c>
      <c r="D4017">
        <v>1.79492930471776E-4</v>
      </c>
      <c r="E4017" t="s">
        <v>94</v>
      </c>
      <c r="H4017" t="s">
        <v>588</v>
      </c>
      <c r="I4017">
        <v>1.79492930471776E-4</v>
      </c>
      <c r="J4017">
        <v>1.0247973619913604</v>
      </c>
      <c r="N4017" t="s">
        <v>5122</v>
      </c>
      <c r="O4017" t="s">
        <v>641</v>
      </c>
      <c r="Q4017" t="s">
        <v>1643</v>
      </c>
    </row>
    <row r="4018" spans="1:17">
      <c r="B4018" t="s">
        <v>792</v>
      </c>
      <c r="C4018" t="s">
        <v>712</v>
      </c>
      <c r="D4018">
        <v>2.11374506916748E-7</v>
      </c>
      <c r="E4018" t="s">
        <v>94</v>
      </c>
      <c r="H4018" t="s">
        <v>588</v>
      </c>
      <c r="I4018">
        <v>2.11374506916748E-7</v>
      </c>
      <c r="J4018">
        <v>3.0725173706556164</v>
      </c>
      <c r="O4018" t="s">
        <v>798</v>
      </c>
      <c r="Q4018" t="s">
        <v>2961</v>
      </c>
    </row>
    <row r="4019" spans="1:17">
      <c r="B4019" t="s">
        <v>792</v>
      </c>
      <c r="C4019" t="s">
        <v>881</v>
      </c>
      <c r="D4019">
        <v>3.83456679326805E-7</v>
      </c>
      <c r="E4019" t="s">
        <v>94</v>
      </c>
      <c r="H4019" t="s">
        <v>588</v>
      </c>
      <c r="I4019">
        <v>3.83456679326805E-7</v>
      </c>
      <c r="J4019">
        <v>1.804199999999498</v>
      </c>
      <c r="O4019" t="s">
        <v>2024</v>
      </c>
      <c r="Q4019" t="s">
        <v>4451</v>
      </c>
    </row>
    <row r="4020" spans="1:17">
      <c r="B4020" t="s">
        <v>792</v>
      </c>
      <c r="C4020" t="s">
        <v>883</v>
      </c>
      <c r="D4020">
        <v>4.2082305380387798E-7</v>
      </c>
      <c r="E4020" t="s">
        <v>94</v>
      </c>
      <c r="H4020" t="s">
        <v>588</v>
      </c>
      <c r="I4020">
        <v>4.2082305380387798E-7</v>
      </c>
      <c r="J4020">
        <v>2.2394398661220611</v>
      </c>
      <c r="O4020" t="s">
        <v>641</v>
      </c>
      <c r="Q4020" t="s">
        <v>1643</v>
      </c>
    </row>
    <row r="4021" spans="1:17">
      <c r="B4021" t="s">
        <v>792</v>
      </c>
      <c r="C4021" t="s">
        <v>661</v>
      </c>
      <c r="D4021">
        <v>1.62361290742209E-6</v>
      </c>
      <c r="E4021" t="s">
        <v>94</v>
      </c>
      <c r="H4021" t="s">
        <v>588</v>
      </c>
      <c r="I4021">
        <v>1.62361290742209E-6</v>
      </c>
      <c r="J4021">
        <v>2.2394398661220611</v>
      </c>
      <c r="O4021" t="s">
        <v>641</v>
      </c>
      <c r="Q4021" t="s">
        <v>1643</v>
      </c>
    </row>
    <row r="4022" spans="1:17">
      <c r="B4022" t="s">
        <v>5123</v>
      </c>
      <c r="C4022" t="s">
        <v>658</v>
      </c>
      <c r="D4022">
        <v>1.72470605258881E-8</v>
      </c>
      <c r="E4022" t="s">
        <v>890</v>
      </c>
      <c r="H4022" t="s">
        <v>588</v>
      </c>
      <c r="I4022">
        <v>1.72470605258881E-8</v>
      </c>
      <c r="J4022">
        <v>1.2214027581601699</v>
      </c>
      <c r="O4022" t="s">
        <v>956</v>
      </c>
      <c r="Q4022" t="s">
        <v>4400</v>
      </c>
    </row>
    <row r="4023" spans="1:17">
      <c r="B4023" t="s">
        <v>5123</v>
      </c>
      <c r="C4023" t="s">
        <v>661</v>
      </c>
      <c r="D4023">
        <v>4.4727617724014197E-4</v>
      </c>
      <c r="E4023" t="s">
        <v>890</v>
      </c>
      <c r="H4023" t="s">
        <v>588</v>
      </c>
      <c r="I4023">
        <v>4.4727617724014197E-4</v>
      </c>
      <c r="J4023">
        <v>1.0247973619913604</v>
      </c>
      <c r="O4023" t="s">
        <v>1779</v>
      </c>
      <c r="Q4023" t="s">
        <v>1780</v>
      </c>
    </row>
    <row r="4024" spans="1:17">
      <c r="B4024" t="s">
        <v>5124</v>
      </c>
      <c r="C4024" t="s">
        <v>658</v>
      </c>
      <c r="D4024">
        <v>4.0974263517371603E-8</v>
      </c>
      <c r="E4024" t="s">
        <v>890</v>
      </c>
      <c r="H4024" t="s">
        <v>588</v>
      </c>
      <c r="I4024">
        <v>4.0974263517371603E-8</v>
      </c>
      <c r="J4024">
        <v>1.7293101253499219</v>
      </c>
      <c r="O4024" t="s">
        <v>851</v>
      </c>
      <c r="Q4024" t="s">
        <v>4395</v>
      </c>
    </row>
    <row r="4025" spans="1:17">
      <c r="B4025" t="s">
        <v>5124</v>
      </c>
      <c r="C4025" t="s">
        <v>661</v>
      </c>
      <c r="D4025">
        <v>2.5759832976562699E-3</v>
      </c>
      <c r="E4025" t="s">
        <v>890</v>
      </c>
      <c r="H4025" t="s">
        <v>588</v>
      </c>
      <c r="I4025">
        <v>2.5759832976562699E-3</v>
      </c>
      <c r="J4025">
        <v>1.7293101253499219</v>
      </c>
      <c r="O4025" t="s">
        <v>1779</v>
      </c>
      <c r="Q4025" t="s">
        <v>1780</v>
      </c>
    </row>
    <row r="4027" spans="1:17" ht="21">
      <c r="A4027" s="426" t="s">
        <v>5125</v>
      </c>
    </row>
    <row r="4029" spans="1:17">
      <c r="A4029" s="421" t="s">
        <v>564</v>
      </c>
    </row>
    <row r="4030" spans="1:17">
      <c r="A4030" s="423" t="s">
        <v>565</v>
      </c>
      <c r="B4030" t="s">
        <v>5126</v>
      </c>
    </row>
    <row r="4031" spans="1:17">
      <c r="A4031" s="423" t="s">
        <v>567</v>
      </c>
      <c r="B4031" t="s">
        <v>1111</v>
      </c>
    </row>
    <row r="4032" spans="1:17">
      <c r="A4032" s="423" t="s">
        <v>568</v>
      </c>
      <c r="B4032" t="s">
        <v>667</v>
      </c>
    </row>
    <row r="4033" spans="1:17">
      <c r="A4033" s="423" t="s">
        <v>585</v>
      </c>
      <c r="B4033" t="s">
        <v>5127</v>
      </c>
    </row>
    <row r="4035" spans="1:17">
      <c r="A4035" s="423" t="s">
        <v>665</v>
      </c>
    </row>
    <row r="4036" spans="1:17">
      <c r="A4036" s="421" t="s">
        <v>570</v>
      </c>
      <c r="B4036" s="421" t="s">
        <v>571</v>
      </c>
      <c r="C4036" s="421" t="s">
        <v>568</v>
      </c>
      <c r="D4036" s="421" t="s">
        <v>572</v>
      </c>
      <c r="E4036" s="421" t="s">
        <v>573</v>
      </c>
      <c r="F4036" s="421" t="s">
        <v>574</v>
      </c>
      <c r="G4036" s="421" t="s">
        <v>575</v>
      </c>
      <c r="H4036" s="421" t="s">
        <v>576</v>
      </c>
      <c r="I4036" s="421" t="s">
        <v>577</v>
      </c>
      <c r="J4036" s="421" t="s">
        <v>578</v>
      </c>
      <c r="K4036" s="421" t="s">
        <v>579</v>
      </c>
      <c r="L4036" s="421" t="s">
        <v>580</v>
      </c>
      <c r="M4036" s="421" t="s">
        <v>581</v>
      </c>
      <c r="N4036" s="421" t="s">
        <v>582</v>
      </c>
      <c r="O4036" s="421" t="s">
        <v>583</v>
      </c>
      <c r="P4036" s="421" t="s">
        <v>584</v>
      </c>
      <c r="Q4036" s="421" t="s">
        <v>585</v>
      </c>
    </row>
    <row r="4037" spans="1:17">
      <c r="B4037" t="s">
        <v>1155</v>
      </c>
      <c r="C4037" t="s">
        <v>667</v>
      </c>
      <c r="D4037">
        <v>0.77699521045674003</v>
      </c>
      <c r="E4037" t="s">
        <v>94</v>
      </c>
      <c r="N4037" t="s">
        <v>1156</v>
      </c>
    </row>
    <row r="4038" spans="1:17">
      <c r="B4038" t="s">
        <v>1155</v>
      </c>
      <c r="C4038" t="s">
        <v>667</v>
      </c>
      <c r="D4038">
        <v>0.14108391489211899</v>
      </c>
      <c r="E4038" t="s">
        <v>94</v>
      </c>
      <c r="N4038" t="s">
        <v>1156</v>
      </c>
    </row>
    <row r="4039" spans="1:17">
      <c r="B4039" t="s">
        <v>1155</v>
      </c>
      <c r="C4039" t="s">
        <v>667</v>
      </c>
      <c r="D4039">
        <v>8.1920874651141604E-2</v>
      </c>
      <c r="E4039" t="s">
        <v>94</v>
      </c>
      <c r="N4039" t="s">
        <v>1156</v>
      </c>
    </row>
    <row r="4041" spans="1:17">
      <c r="A4041" t="s">
        <v>710</v>
      </c>
    </row>
    <row r="4042" spans="1:17">
      <c r="A4042" s="421" t="s">
        <v>570</v>
      </c>
      <c r="B4042" s="421" t="s">
        <v>571</v>
      </c>
      <c r="C4042" s="421" t="s">
        <v>568</v>
      </c>
      <c r="D4042" s="421" t="s">
        <v>572</v>
      </c>
      <c r="E4042" s="421" t="s">
        <v>573</v>
      </c>
      <c r="F4042" s="421" t="s">
        <v>574</v>
      </c>
      <c r="G4042" s="421" t="s">
        <v>575</v>
      </c>
      <c r="H4042" s="421" t="s">
        <v>576</v>
      </c>
      <c r="I4042" s="421" t="s">
        <v>577</v>
      </c>
      <c r="J4042" s="421" t="s">
        <v>578</v>
      </c>
      <c r="K4042" s="421" t="s">
        <v>579</v>
      </c>
      <c r="L4042" s="421" t="s">
        <v>580</v>
      </c>
      <c r="M4042" s="421" t="s">
        <v>581</v>
      </c>
      <c r="N4042" s="421" t="s">
        <v>582</v>
      </c>
      <c r="O4042" s="421" t="s">
        <v>583</v>
      </c>
      <c r="P4042" s="421" t="s">
        <v>584</v>
      </c>
      <c r="Q4042" s="421" t="s">
        <v>585</v>
      </c>
    </row>
    <row r="4043" spans="1:17">
      <c r="A4043" s="421" t="s">
        <v>645</v>
      </c>
      <c r="B4043" s="421" t="s">
        <v>1109</v>
      </c>
      <c r="C4043" s="421" t="s">
        <v>667</v>
      </c>
      <c r="D4043" s="421">
        <v>1</v>
      </c>
      <c r="E4043" s="421" t="s">
        <v>94</v>
      </c>
      <c r="F4043" s="421">
        <v>1.3</v>
      </c>
      <c r="G4043" s="421" t="s">
        <v>647</v>
      </c>
      <c r="M4043" s="421"/>
      <c r="O4043" s="421"/>
      <c r="P4043" s="421"/>
      <c r="Q4043" s="421"/>
    </row>
  </sheetData>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958A7-E554-4908-AFA3-4541324565B9}">
  <sheetPr>
    <tabColor rgb="FF0070C0"/>
  </sheetPr>
  <dimension ref="A1:Q4044"/>
  <sheetViews>
    <sheetView workbookViewId="0">
      <selection activeCell="H3" sqref="H3"/>
    </sheetView>
  </sheetViews>
  <sheetFormatPr defaultRowHeight="14.4"/>
  <cols>
    <col min="1" max="1" width="9.77734375" customWidth="1"/>
    <col min="2" max="2" width="22.6640625" customWidth="1"/>
  </cols>
  <sheetData>
    <row r="1" spans="1:17">
      <c r="A1" s="421" t="s">
        <v>564</v>
      </c>
    </row>
    <row r="2" spans="1:17">
      <c r="A2" s="423" t="s">
        <v>565</v>
      </c>
      <c r="B2" t="s">
        <v>5128</v>
      </c>
    </row>
    <row r="3" spans="1:17">
      <c r="A3" s="423" t="s">
        <v>567</v>
      </c>
      <c r="B3" t="s">
        <v>1160</v>
      </c>
    </row>
    <row r="4" spans="1:17">
      <c r="A4" s="423" t="s">
        <v>568</v>
      </c>
      <c r="B4" t="s">
        <v>667</v>
      </c>
    </row>
    <row r="5" spans="1:17">
      <c r="A5" s="423" t="s">
        <v>585</v>
      </c>
      <c r="B5" t="s">
        <v>5129</v>
      </c>
    </row>
    <row r="7" spans="1:17">
      <c r="A7" s="423"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1159</v>
      </c>
      <c r="C9" t="s">
        <v>667</v>
      </c>
      <c r="D9">
        <v>1.93084547574818E-3</v>
      </c>
      <c r="E9" t="s">
        <v>94</v>
      </c>
      <c r="F9">
        <v>2.7804174850773792E-3</v>
      </c>
      <c r="G9" t="s">
        <v>647</v>
      </c>
      <c r="N9" t="s">
        <v>5130</v>
      </c>
    </row>
    <row r="10" spans="1:17">
      <c r="B10" t="s">
        <v>1159</v>
      </c>
      <c r="C10" t="s">
        <v>667</v>
      </c>
      <c r="D10">
        <v>5.50747520845234E-2</v>
      </c>
      <c r="E10" t="s">
        <v>94</v>
      </c>
      <c r="F10">
        <v>7.9307643001713696E-2</v>
      </c>
      <c r="G10" t="s">
        <v>647</v>
      </c>
      <c r="N10" t="s">
        <v>5130</v>
      </c>
    </row>
    <row r="11" spans="1:17">
      <c r="B11" t="s">
        <v>1159</v>
      </c>
      <c r="C11" t="s">
        <v>667</v>
      </c>
      <c r="D11">
        <v>0.695972534400781</v>
      </c>
      <c r="E11" t="s">
        <v>94</v>
      </c>
      <c r="F11">
        <v>1.0022004495371246</v>
      </c>
      <c r="G11" t="s">
        <v>647</v>
      </c>
      <c r="N11" t="s">
        <v>5131</v>
      </c>
    </row>
    <row r="12" spans="1:17">
      <c r="B12" t="s">
        <v>1159</v>
      </c>
      <c r="C12" t="s">
        <v>667</v>
      </c>
      <c r="D12">
        <v>0.22174532546008199</v>
      </c>
      <c r="E12" t="s">
        <v>94</v>
      </c>
      <c r="F12">
        <v>0.31931326866251808</v>
      </c>
      <c r="G12" t="s">
        <v>647</v>
      </c>
      <c r="N12" t="s">
        <v>5132</v>
      </c>
    </row>
    <row r="13" spans="1:17">
      <c r="B13" t="s">
        <v>1159</v>
      </c>
      <c r="C13" t="s">
        <v>667</v>
      </c>
      <c r="D13">
        <v>2.5276522591612598E-2</v>
      </c>
      <c r="E13" t="s">
        <v>94</v>
      </c>
      <c r="F13">
        <v>3.6398192531922141E-2</v>
      </c>
      <c r="G13" t="s">
        <v>647</v>
      </c>
      <c r="N13" t="s">
        <v>5132</v>
      </c>
    </row>
    <row r="14" spans="1:17">
      <c r="B14" t="s">
        <v>1113</v>
      </c>
      <c r="C14" t="s">
        <v>1114</v>
      </c>
      <c r="D14">
        <v>0.3448</v>
      </c>
      <c r="E14" t="s">
        <v>1115</v>
      </c>
      <c r="H14" t="s">
        <v>588</v>
      </c>
      <c r="I14">
        <v>0.3448</v>
      </c>
      <c r="J14">
        <v>1.4139824580805163</v>
      </c>
      <c r="N14" t="s">
        <v>1116</v>
      </c>
      <c r="O14" t="s">
        <v>1117</v>
      </c>
      <c r="Q14" t="s">
        <v>1118</v>
      </c>
    </row>
    <row r="15" spans="1:17">
      <c r="B15" t="s">
        <v>1119</v>
      </c>
      <c r="C15" t="s">
        <v>1120</v>
      </c>
      <c r="D15">
        <v>3.6299999999999999E-2</v>
      </c>
      <c r="E15" t="s">
        <v>1115</v>
      </c>
      <c r="H15" t="s">
        <v>588</v>
      </c>
      <c r="I15">
        <v>3.6299999999999999E-2</v>
      </c>
      <c r="J15">
        <v>1.4139824580805163</v>
      </c>
      <c r="N15" t="s">
        <v>1121</v>
      </c>
      <c r="O15" t="s">
        <v>1117</v>
      </c>
      <c r="Q15" t="s">
        <v>1118</v>
      </c>
    </row>
    <row r="16" spans="1:17">
      <c r="B16" t="s">
        <v>1122</v>
      </c>
      <c r="C16" t="s">
        <v>1123</v>
      </c>
      <c r="D16">
        <v>0.3614</v>
      </c>
      <c r="E16" t="s">
        <v>1115</v>
      </c>
      <c r="H16" t="s">
        <v>588</v>
      </c>
      <c r="I16">
        <v>0.3614</v>
      </c>
      <c r="J16">
        <v>1.4139824580805163</v>
      </c>
      <c r="N16" t="s">
        <v>1124</v>
      </c>
      <c r="O16" t="s">
        <v>1117</v>
      </c>
      <c r="Q16" t="s">
        <v>1125</v>
      </c>
    </row>
    <row r="17" spans="1:17">
      <c r="B17" t="s">
        <v>1126</v>
      </c>
      <c r="C17" t="s">
        <v>1127</v>
      </c>
      <c r="D17">
        <v>0.36330000000000001</v>
      </c>
      <c r="E17" t="s">
        <v>1115</v>
      </c>
      <c r="H17" t="s">
        <v>588</v>
      </c>
      <c r="I17">
        <v>0.36330000000000001</v>
      </c>
      <c r="J17">
        <v>1.4139824580805163</v>
      </c>
      <c r="N17" t="s">
        <v>1128</v>
      </c>
      <c r="O17" t="s">
        <v>1117</v>
      </c>
      <c r="Q17" t="s">
        <v>1129</v>
      </c>
    </row>
    <row r="19" spans="1:17">
      <c r="A19" t="s">
        <v>710</v>
      </c>
    </row>
    <row r="20" spans="1:17">
      <c r="A20" s="421" t="s">
        <v>570</v>
      </c>
      <c r="B20" s="421" t="s">
        <v>571</v>
      </c>
      <c r="C20" s="421" t="s">
        <v>568</v>
      </c>
      <c r="D20" s="421" t="s">
        <v>572</v>
      </c>
      <c r="E20" s="421" t="s">
        <v>573</v>
      </c>
      <c r="F20" s="421" t="s">
        <v>574</v>
      </c>
      <c r="G20" s="421" t="s">
        <v>575</v>
      </c>
      <c r="H20" s="421" t="s">
        <v>576</v>
      </c>
      <c r="I20" s="421" t="s">
        <v>577</v>
      </c>
      <c r="J20" s="421" t="s">
        <v>578</v>
      </c>
      <c r="K20" s="421" t="s">
        <v>579</v>
      </c>
      <c r="L20" s="421" t="s">
        <v>580</v>
      </c>
      <c r="M20" s="421" t="s">
        <v>581</v>
      </c>
      <c r="N20" s="421" t="s">
        <v>582</v>
      </c>
      <c r="O20" s="421" t="s">
        <v>583</v>
      </c>
      <c r="P20" s="421" t="s">
        <v>584</v>
      </c>
      <c r="Q20" s="421" t="s">
        <v>585</v>
      </c>
    </row>
    <row r="21" spans="1:17">
      <c r="A21" s="421" t="s">
        <v>645</v>
      </c>
      <c r="B21" s="421" t="s">
        <v>1159</v>
      </c>
      <c r="C21" s="421" t="s">
        <v>667</v>
      </c>
      <c r="D21" s="421">
        <v>1</v>
      </c>
      <c r="E21" s="421" t="s">
        <v>94</v>
      </c>
      <c r="F21" s="421">
        <v>1.44</v>
      </c>
      <c r="G21" s="421" t="s">
        <v>647</v>
      </c>
      <c r="M21" s="421"/>
      <c r="O21" s="421"/>
      <c r="P21" s="421"/>
      <c r="Q21" s="421"/>
    </row>
    <row r="22" spans="1:17">
      <c r="A22" s="421"/>
      <c r="B22" s="421"/>
      <c r="C22" s="421"/>
      <c r="D22" s="421"/>
      <c r="E22" s="421"/>
      <c r="F22" s="421"/>
      <c r="G22" s="421"/>
      <c r="M22" s="421"/>
      <c r="O22" s="421"/>
      <c r="P22" s="421"/>
      <c r="Q22" s="421"/>
    </row>
    <row r="23" spans="1:17">
      <c r="A23" s="421"/>
      <c r="B23" s="10" t="s">
        <v>5287</v>
      </c>
      <c r="C23" s="10" t="s">
        <v>607</v>
      </c>
      <c r="D23" s="421"/>
      <c r="E23" s="10" t="s">
        <v>127</v>
      </c>
      <c r="F23" s="421"/>
      <c r="G23" s="421"/>
      <c r="M23" s="421"/>
      <c r="O23" s="421"/>
      <c r="P23" s="421"/>
      <c r="Q23" s="421"/>
    </row>
    <row r="24" spans="1:17">
      <c r="A24" s="10" t="s">
        <v>5284</v>
      </c>
      <c r="B24" s="5">
        <f>SUM(D12:D13)/SUM(D9:D13)</f>
        <v>0.24702185298898283</v>
      </c>
      <c r="C24" s="5">
        <f>3.6*SUM(D3762:D3765)+SUM(D3782:D3789)</f>
        <v>3.5769942728767994</v>
      </c>
      <c r="D24" s="421"/>
      <c r="E24" s="5">
        <f>C24*B24+C25*B25+C26*B26</f>
        <v>1.1298319151296441</v>
      </c>
      <c r="F24" s="421"/>
      <c r="G24" s="421"/>
      <c r="M24" s="421"/>
      <c r="O24" s="421"/>
      <c r="P24" s="421"/>
      <c r="Q24" s="421"/>
    </row>
    <row r="25" spans="1:17">
      <c r="A25" s="10" t="s">
        <v>5285</v>
      </c>
      <c r="B25" s="5">
        <f>D11/SUM(D9:D13)</f>
        <v>0.69597254831136035</v>
      </c>
      <c r="C25" s="5">
        <v>0</v>
      </c>
      <c r="D25" s="421"/>
      <c r="E25" s="421"/>
      <c r="F25" s="421"/>
      <c r="G25" s="421"/>
      <c r="M25" s="421"/>
      <c r="O25" s="421"/>
      <c r="P25" s="421"/>
      <c r="Q25" s="421"/>
    </row>
    <row r="26" spans="1:17">
      <c r="A26" s="10" t="s">
        <v>5286</v>
      </c>
      <c r="B26" s="5">
        <f>SUM(D9:D10)/SUM(D9:D13)</f>
        <v>5.7005598699656893E-2</v>
      </c>
      <c r="C26" s="5">
        <f>3.6*SUM(D510:D771)+SUM(D953:D998)</f>
        <v>4.319508387412478</v>
      </c>
      <c r="D26" s="421"/>
      <c r="E26" s="421"/>
      <c r="F26" s="421"/>
      <c r="G26" s="421"/>
      <c r="M26" s="421"/>
      <c r="O26" s="421"/>
      <c r="P26" s="421"/>
      <c r="Q26" s="421"/>
    </row>
    <row r="27" spans="1:17">
      <c r="A27" s="421"/>
      <c r="B27" s="421"/>
      <c r="C27" s="421"/>
      <c r="D27" s="421"/>
      <c r="E27" s="421"/>
      <c r="F27" s="421"/>
      <c r="G27" s="421"/>
      <c r="M27" s="421"/>
      <c r="O27" s="421"/>
      <c r="P27" s="421"/>
      <c r="Q27" s="421"/>
    </row>
    <row r="29" spans="1:17" ht="21">
      <c r="A29" s="426" t="s">
        <v>1619</v>
      </c>
    </row>
    <row r="31" spans="1:17">
      <c r="A31" s="421" t="s">
        <v>564</v>
      </c>
    </row>
    <row r="32" spans="1:17">
      <c r="A32" s="423" t="s">
        <v>565</v>
      </c>
      <c r="B32" t="s">
        <v>5133</v>
      </c>
    </row>
    <row r="33" spans="1:17">
      <c r="A33" s="423" t="s">
        <v>567</v>
      </c>
      <c r="B33" t="s">
        <v>5130</v>
      </c>
    </row>
    <row r="34" spans="1:17">
      <c r="A34" s="423" t="s">
        <v>568</v>
      </c>
      <c r="B34" t="s">
        <v>667</v>
      </c>
    </row>
    <row r="35" spans="1:17">
      <c r="A35" s="423" t="s">
        <v>585</v>
      </c>
      <c r="B35" t="s">
        <v>5134</v>
      </c>
    </row>
    <row r="37" spans="1:17">
      <c r="A37" s="423" t="s">
        <v>665</v>
      </c>
    </row>
    <row r="38" spans="1:17">
      <c r="A38" s="421" t="s">
        <v>570</v>
      </c>
      <c r="B38" s="421" t="s">
        <v>571</v>
      </c>
      <c r="C38" s="421" t="s">
        <v>568</v>
      </c>
      <c r="D38" s="421" t="s">
        <v>572</v>
      </c>
      <c r="E38" s="421" t="s">
        <v>573</v>
      </c>
      <c r="F38" s="421" t="s">
        <v>574</v>
      </c>
      <c r="G38" s="421" t="s">
        <v>575</v>
      </c>
      <c r="H38" s="421" t="s">
        <v>576</v>
      </c>
      <c r="I38" s="421"/>
      <c r="J38" s="421"/>
      <c r="K38" s="421"/>
      <c r="L38" s="421"/>
      <c r="M38" s="421"/>
      <c r="N38" s="421"/>
      <c r="O38" s="421"/>
      <c r="P38" s="421"/>
      <c r="Q38" s="421"/>
    </row>
    <row r="39" spans="1:17">
      <c r="B39" t="s">
        <v>1622</v>
      </c>
      <c r="C39" t="s">
        <v>673</v>
      </c>
      <c r="D39">
        <v>5.1002337071365602E-7</v>
      </c>
      <c r="E39" t="s">
        <v>94</v>
      </c>
      <c r="H39" t="s">
        <v>588</v>
      </c>
    </row>
    <row r="40" spans="1:17">
      <c r="B40" t="s">
        <v>1626</v>
      </c>
      <c r="C40" t="s">
        <v>664</v>
      </c>
      <c r="D40">
        <v>5.3167275647370005E-4</v>
      </c>
      <c r="E40" t="s">
        <v>94</v>
      </c>
      <c r="H40" t="s">
        <v>588</v>
      </c>
    </row>
    <row r="41" spans="1:17">
      <c r="B41" t="s">
        <v>1630</v>
      </c>
      <c r="C41" t="s">
        <v>664</v>
      </c>
      <c r="D41">
        <v>2.9355465889593299E-7</v>
      </c>
      <c r="E41" t="s">
        <v>94</v>
      </c>
      <c r="H41" t="s">
        <v>588</v>
      </c>
    </row>
    <row r="42" spans="1:17">
      <c r="B42" t="s">
        <v>1634</v>
      </c>
      <c r="C42" t="s">
        <v>1635</v>
      </c>
      <c r="D42">
        <v>1.3798031369112701E-6</v>
      </c>
      <c r="E42" t="s">
        <v>94</v>
      </c>
      <c r="H42" t="s">
        <v>588</v>
      </c>
    </row>
    <row r="43" spans="1:17">
      <c r="B43" t="s">
        <v>1638</v>
      </c>
      <c r="C43" t="s">
        <v>1635</v>
      </c>
      <c r="D43">
        <v>8.8249581254282998E-8</v>
      </c>
      <c r="E43" t="s">
        <v>94</v>
      </c>
      <c r="H43" t="s">
        <v>588</v>
      </c>
    </row>
    <row r="44" spans="1:17">
      <c r="B44" t="s">
        <v>1641</v>
      </c>
      <c r="C44" t="s">
        <v>673</v>
      </c>
      <c r="D44">
        <v>2.9816175652358598E-4</v>
      </c>
      <c r="E44" t="s">
        <v>94</v>
      </c>
      <c r="H44" t="s">
        <v>588</v>
      </c>
    </row>
    <row r="45" spans="1:17">
      <c r="B45" t="s">
        <v>1644</v>
      </c>
      <c r="C45" t="s">
        <v>673</v>
      </c>
      <c r="D45">
        <v>1.5974161880426801E-5</v>
      </c>
      <c r="E45" t="s">
        <v>94</v>
      </c>
      <c r="H45" t="s">
        <v>588</v>
      </c>
    </row>
    <row r="46" spans="1:17">
      <c r="B46" t="s">
        <v>1644</v>
      </c>
      <c r="C46" t="s">
        <v>673</v>
      </c>
      <c r="D46">
        <v>2.0488182092194599E-5</v>
      </c>
      <c r="E46" t="s">
        <v>94</v>
      </c>
      <c r="H46" t="s">
        <v>588</v>
      </c>
    </row>
    <row r="47" spans="1:17">
      <c r="B47" t="s">
        <v>1646</v>
      </c>
      <c r="C47" t="s">
        <v>673</v>
      </c>
      <c r="D47">
        <v>1.12805307603462E-7</v>
      </c>
      <c r="E47" t="s">
        <v>94</v>
      </c>
      <c r="H47" t="s">
        <v>588</v>
      </c>
    </row>
    <row r="48" spans="1:17">
      <c r="B48" t="s">
        <v>1646</v>
      </c>
      <c r="C48" t="s">
        <v>673</v>
      </c>
      <c r="D48">
        <v>1.30741572667303E-8</v>
      </c>
      <c r="E48" t="s">
        <v>94</v>
      </c>
      <c r="H48" t="s">
        <v>588</v>
      </c>
    </row>
    <row r="49" spans="2:8">
      <c r="B49" t="s">
        <v>1650</v>
      </c>
      <c r="C49" t="s">
        <v>673</v>
      </c>
      <c r="D49">
        <v>5.5031820360405695E-4</v>
      </c>
      <c r="E49" t="s">
        <v>94</v>
      </c>
      <c r="H49" t="s">
        <v>588</v>
      </c>
    </row>
    <row r="50" spans="2:8">
      <c r="B50" t="s">
        <v>1650</v>
      </c>
      <c r="C50" t="s">
        <v>673</v>
      </c>
      <c r="D50">
        <v>8.7310403526517204E-9</v>
      </c>
      <c r="E50" t="s">
        <v>94</v>
      </c>
      <c r="H50" t="s">
        <v>588</v>
      </c>
    </row>
    <row r="51" spans="2:8">
      <c r="B51" t="s">
        <v>1652</v>
      </c>
      <c r="C51" t="s">
        <v>1143</v>
      </c>
      <c r="D51">
        <v>2.10123671995502E-8</v>
      </c>
      <c r="E51" t="s">
        <v>94</v>
      </c>
      <c r="H51" t="s">
        <v>588</v>
      </c>
    </row>
    <row r="52" spans="2:8">
      <c r="B52" t="s">
        <v>1655</v>
      </c>
      <c r="C52" t="s">
        <v>1143</v>
      </c>
      <c r="D52">
        <v>6.0136524256097201E-5</v>
      </c>
      <c r="E52" t="s">
        <v>94</v>
      </c>
      <c r="H52" t="s">
        <v>588</v>
      </c>
    </row>
    <row r="53" spans="2:8">
      <c r="B53" t="s">
        <v>1655</v>
      </c>
      <c r="C53" t="s">
        <v>1143</v>
      </c>
      <c r="D53">
        <v>7.1135366665980594E-5</v>
      </c>
      <c r="E53" t="s">
        <v>94</v>
      </c>
      <c r="H53" t="s">
        <v>588</v>
      </c>
    </row>
    <row r="54" spans="2:8">
      <c r="B54" t="s">
        <v>1660</v>
      </c>
      <c r="C54" t="s">
        <v>1143</v>
      </c>
      <c r="D54">
        <v>7.2699668863733495E-7</v>
      </c>
      <c r="E54" t="s">
        <v>94</v>
      </c>
      <c r="H54" t="s">
        <v>588</v>
      </c>
    </row>
    <row r="55" spans="2:8">
      <c r="B55" t="s">
        <v>1662</v>
      </c>
      <c r="C55" t="s">
        <v>1143</v>
      </c>
      <c r="D55">
        <v>3.2197845668236999E-5</v>
      </c>
      <c r="E55" t="s">
        <v>94</v>
      </c>
      <c r="H55" t="s">
        <v>588</v>
      </c>
    </row>
    <row r="56" spans="2:8">
      <c r="B56" t="s">
        <v>1662</v>
      </c>
      <c r="C56" t="s">
        <v>1143</v>
      </c>
      <c r="D56">
        <v>7.6061256304118299E-5</v>
      </c>
      <c r="E56" t="s">
        <v>94</v>
      </c>
      <c r="H56" t="s">
        <v>588</v>
      </c>
    </row>
    <row r="57" spans="2:8">
      <c r="B57" t="s">
        <v>1133</v>
      </c>
      <c r="C57" t="s">
        <v>701</v>
      </c>
      <c r="D57">
        <v>1.38309986154096E-4</v>
      </c>
      <c r="E57" t="s">
        <v>94</v>
      </c>
      <c r="H57" t="s">
        <v>588</v>
      </c>
    </row>
    <row r="58" spans="2:8">
      <c r="B58" t="s">
        <v>1667</v>
      </c>
      <c r="C58" t="s">
        <v>673</v>
      </c>
      <c r="D58">
        <v>7.7816571310365994E-6</v>
      </c>
      <c r="E58" t="s">
        <v>94</v>
      </c>
      <c r="H58" t="s">
        <v>588</v>
      </c>
    </row>
    <row r="59" spans="2:8">
      <c r="B59" t="s">
        <v>1670</v>
      </c>
      <c r="C59" t="s">
        <v>673</v>
      </c>
      <c r="D59">
        <v>2.7923004181427699E-6</v>
      </c>
      <c r="E59" t="s">
        <v>94</v>
      </c>
      <c r="H59" t="s">
        <v>588</v>
      </c>
    </row>
    <row r="60" spans="2:8">
      <c r="B60" t="s">
        <v>1673</v>
      </c>
      <c r="C60" t="s">
        <v>1138</v>
      </c>
      <c r="D60">
        <v>1.14962583488134E-7</v>
      </c>
      <c r="E60" t="s">
        <v>94</v>
      </c>
      <c r="H60" t="s">
        <v>588</v>
      </c>
    </row>
    <row r="61" spans="2:8">
      <c r="B61" t="s">
        <v>1673</v>
      </c>
      <c r="C61" t="s">
        <v>1138</v>
      </c>
      <c r="D61">
        <v>1.1496222570647501E-7</v>
      </c>
      <c r="E61" t="s">
        <v>94</v>
      </c>
      <c r="H61" t="s">
        <v>588</v>
      </c>
    </row>
    <row r="62" spans="2:8">
      <c r="B62" t="s">
        <v>1676</v>
      </c>
      <c r="C62" t="s">
        <v>673</v>
      </c>
      <c r="D62">
        <v>5.5412791276553199E-10</v>
      </c>
      <c r="E62" t="s">
        <v>94</v>
      </c>
      <c r="H62" t="s">
        <v>588</v>
      </c>
    </row>
    <row r="63" spans="2:8">
      <c r="B63" t="s">
        <v>1680</v>
      </c>
      <c r="C63" t="s">
        <v>1681</v>
      </c>
      <c r="D63">
        <v>5.2491205430927399E-5</v>
      </c>
      <c r="E63" t="s">
        <v>94</v>
      </c>
      <c r="H63" t="s">
        <v>588</v>
      </c>
    </row>
    <row r="64" spans="2:8">
      <c r="B64" t="s">
        <v>1684</v>
      </c>
      <c r="C64" t="s">
        <v>1681</v>
      </c>
      <c r="D64">
        <v>3.4547908198233402E-7</v>
      </c>
      <c r="E64" t="s">
        <v>94</v>
      </c>
      <c r="H64" t="s">
        <v>588</v>
      </c>
    </row>
    <row r="65" spans="2:8">
      <c r="B65" t="s">
        <v>1688</v>
      </c>
      <c r="C65" t="s">
        <v>1689</v>
      </c>
      <c r="D65">
        <v>5.4122540619915303E-8</v>
      </c>
      <c r="E65" t="s">
        <v>616</v>
      </c>
      <c r="H65" t="s">
        <v>588</v>
      </c>
    </row>
    <row r="66" spans="2:8">
      <c r="B66" t="s">
        <v>1693</v>
      </c>
      <c r="C66" t="s">
        <v>1689</v>
      </c>
      <c r="D66">
        <v>8.1146127706217798E-8</v>
      </c>
      <c r="E66" t="s">
        <v>616</v>
      </c>
      <c r="H66" t="s">
        <v>588</v>
      </c>
    </row>
    <row r="67" spans="2:8">
      <c r="B67" t="s">
        <v>1697</v>
      </c>
      <c r="C67" t="s">
        <v>1698</v>
      </c>
      <c r="D67">
        <v>6.2893073149338606E-5</v>
      </c>
      <c r="E67" t="s">
        <v>616</v>
      </c>
      <c r="H67" t="s">
        <v>588</v>
      </c>
    </row>
    <row r="68" spans="2:8">
      <c r="B68" t="s">
        <v>1702</v>
      </c>
      <c r="C68" t="s">
        <v>1698</v>
      </c>
      <c r="D68">
        <v>3.1138381552429197E-5</v>
      </c>
      <c r="E68" t="s">
        <v>616</v>
      </c>
      <c r="H68" t="s">
        <v>588</v>
      </c>
    </row>
    <row r="69" spans="2:8">
      <c r="B69" t="s">
        <v>1704</v>
      </c>
      <c r="C69" t="s">
        <v>1698</v>
      </c>
      <c r="D69">
        <v>3.2179258285924801E-4</v>
      </c>
      <c r="E69" t="s">
        <v>616</v>
      </c>
      <c r="H69" t="s">
        <v>588</v>
      </c>
    </row>
    <row r="70" spans="2:8">
      <c r="B70" t="s">
        <v>1706</v>
      </c>
      <c r="C70" t="s">
        <v>1698</v>
      </c>
      <c r="D70">
        <v>7.6213591082095798E-4</v>
      </c>
      <c r="E70" t="s">
        <v>616</v>
      </c>
      <c r="H70" t="s">
        <v>588</v>
      </c>
    </row>
    <row r="71" spans="2:8">
      <c r="B71" t="s">
        <v>1142</v>
      </c>
      <c r="C71" t="s">
        <v>1143</v>
      </c>
      <c r="D71">
        <v>1.8721892629533398E-5</v>
      </c>
      <c r="E71" t="s">
        <v>94</v>
      </c>
      <c r="H71" t="s">
        <v>588</v>
      </c>
    </row>
    <row r="72" spans="2:8">
      <c r="B72" t="s">
        <v>1142</v>
      </c>
      <c r="C72" t="s">
        <v>1143</v>
      </c>
      <c r="D72">
        <v>8.3399031887390602E-5</v>
      </c>
      <c r="E72" t="s">
        <v>94</v>
      </c>
      <c r="H72" t="s">
        <v>588</v>
      </c>
    </row>
    <row r="73" spans="2:8">
      <c r="B73" t="s">
        <v>1709</v>
      </c>
      <c r="C73" t="s">
        <v>1143</v>
      </c>
      <c r="D73">
        <v>7.6359242510544895E-5</v>
      </c>
      <c r="E73" t="s">
        <v>94</v>
      </c>
      <c r="H73" t="s">
        <v>588</v>
      </c>
    </row>
    <row r="74" spans="2:8">
      <c r="B74" t="s">
        <v>1709</v>
      </c>
      <c r="C74" t="s">
        <v>1143</v>
      </c>
      <c r="D74">
        <v>3.1309630153258599E-7</v>
      </c>
      <c r="E74" t="s">
        <v>94</v>
      </c>
      <c r="H74" t="s">
        <v>588</v>
      </c>
    </row>
    <row r="75" spans="2:8">
      <c r="B75" t="s">
        <v>1715</v>
      </c>
      <c r="C75" t="s">
        <v>1143</v>
      </c>
      <c r="D75">
        <v>8.7167156624862805E-9</v>
      </c>
      <c r="E75" t="s">
        <v>94</v>
      </c>
      <c r="H75" t="s">
        <v>588</v>
      </c>
    </row>
    <row r="76" spans="2:8">
      <c r="B76" t="s">
        <v>1717</v>
      </c>
      <c r="C76" t="s">
        <v>708</v>
      </c>
      <c r="D76">
        <v>2.5505807453510301E-6</v>
      </c>
      <c r="E76" t="s">
        <v>94</v>
      </c>
      <c r="H76" t="s">
        <v>588</v>
      </c>
    </row>
    <row r="77" spans="2:8">
      <c r="B77" t="s">
        <v>1721</v>
      </c>
      <c r="C77" t="s">
        <v>673</v>
      </c>
      <c r="D77">
        <v>3.2303672589185497E-5</v>
      </c>
      <c r="E77" t="s">
        <v>94</v>
      </c>
      <c r="H77" t="s">
        <v>588</v>
      </c>
    </row>
    <row r="78" spans="2:8">
      <c r="B78" t="s">
        <v>1724</v>
      </c>
      <c r="C78" t="s">
        <v>1725</v>
      </c>
      <c r="D78">
        <v>3.8014273579441399E-6</v>
      </c>
      <c r="E78" t="s">
        <v>94</v>
      </c>
    </row>
    <row r="79" spans="2:8">
      <c r="B79" t="s">
        <v>1724</v>
      </c>
      <c r="C79" t="s">
        <v>1725</v>
      </c>
      <c r="D79">
        <v>1.4993885719105201E-4</v>
      </c>
      <c r="E79" t="s">
        <v>94</v>
      </c>
    </row>
    <row r="80" spans="2:8">
      <c r="B80" t="s">
        <v>1724</v>
      </c>
      <c r="C80" t="s">
        <v>1725</v>
      </c>
      <c r="D80">
        <v>1.12657417003355E-4</v>
      </c>
      <c r="E80" t="s">
        <v>94</v>
      </c>
    </row>
    <row r="81" spans="2:8">
      <c r="B81" t="s">
        <v>1724</v>
      </c>
      <c r="C81" t="s">
        <v>1725</v>
      </c>
      <c r="D81">
        <v>3.1967724186282103E-5</v>
      </c>
      <c r="E81" t="s">
        <v>94</v>
      </c>
    </row>
    <row r="82" spans="2:8">
      <c r="B82" t="s">
        <v>1729</v>
      </c>
      <c r="C82" t="s">
        <v>667</v>
      </c>
      <c r="D82">
        <v>5.6665641294067202E-4</v>
      </c>
      <c r="E82" t="s">
        <v>94</v>
      </c>
      <c r="H82" t="s">
        <v>588</v>
      </c>
    </row>
    <row r="83" spans="2:8">
      <c r="B83" t="s">
        <v>1732</v>
      </c>
      <c r="C83" t="s">
        <v>667</v>
      </c>
      <c r="D83">
        <v>1.1193064529951199E-4</v>
      </c>
      <c r="E83" t="s">
        <v>94</v>
      </c>
      <c r="H83" t="s">
        <v>1733</v>
      </c>
    </row>
    <row r="84" spans="2:8">
      <c r="B84" t="s">
        <v>1147</v>
      </c>
      <c r="C84" t="s">
        <v>857</v>
      </c>
      <c r="D84">
        <v>1.2464144766092399E-14</v>
      </c>
      <c r="E84" t="s">
        <v>616</v>
      </c>
      <c r="H84" t="s">
        <v>588</v>
      </c>
    </row>
    <row r="85" spans="2:8">
      <c r="B85" t="s">
        <v>1738</v>
      </c>
      <c r="C85" t="s">
        <v>673</v>
      </c>
      <c r="D85">
        <v>3.2788758355736298E-10</v>
      </c>
      <c r="E85" t="s">
        <v>94</v>
      </c>
      <c r="H85" t="s">
        <v>588</v>
      </c>
    </row>
    <row r="86" spans="2:8">
      <c r="B86" t="s">
        <v>666</v>
      </c>
      <c r="C86" t="s">
        <v>667</v>
      </c>
      <c r="D86">
        <v>6.7735376023086205E-5</v>
      </c>
      <c r="E86" t="s">
        <v>94</v>
      </c>
      <c r="H86" t="s">
        <v>588</v>
      </c>
    </row>
    <row r="87" spans="2:8">
      <c r="B87" t="s">
        <v>666</v>
      </c>
      <c r="C87" t="s">
        <v>667</v>
      </c>
      <c r="D87">
        <v>5.4035937522910799E-5</v>
      </c>
      <c r="E87" t="s">
        <v>94</v>
      </c>
      <c r="H87" t="s">
        <v>588</v>
      </c>
    </row>
    <row r="88" spans="2:8">
      <c r="B88" t="s">
        <v>1742</v>
      </c>
      <c r="C88" t="s">
        <v>673</v>
      </c>
      <c r="D88">
        <v>4.4057232216369501E-5</v>
      </c>
      <c r="E88" t="s">
        <v>94</v>
      </c>
      <c r="H88" t="s">
        <v>588</v>
      </c>
    </row>
    <row r="89" spans="2:8">
      <c r="B89" t="s">
        <v>1742</v>
      </c>
      <c r="C89" t="s">
        <v>673</v>
      </c>
      <c r="D89">
        <v>1.3984033142438901E-4</v>
      </c>
      <c r="E89" t="s">
        <v>94</v>
      </c>
      <c r="H89" t="s">
        <v>588</v>
      </c>
    </row>
    <row r="90" spans="2:8">
      <c r="B90" t="s">
        <v>1109</v>
      </c>
      <c r="C90" t="s">
        <v>667</v>
      </c>
      <c r="D90">
        <v>5.5363866991881895E-4</v>
      </c>
      <c r="E90" t="s">
        <v>94</v>
      </c>
      <c r="H90" t="s">
        <v>588</v>
      </c>
    </row>
    <row r="91" spans="2:8">
      <c r="B91" t="s">
        <v>586</v>
      </c>
      <c r="C91" t="s">
        <v>587</v>
      </c>
      <c r="D91">
        <v>1.27499882716317E-5</v>
      </c>
      <c r="E91" t="s">
        <v>94</v>
      </c>
      <c r="H91" t="s">
        <v>588</v>
      </c>
    </row>
    <row r="92" spans="2:8">
      <c r="B92" t="s">
        <v>1155</v>
      </c>
      <c r="C92" t="s">
        <v>667</v>
      </c>
      <c r="D92">
        <v>2.2322169575826601E-5</v>
      </c>
      <c r="E92" t="s">
        <v>94</v>
      </c>
      <c r="H92" t="s">
        <v>588</v>
      </c>
    </row>
    <row r="93" spans="2:8">
      <c r="B93" t="s">
        <v>1155</v>
      </c>
      <c r="C93" t="s">
        <v>667</v>
      </c>
      <c r="D93">
        <v>7.1055855897908499E-5</v>
      </c>
      <c r="E93" t="s">
        <v>94</v>
      </c>
      <c r="H93" t="s">
        <v>588</v>
      </c>
    </row>
    <row r="94" spans="2:8">
      <c r="B94" t="s">
        <v>1155</v>
      </c>
      <c r="C94" t="s">
        <v>667</v>
      </c>
      <c r="D94">
        <v>9.7192134298228294E-6</v>
      </c>
      <c r="E94" t="s">
        <v>94</v>
      </c>
      <c r="H94" t="s">
        <v>588</v>
      </c>
    </row>
    <row r="95" spans="2:8">
      <c r="B95" t="s">
        <v>1159</v>
      </c>
      <c r="C95" t="s">
        <v>667</v>
      </c>
      <c r="D95">
        <v>6.9930433525483898E-3</v>
      </c>
      <c r="E95" t="s">
        <v>94</v>
      </c>
      <c r="H95" t="s">
        <v>588</v>
      </c>
    </row>
    <row r="96" spans="2:8">
      <c r="B96" t="s">
        <v>1161</v>
      </c>
      <c r="C96" t="s">
        <v>809</v>
      </c>
      <c r="D96">
        <v>3.3184299506391198E-5</v>
      </c>
      <c r="E96" t="s">
        <v>94</v>
      </c>
      <c r="H96" t="s">
        <v>588</v>
      </c>
    </row>
    <row r="97" spans="2:8">
      <c r="B97" t="s">
        <v>1161</v>
      </c>
      <c r="C97" t="s">
        <v>809</v>
      </c>
      <c r="D97">
        <v>2.3267255434647601E-5</v>
      </c>
      <c r="E97" t="s">
        <v>94</v>
      </c>
      <c r="H97" t="s">
        <v>588</v>
      </c>
    </row>
    <row r="98" spans="2:8">
      <c r="B98" t="s">
        <v>1161</v>
      </c>
      <c r="C98" t="s">
        <v>809</v>
      </c>
      <c r="D98">
        <v>4.2774178006371999E-5</v>
      </c>
      <c r="E98" t="s">
        <v>94</v>
      </c>
      <c r="H98" t="s">
        <v>588</v>
      </c>
    </row>
    <row r="99" spans="2:8">
      <c r="B99" t="s">
        <v>1161</v>
      </c>
      <c r="C99" t="s">
        <v>809</v>
      </c>
      <c r="D99">
        <v>4.276056813776E-5</v>
      </c>
      <c r="E99" t="s">
        <v>94</v>
      </c>
      <c r="H99" t="s">
        <v>588</v>
      </c>
    </row>
    <row r="100" spans="2:8">
      <c r="B100" t="s">
        <v>1161</v>
      </c>
      <c r="C100" t="s">
        <v>809</v>
      </c>
      <c r="D100">
        <v>3.2386693057147401E-4</v>
      </c>
      <c r="E100" t="s">
        <v>94</v>
      </c>
      <c r="H100" t="s">
        <v>588</v>
      </c>
    </row>
    <row r="101" spans="2:8">
      <c r="B101" t="s">
        <v>1161</v>
      </c>
      <c r="C101" t="s">
        <v>809</v>
      </c>
      <c r="D101">
        <v>3.4234694098895699E-4</v>
      </c>
      <c r="E101" t="s">
        <v>94</v>
      </c>
      <c r="H101" t="s">
        <v>588</v>
      </c>
    </row>
    <row r="102" spans="2:8">
      <c r="B102" t="s">
        <v>1161</v>
      </c>
      <c r="C102" t="s">
        <v>809</v>
      </c>
      <c r="D102">
        <v>1.16536514416164E-4</v>
      </c>
      <c r="E102" t="s">
        <v>94</v>
      </c>
      <c r="H102" t="s">
        <v>588</v>
      </c>
    </row>
    <row r="103" spans="2:8">
      <c r="B103" t="s">
        <v>1161</v>
      </c>
      <c r="C103" t="s">
        <v>809</v>
      </c>
      <c r="D103">
        <v>1.08033764140222E-3</v>
      </c>
      <c r="E103" t="s">
        <v>94</v>
      </c>
      <c r="H103" t="s">
        <v>588</v>
      </c>
    </row>
    <row r="104" spans="2:8">
      <c r="B104" t="s">
        <v>1161</v>
      </c>
      <c r="C104" t="s">
        <v>809</v>
      </c>
      <c r="D104">
        <v>4.3737380641443102E-4</v>
      </c>
      <c r="E104" t="s">
        <v>94</v>
      </c>
      <c r="H104" t="s">
        <v>588</v>
      </c>
    </row>
    <row r="105" spans="2:8">
      <c r="B105" t="s">
        <v>1749</v>
      </c>
      <c r="C105" t="s">
        <v>809</v>
      </c>
      <c r="D105">
        <v>5.8970558778877802E-5</v>
      </c>
      <c r="E105" t="s">
        <v>94</v>
      </c>
      <c r="H105" t="s">
        <v>588</v>
      </c>
    </row>
    <row r="106" spans="2:8">
      <c r="B106" t="s">
        <v>1749</v>
      </c>
      <c r="C106" t="s">
        <v>809</v>
      </c>
      <c r="D106">
        <v>3.0041384319904699E-6</v>
      </c>
      <c r="E106" t="s">
        <v>94</v>
      </c>
      <c r="H106" t="s">
        <v>588</v>
      </c>
    </row>
    <row r="107" spans="2:8">
      <c r="B107" t="s">
        <v>1164</v>
      </c>
      <c r="C107" t="s">
        <v>809</v>
      </c>
      <c r="D107">
        <v>2.1248623086016401E-4</v>
      </c>
      <c r="E107" t="s">
        <v>94</v>
      </c>
      <c r="H107" t="s">
        <v>588</v>
      </c>
    </row>
    <row r="108" spans="2:8">
      <c r="B108" t="s">
        <v>1754</v>
      </c>
      <c r="C108" t="s">
        <v>809</v>
      </c>
      <c r="D108">
        <v>1.8061348141660199E-4</v>
      </c>
      <c r="E108" t="s">
        <v>94</v>
      </c>
      <c r="H108" t="s">
        <v>588</v>
      </c>
    </row>
    <row r="109" spans="2:8">
      <c r="B109" t="s">
        <v>1754</v>
      </c>
      <c r="C109" t="s">
        <v>809</v>
      </c>
      <c r="D109">
        <v>7.7079799163703902E-4</v>
      </c>
      <c r="E109" t="s">
        <v>94</v>
      </c>
      <c r="H109" t="s">
        <v>588</v>
      </c>
    </row>
    <row r="110" spans="2:8">
      <c r="B110" t="s">
        <v>1754</v>
      </c>
      <c r="C110" t="s">
        <v>809</v>
      </c>
      <c r="D110">
        <v>7.9263951862830798E-4</v>
      </c>
      <c r="E110" t="s">
        <v>94</v>
      </c>
      <c r="H110" t="s">
        <v>588</v>
      </c>
    </row>
    <row r="111" spans="2:8">
      <c r="B111" t="s">
        <v>1754</v>
      </c>
      <c r="C111" t="s">
        <v>809</v>
      </c>
      <c r="D111">
        <v>2.1443388292880899E-4</v>
      </c>
      <c r="E111" t="s">
        <v>94</v>
      </c>
      <c r="H111" t="s">
        <v>588</v>
      </c>
    </row>
    <row r="112" spans="2:8">
      <c r="B112" t="s">
        <v>1761</v>
      </c>
      <c r="C112" t="s">
        <v>809</v>
      </c>
      <c r="D112">
        <v>1.2436295276434301E-6</v>
      </c>
      <c r="E112" t="s">
        <v>94</v>
      </c>
      <c r="H112" t="s">
        <v>588</v>
      </c>
    </row>
    <row r="113" spans="2:8">
      <c r="B113" t="s">
        <v>1761</v>
      </c>
      <c r="C113" t="s">
        <v>809</v>
      </c>
      <c r="D113">
        <v>2.2220595299281099E-5</v>
      </c>
      <c r="E113" t="s">
        <v>94</v>
      </c>
      <c r="H113" t="s">
        <v>588</v>
      </c>
    </row>
    <row r="114" spans="2:8">
      <c r="B114" t="s">
        <v>1761</v>
      </c>
      <c r="C114" t="s">
        <v>809</v>
      </c>
      <c r="D114">
        <v>1.9985604266484498E-5</v>
      </c>
      <c r="E114" t="s">
        <v>94</v>
      </c>
      <c r="H114" t="s">
        <v>588</v>
      </c>
    </row>
    <row r="115" spans="2:8">
      <c r="B115" t="s">
        <v>1768</v>
      </c>
      <c r="C115" t="s">
        <v>650</v>
      </c>
      <c r="D115">
        <v>8.5272162522560401E-4</v>
      </c>
      <c r="E115" t="s">
        <v>94</v>
      </c>
      <c r="H115" t="s">
        <v>588</v>
      </c>
    </row>
    <row r="116" spans="2:8">
      <c r="B116" t="s">
        <v>1768</v>
      </c>
      <c r="C116" t="s">
        <v>650</v>
      </c>
      <c r="D116">
        <v>8.5262641123004903E-4</v>
      </c>
      <c r="E116" t="s">
        <v>94</v>
      </c>
      <c r="H116" t="s">
        <v>588</v>
      </c>
    </row>
    <row r="117" spans="2:8">
      <c r="B117" t="s">
        <v>1771</v>
      </c>
      <c r="C117" t="s">
        <v>676</v>
      </c>
      <c r="D117">
        <v>5.6360508523280101E-9</v>
      </c>
      <c r="E117" t="s">
        <v>94</v>
      </c>
      <c r="H117" t="s">
        <v>588</v>
      </c>
    </row>
    <row r="118" spans="2:8">
      <c r="B118" t="s">
        <v>1771</v>
      </c>
      <c r="C118" t="s">
        <v>676</v>
      </c>
      <c r="D118">
        <v>5.6352586881246099E-9</v>
      </c>
      <c r="E118" t="s">
        <v>94</v>
      </c>
      <c r="H118" t="s">
        <v>588</v>
      </c>
    </row>
    <row r="119" spans="2:8">
      <c r="B119" t="s">
        <v>1775</v>
      </c>
      <c r="C119" t="s">
        <v>587</v>
      </c>
      <c r="D119">
        <v>4.65485547578289E-7</v>
      </c>
      <c r="E119" t="s">
        <v>94</v>
      </c>
    </row>
    <row r="120" spans="2:8">
      <c r="B120" t="s">
        <v>1777</v>
      </c>
      <c r="C120" t="s">
        <v>701</v>
      </c>
      <c r="D120">
        <v>1.15926906820803E-7</v>
      </c>
      <c r="E120" t="s">
        <v>94</v>
      </c>
      <c r="H120" t="s">
        <v>588</v>
      </c>
    </row>
    <row r="121" spans="2:8">
      <c r="B121" t="s">
        <v>1777</v>
      </c>
      <c r="C121" t="s">
        <v>701</v>
      </c>
      <c r="D121">
        <v>2.1202091481821201E-7</v>
      </c>
      <c r="E121" t="s">
        <v>94</v>
      </c>
      <c r="H121" t="s">
        <v>588</v>
      </c>
    </row>
    <row r="122" spans="2:8">
      <c r="B122" t="s">
        <v>1781</v>
      </c>
      <c r="C122" t="s">
        <v>857</v>
      </c>
      <c r="D122">
        <v>4.4830058218755098E-14</v>
      </c>
      <c r="E122" t="s">
        <v>616</v>
      </c>
      <c r="H122" t="s">
        <v>588</v>
      </c>
    </row>
    <row r="123" spans="2:8">
      <c r="B123" t="s">
        <v>1785</v>
      </c>
      <c r="C123" t="s">
        <v>948</v>
      </c>
      <c r="D123">
        <v>5.1573902429338499E-8</v>
      </c>
      <c r="E123" t="s">
        <v>94</v>
      </c>
      <c r="H123" t="s">
        <v>588</v>
      </c>
    </row>
    <row r="124" spans="2:8">
      <c r="B124" t="s">
        <v>1787</v>
      </c>
      <c r="C124" t="s">
        <v>948</v>
      </c>
      <c r="D124">
        <v>1.14934048483807E-4</v>
      </c>
      <c r="E124" t="s">
        <v>94</v>
      </c>
      <c r="H124" t="s">
        <v>588</v>
      </c>
    </row>
    <row r="125" spans="2:8">
      <c r="B125" t="s">
        <v>1791</v>
      </c>
      <c r="C125" t="s">
        <v>1417</v>
      </c>
      <c r="D125">
        <v>1.27446438905077E-6</v>
      </c>
      <c r="E125" t="s">
        <v>626</v>
      </c>
      <c r="H125" t="s">
        <v>588</v>
      </c>
    </row>
    <row r="126" spans="2:8">
      <c r="B126" t="s">
        <v>1793</v>
      </c>
      <c r="C126" t="s">
        <v>673</v>
      </c>
      <c r="D126">
        <v>3.0132095093326399E-6</v>
      </c>
      <c r="E126" t="s">
        <v>94</v>
      </c>
      <c r="H126" t="s">
        <v>588</v>
      </c>
    </row>
    <row r="127" spans="2:8">
      <c r="B127" t="s">
        <v>1796</v>
      </c>
      <c r="C127" t="s">
        <v>1243</v>
      </c>
      <c r="D127">
        <v>1.7533214396778302E-5</v>
      </c>
      <c r="E127" t="s">
        <v>626</v>
      </c>
      <c r="H127" t="s">
        <v>588</v>
      </c>
    </row>
    <row r="128" spans="2:8">
      <c r="B128" t="s">
        <v>1800</v>
      </c>
      <c r="C128" t="s">
        <v>667</v>
      </c>
      <c r="D128">
        <v>3.5485109278184799E-9</v>
      </c>
      <c r="E128" t="s">
        <v>94</v>
      </c>
      <c r="H128" t="s">
        <v>588</v>
      </c>
    </row>
    <row r="129" spans="2:8">
      <c r="B129" t="s">
        <v>1802</v>
      </c>
      <c r="C129" t="s">
        <v>587</v>
      </c>
      <c r="D129">
        <v>1.00573687193527E-6</v>
      </c>
      <c r="E129" t="s">
        <v>94</v>
      </c>
      <c r="H129" t="s">
        <v>588</v>
      </c>
    </row>
    <row r="130" spans="2:8">
      <c r="B130" t="s">
        <v>1803</v>
      </c>
      <c r="C130" t="s">
        <v>1804</v>
      </c>
      <c r="D130">
        <v>1.9208963414291901E-3</v>
      </c>
      <c r="E130" t="s">
        <v>94</v>
      </c>
    </row>
    <row r="131" spans="2:8">
      <c r="B131" t="s">
        <v>1803</v>
      </c>
      <c r="C131" t="s">
        <v>1804</v>
      </c>
      <c r="D131">
        <v>8.4978741219087002E-5</v>
      </c>
      <c r="E131" t="s">
        <v>94</v>
      </c>
    </row>
    <row r="132" spans="2:8">
      <c r="B132" t="s">
        <v>1803</v>
      </c>
      <c r="C132" t="s">
        <v>1804</v>
      </c>
      <c r="D132">
        <v>4.9714154707046902E-5</v>
      </c>
      <c r="E132" t="s">
        <v>94</v>
      </c>
    </row>
    <row r="133" spans="2:8">
      <c r="B133" t="s">
        <v>1803</v>
      </c>
      <c r="C133" t="s">
        <v>1804</v>
      </c>
      <c r="D133">
        <v>1.2307092570779801E-4</v>
      </c>
      <c r="E133" t="s">
        <v>94</v>
      </c>
    </row>
    <row r="134" spans="2:8">
      <c r="B134" t="s">
        <v>1803</v>
      </c>
      <c r="C134" t="s">
        <v>1804</v>
      </c>
      <c r="D134">
        <v>2.34232495117445E-4</v>
      </c>
      <c r="E134" t="s">
        <v>94</v>
      </c>
    </row>
    <row r="135" spans="2:8">
      <c r="B135" t="s">
        <v>1803</v>
      </c>
      <c r="C135" t="s">
        <v>1804</v>
      </c>
      <c r="D135">
        <v>4.6915894468072E-4</v>
      </c>
      <c r="E135" t="s">
        <v>94</v>
      </c>
      <c r="H135" t="s">
        <v>588</v>
      </c>
    </row>
    <row r="136" spans="2:8">
      <c r="B136" t="s">
        <v>1803</v>
      </c>
      <c r="C136" t="s">
        <v>1804</v>
      </c>
      <c r="D136">
        <v>1.4967652141587701E-3</v>
      </c>
      <c r="E136" t="s">
        <v>94</v>
      </c>
    </row>
    <row r="137" spans="2:8">
      <c r="B137" t="s">
        <v>1809</v>
      </c>
      <c r="C137" t="s">
        <v>1810</v>
      </c>
      <c r="D137">
        <v>6.2434334173244304E-7</v>
      </c>
      <c r="E137" t="s">
        <v>1811</v>
      </c>
      <c r="H137" t="s">
        <v>588</v>
      </c>
    </row>
    <row r="138" spans="2:8">
      <c r="B138" t="s">
        <v>1809</v>
      </c>
      <c r="C138" t="s">
        <v>1810</v>
      </c>
      <c r="D138">
        <v>5.3650193291630399E-6</v>
      </c>
      <c r="E138" t="s">
        <v>1811</v>
      </c>
      <c r="H138" t="s">
        <v>588</v>
      </c>
    </row>
    <row r="139" spans="2:8">
      <c r="B139" t="s">
        <v>1809</v>
      </c>
      <c r="C139" t="s">
        <v>1810</v>
      </c>
      <c r="D139">
        <v>1.9020667392039E-6</v>
      </c>
      <c r="E139" t="s">
        <v>1811</v>
      </c>
      <c r="H139" t="s">
        <v>588</v>
      </c>
    </row>
    <row r="140" spans="2:8">
      <c r="B140" t="s">
        <v>1817</v>
      </c>
      <c r="C140" t="s">
        <v>1804</v>
      </c>
      <c r="D140">
        <v>1.3196244816807399E-5</v>
      </c>
      <c r="E140" t="s">
        <v>94</v>
      </c>
    </row>
    <row r="141" spans="2:8">
      <c r="B141" t="s">
        <v>1817</v>
      </c>
      <c r="C141" t="s">
        <v>1804</v>
      </c>
      <c r="D141">
        <v>6.0874286780299398E-5</v>
      </c>
      <c r="E141" t="s">
        <v>94</v>
      </c>
    </row>
    <row r="142" spans="2:8">
      <c r="B142" t="s">
        <v>1817</v>
      </c>
      <c r="C142" t="s">
        <v>1804</v>
      </c>
      <c r="D142">
        <v>3.4459515798063102E-4</v>
      </c>
      <c r="E142" t="s">
        <v>94</v>
      </c>
    </row>
    <row r="143" spans="2:8">
      <c r="B143" t="s">
        <v>1817</v>
      </c>
      <c r="C143" t="s">
        <v>1804</v>
      </c>
      <c r="D143">
        <v>2.3795382191011401E-5</v>
      </c>
      <c r="E143" t="s">
        <v>94</v>
      </c>
    </row>
    <row r="144" spans="2:8">
      <c r="B144" t="s">
        <v>1817</v>
      </c>
      <c r="C144" t="s">
        <v>1804</v>
      </c>
      <c r="D144">
        <v>3.3953772429564502E-5</v>
      </c>
      <c r="E144" t="s">
        <v>94</v>
      </c>
    </row>
    <row r="145" spans="2:8">
      <c r="B145" t="s">
        <v>1817</v>
      </c>
      <c r="C145" t="s">
        <v>1804</v>
      </c>
      <c r="D145">
        <v>9.1745165751147301E-5</v>
      </c>
      <c r="E145" t="s">
        <v>94</v>
      </c>
    </row>
    <row r="146" spans="2:8">
      <c r="B146" t="s">
        <v>1820</v>
      </c>
      <c r="C146" t="s">
        <v>673</v>
      </c>
      <c r="D146">
        <v>1.6441760632182701E-5</v>
      </c>
      <c r="E146" t="s">
        <v>94</v>
      </c>
      <c r="H146" t="s">
        <v>588</v>
      </c>
    </row>
    <row r="147" spans="2:8">
      <c r="B147" t="s">
        <v>1820</v>
      </c>
      <c r="C147" t="s">
        <v>673</v>
      </c>
      <c r="D147">
        <v>2.5114006903840201E-5</v>
      </c>
      <c r="E147" t="s">
        <v>94</v>
      </c>
      <c r="H147" t="s">
        <v>588</v>
      </c>
    </row>
    <row r="148" spans="2:8">
      <c r="B148" t="s">
        <v>1824</v>
      </c>
      <c r="C148" t="s">
        <v>1825</v>
      </c>
      <c r="D148">
        <v>7.2806655405116999E-5</v>
      </c>
      <c r="E148" t="s">
        <v>94</v>
      </c>
      <c r="H148" t="s">
        <v>588</v>
      </c>
    </row>
    <row r="149" spans="2:8">
      <c r="B149" t="s">
        <v>1829</v>
      </c>
      <c r="C149" t="s">
        <v>1830</v>
      </c>
      <c r="D149">
        <v>9.5812579794832796E-4</v>
      </c>
      <c r="E149" t="s">
        <v>94</v>
      </c>
    </row>
    <row r="150" spans="2:8">
      <c r="B150" t="s">
        <v>1829</v>
      </c>
      <c r="C150" t="s">
        <v>1830</v>
      </c>
      <c r="D150">
        <v>1.4605969832235199E-4</v>
      </c>
      <c r="E150" t="s">
        <v>94</v>
      </c>
    </row>
    <row r="151" spans="2:8">
      <c r="B151" t="s">
        <v>1829</v>
      </c>
      <c r="C151" t="s">
        <v>1830</v>
      </c>
      <c r="D151">
        <v>3.5641148695284301E-4</v>
      </c>
      <c r="E151" t="s">
        <v>94</v>
      </c>
    </row>
    <row r="152" spans="2:8">
      <c r="B152" t="s">
        <v>1829</v>
      </c>
      <c r="C152" t="s">
        <v>1830</v>
      </c>
      <c r="D152">
        <v>1.7527163798682299E-4</v>
      </c>
      <c r="E152" t="s">
        <v>94</v>
      </c>
      <c r="H152" t="s">
        <v>588</v>
      </c>
    </row>
    <row r="153" spans="2:8">
      <c r="B153" t="s">
        <v>1834</v>
      </c>
      <c r="C153" t="s">
        <v>1835</v>
      </c>
      <c r="D153">
        <v>1.1643044215273401E-3</v>
      </c>
      <c r="E153" t="s">
        <v>94</v>
      </c>
    </row>
    <row r="154" spans="2:8">
      <c r="B154" t="s">
        <v>1834</v>
      </c>
      <c r="C154" t="s">
        <v>1835</v>
      </c>
      <c r="D154">
        <v>1.3971653058328099E-4</v>
      </c>
      <c r="E154" t="s">
        <v>94</v>
      </c>
      <c r="H154" t="s">
        <v>588</v>
      </c>
    </row>
    <row r="155" spans="2:8">
      <c r="B155" t="s">
        <v>1838</v>
      </c>
      <c r="C155" t="s">
        <v>1835</v>
      </c>
      <c r="D155">
        <v>1.9576434338679999E-3</v>
      </c>
      <c r="E155" t="s">
        <v>94</v>
      </c>
    </row>
    <row r="156" spans="2:8">
      <c r="B156" t="s">
        <v>1838</v>
      </c>
      <c r="C156" t="s">
        <v>1835</v>
      </c>
      <c r="D156">
        <v>3.8207189880924599E-4</v>
      </c>
      <c r="E156" t="s">
        <v>94</v>
      </c>
      <c r="H156" t="s">
        <v>588</v>
      </c>
    </row>
    <row r="157" spans="2:8">
      <c r="B157" t="s">
        <v>1838</v>
      </c>
      <c r="C157" t="s">
        <v>1835</v>
      </c>
      <c r="D157">
        <v>6.2955887270724296E-5</v>
      </c>
      <c r="E157" t="s">
        <v>94</v>
      </c>
    </row>
    <row r="158" spans="2:8">
      <c r="B158" t="s">
        <v>1838</v>
      </c>
      <c r="C158" t="s">
        <v>1835</v>
      </c>
      <c r="D158">
        <v>2.3391495330114199E-4</v>
      </c>
      <c r="E158" t="s">
        <v>94</v>
      </c>
    </row>
    <row r="159" spans="2:8">
      <c r="B159" t="s">
        <v>1838</v>
      </c>
      <c r="C159" t="s">
        <v>1835</v>
      </c>
      <c r="D159">
        <v>8.6690795186747903E-4</v>
      </c>
      <c r="E159" t="s">
        <v>94</v>
      </c>
    </row>
    <row r="160" spans="2:8">
      <c r="B160" t="s">
        <v>1838</v>
      </c>
      <c r="C160" t="s">
        <v>1835</v>
      </c>
      <c r="D160">
        <v>6.2510263769710402E-5</v>
      </c>
      <c r="E160" t="s">
        <v>94</v>
      </c>
    </row>
    <row r="161" spans="2:8">
      <c r="B161" t="s">
        <v>919</v>
      </c>
      <c r="C161" t="s">
        <v>569</v>
      </c>
      <c r="D161">
        <v>1.6242874138592899E-4</v>
      </c>
      <c r="E161" t="s">
        <v>94</v>
      </c>
      <c r="H161" t="s">
        <v>588</v>
      </c>
    </row>
    <row r="162" spans="2:8">
      <c r="B162" t="s">
        <v>1842</v>
      </c>
      <c r="C162" t="s">
        <v>673</v>
      </c>
      <c r="D162">
        <v>9.1371086981111499E-8</v>
      </c>
      <c r="E162" t="s">
        <v>94</v>
      </c>
      <c r="H162" t="s">
        <v>588</v>
      </c>
    </row>
    <row r="163" spans="2:8">
      <c r="B163" t="s">
        <v>1844</v>
      </c>
      <c r="C163" t="s">
        <v>673</v>
      </c>
      <c r="D163">
        <v>4.1429135194457299E-5</v>
      </c>
      <c r="E163" t="s">
        <v>94</v>
      </c>
      <c r="H163" t="s">
        <v>588</v>
      </c>
    </row>
    <row r="164" spans="2:8">
      <c r="B164" t="s">
        <v>1846</v>
      </c>
      <c r="C164" t="s">
        <v>587</v>
      </c>
      <c r="D164">
        <v>3.68186815839639E-6</v>
      </c>
      <c r="E164" t="s">
        <v>94</v>
      </c>
      <c r="H164" t="s">
        <v>588</v>
      </c>
    </row>
    <row r="165" spans="2:8">
      <c r="B165" t="s">
        <v>1847</v>
      </c>
      <c r="C165" t="s">
        <v>1848</v>
      </c>
      <c r="D165">
        <v>4.0904385454393599E-4</v>
      </c>
      <c r="E165" t="s">
        <v>94</v>
      </c>
      <c r="H165" t="s">
        <v>588</v>
      </c>
    </row>
    <row r="166" spans="2:8">
      <c r="B166" t="s">
        <v>1847</v>
      </c>
      <c r="C166" t="s">
        <v>1848</v>
      </c>
      <c r="D166">
        <v>4.4072591822857699E-6</v>
      </c>
      <c r="E166" t="s">
        <v>94</v>
      </c>
      <c r="H166" t="s">
        <v>588</v>
      </c>
    </row>
    <row r="167" spans="2:8">
      <c r="B167" t="s">
        <v>1847</v>
      </c>
      <c r="C167" t="s">
        <v>1848</v>
      </c>
      <c r="D167">
        <v>4.0463659566257199E-4</v>
      </c>
      <c r="E167" t="s">
        <v>94</v>
      </c>
      <c r="H167" t="s">
        <v>588</v>
      </c>
    </row>
    <row r="168" spans="2:8">
      <c r="B168" t="s">
        <v>1847</v>
      </c>
      <c r="C168" t="s">
        <v>1848</v>
      </c>
      <c r="D168">
        <v>6.5687516603315696E-4</v>
      </c>
      <c r="E168" t="s">
        <v>94</v>
      </c>
      <c r="H168" t="s">
        <v>588</v>
      </c>
    </row>
    <row r="169" spans="2:8">
      <c r="B169" t="s">
        <v>1854</v>
      </c>
      <c r="C169" t="s">
        <v>676</v>
      </c>
      <c r="D169">
        <v>3.2355231262180201E-3</v>
      </c>
      <c r="E169" t="s">
        <v>94</v>
      </c>
      <c r="H169" t="s">
        <v>588</v>
      </c>
    </row>
    <row r="170" spans="2:8">
      <c r="B170" t="s">
        <v>1856</v>
      </c>
      <c r="C170" t="s">
        <v>587</v>
      </c>
      <c r="D170">
        <v>4.8137322073922802E-2</v>
      </c>
      <c r="E170" t="s">
        <v>94</v>
      </c>
      <c r="H170" t="s">
        <v>588</v>
      </c>
    </row>
    <row r="171" spans="2:8">
      <c r="B171" t="s">
        <v>1858</v>
      </c>
      <c r="C171" t="s">
        <v>650</v>
      </c>
      <c r="D171">
        <v>2.73928071440292E-5</v>
      </c>
      <c r="E171" t="s">
        <v>94</v>
      </c>
      <c r="H171" t="s">
        <v>588</v>
      </c>
    </row>
    <row r="172" spans="2:8">
      <c r="B172" t="s">
        <v>1861</v>
      </c>
      <c r="C172" t="s">
        <v>1862</v>
      </c>
      <c r="D172">
        <v>2.9884930816487199E-5</v>
      </c>
      <c r="E172" t="s">
        <v>94</v>
      </c>
      <c r="H172" t="s">
        <v>588</v>
      </c>
    </row>
    <row r="173" spans="2:8">
      <c r="B173" t="s">
        <v>1865</v>
      </c>
      <c r="C173" t="s">
        <v>1862</v>
      </c>
      <c r="D173">
        <v>1.53746855432528E-5</v>
      </c>
      <c r="E173" t="s">
        <v>94</v>
      </c>
      <c r="H173" t="s">
        <v>588</v>
      </c>
    </row>
    <row r="174" spans="2:8">
      <c r="B174" t="s">
        <v>1867</v>
      </c>
      <c r="C174" t="s">
        <v>1862</v>
      </c>
      <c r="D174">
        <v>3.38926549642432E-6</v>
      </c>
      <c r="E174" t="s">
        <v>94</v>
      </c>
      <c r="H174" t="s">
        <v>588</v>
      </c>
    </row>
    <row r="175" spans="2:8">
      <c r="B175" t="s">
        <v>1869</v>
      </c>
      <c r="C175" t="s">
        <v>1862</v>
      </c>
      <c r="D175">
        <v>7.9331048582173796E-5</v>
      </c>
      <c r="E175" t="s">
        <v>94</v>
      </c>
      <c r="H175" t="s">
        <v>588</v>
      </c>
    </row>
    <row r="176" spans="2:8">
      <c r="B176" t="s">
        <v>646</v>
      </c>
      <c r="C176" t="s">
        <v>569</v>
      </c>
      <c r="D176">
        <v>4.7676098653358602E-3</v>
      </c>
      <c r="E176" t="s">
        <v>94</v>
      </c>
      <c r="H176" t="s">
        <v>588</v>
      </c>
    </row>
    <row r="177" spans="2:8">
      <c r="B177" t="s">
        <v>1872</v>
      </c>
      <c r="C177" t="s">
        <v>1873</v>
      </c>
      <c r="D177">
        <v>2.72301964926452E-6</v>
      </c>
      <c r="E177" t="s">
        <v>94</v>
      </c>
    </row>
    <row r="178" spans="2:8">
      <c r="B178" t="s">
        <v>1872</v>
      </c>
      <c r="C178" t="s">
        <v>1873</v>
      </c>
      <c r="D178">
        <v>1.1471152384388301E-3</v>
      </c>
      <c r="E178" t="s">
        <v>94</v>
      </c>
    </row>
    <row r="179" spans="2:8">
      <c r="B179" t="s">
        <v>1872</v>
      </c>
      <c r="C179" t="s">
        <v>1873</v>
      </c>
      <c r="D179">
        <v>9.7528594838110094E-7</v>
      </c>
      <c r="E179" t="s">
        <v>94</v>
      </c>
    </row>
    <row r="180" spans="2:8">
      <c r="B180" t="s">
        <v>1872</v>
      </c>
      <c r="C180" t="s">
        <v>1873</v>
      </c>
      <c r="D180">
        <v>2.5978517233170301E-4</v>
      </c>
      <c r="E180" t="s">
        <v>94</v>
      </c>
      <c r="H180" t="s">
        <v>588</v>
      </c>
    </row>
    <row r="181" spans="2:8">
      <c r="B181" t="s">
        <v>1872</v>
      </c>
      <c r="C181" t="s">
        <v>1873</v>
      </c>
      <c r="D181">
        <v>1.0140628920610401E-3</v>
      </c>
      <c r="E181" t="s">
        <v>94</v>
      </c>
    </row>
    <row r="182" spans="2:8">
      <c r="B182" t="s">
        <v>1877</v>
      </c>
      <c r="C182" t="s">
        <v>664</v>
      </c>
      <c r="D182">
        <v>6.6775859463768096E-4</v>
      </c>
      <c r="E182" t="s">
        <v>94</v>
      </c>
      <c r="H182" t="s">
        <v>588</v>
      </c>
    </row>
    <row r="183" spans="2:8">
      <c r="B183" t="s">
        <v>1879</v>
      </c>
      <c r="C183" t="s">
        <v>1635</v>
      </c>
      <c r="D183">
        <v>5.1883568169916795E-7</v>
      </c>
      <c r="E183" t="s">
        <v>94</v>
      </c>
      <c r="H183" t="s">
        <v>588</v>
      </c>
    </row>
    <row r="184" spans="2:8">
      <c r="B184" t="s">
        <v>1881</v>
      </c>
      <c r="C184" t="s">
        <v>673</v>
      </c>
      <c r="D184">
        <v>3.3578669777725102E-6</v>
      </c>
      <c r="E184" t="s">
        <v>94</v>
      </c>
      <c r="H184" t="s">
        <v>588</v>
      </c>
    </row>
    <row r="185" spans="2:8">
      <c r="B185" t="s">
        <v>1884</v>
      </c>
      <c r="C185" t="s">
        <v>1635</v>
      </c>
      <c r="D185">
        <v>1.77333346214327E-6</v>
      </c>
      <c r="E185" t="s">
        <v>94</v>
      </c>
      <c r="H185" t="s">
        <v>588</v>
      </c>
    </row>
    <row r="186" spans="2:8">
      <c r="B186" t="s">
        <v>1887</v>
      </c>
      <c r="C186" t="s">
        <v>673</v>
      </c>
      <c r="D186">
        <v>5.2389819372550999E-5</v>
      </c>
      <c r="E186" t="s">
        <v>94</v>
      </c>
      <c r="H186" t="s">
        <v>588</v>
      </c>
    </row>
    <row r="187" spans="2:8">
      <c r="B187" t="s">
        <v>1891</v>
      </c>
      <c r="C187" t="s">
        <v>1892</v>
      </c>
      <c r="D187">
        <v>5.8341321575018296E-7</v>
      </c>
      <c r="E187" t="s">
        <v>94</v>
      </c>
      <c r="H187" t="s">
        <v>588</v>
      </c>
    </row>
    <row r="188" spans="2:8">
      <c r="B188" t="s">
        <v>591</v>
      </c>
      <c r="C188" t="s">
        <v>592</v>
      </c>
      <c r="D188">
        <v>4.5004863197835101E-5</v>
      </c>
      <c r="E188" t="s">
        <v>94</v>
      </c>
      <c r="H188" t="s">
        <v>588</v>
      </c>
    </row>
    <row r="189" spans="2:8">
      <c r="B189" t="s">
        <v>591</v>
      </c>
      <c r="C189" t="s">
        <v>592</v>
      </c>
      <c r="D189">
        <v>7.9603983311871808E-6</v>
      </c>
      <c r="E189" t="s">
        <v>94</v>
      </c>
      <c r="H189" t="s">
        <v>588</v>
      </c>
    </row>
    <row r="190" spans="2:8">
      <c r="B190" t="s">
        <v>1898</v>
      </c>
      <c r="C190" t="s">
        <v>1249</v>
      </c>
      <c r="D190">
        <v>1.2469368817016001E-5</v>
      </c>
      <c r="E190" t="s">
        <v>94</v>
      </c>
      <c r="H190" t="s">
        <v>588</v>
      </c>
    </row>
    <row r="191" spans="2:8">
      <c r="B191" t="s">
        <v>1898</v>
      </c>
      <c r="C191" t="s">
        <v>1249</v>
      </c>
      <c r="D191">
        <v>1.22759710361573E-5</v>
      </c>
      <c r="E191" t="s">
        <v>94</v>
      </c>
      <c r="H191" t="s">
        <v>588</v>
      </c>
    </row>
    <row r="192" spans="2:8">
      <c r="B192" t="s">
        <v>1902</v>
      </c>
      <c r="C192" t="s">
        <v>1698</v>
      </c>
      <c r="D192">
        <v>1.9468677788453301E-6</v>
      </c>
      <c r="E192" t="s">
        <v>616</v>
      </c>
      <c r="H192" t="s">
        <v>588</v>
      </c>
    </row>
    <row r="193" spans="2:8">
      <c r="B193" t="s">
        <v>1905</v>
      </c>
      <c r="C193" t="s">
        <v>1698</v>
      </c>
      <c r="D193">
        <v>2.9442162229207099E-5</v>
      </c>
      <c r="E193" t="s">
        <v>616</v>
      </c>
      <c r="H193" t="s">
        <v>588</v>
      </c>
    </row>
    <row r="194" spans="2:8">
      <c r="B194" t="s">
        <v>1908</v>
      </c>
      <c r="C194" t="s">
        <v>673</v>
      </c>
      <c r="D194">
        <v>4.0081220791928998E-6</v>
      </c>
      <c r="E194" t="s">
        <v>94</v>
      </c>
      <c r="H194" t="s">
        <v>588</v>
      </c>
    </row>
    <row r="195" spans="2:8">
      <c r="B195" t="s">
        <v>1911</v>
      </c>
      <c r="C195" t="s">
        <v>587</v>
      </c>
      <c r="D195">
        <v>4.7735695812228097E-7</v>
      </c>
      <c r="E195" t="s">
        <v>94</v>
      </c>
    </row>
    <row r="196" spans="2:8">
      <c r="B196" t="s">
        <v>1912</v>
      </c>
      <c r="C196" t="s">
        <v>853</v>
      </c>
      <c r="D196">
        <v>1.03912157460307E-4</v>
      </c>
      <c r="E196" t="s">
        <v>94</v>
      </c>
      <c r="H196" t="s">
        <v>588</v>
      </c>
    </row>
    <row r="197" spans="2:8">
      <c r="B197" t="s">
        <v>1167</v>
      </c>
      <c r="C197" t="s">
        <v>667</v>
      </c>
      <c r="D197">
        <v>2.7589886693442101E-6</v>
      </c>
      <c r="E197" t="s">
        <v>94</v>
      </c>
      <c r="H197" t="s">
        <v>588</v>
      </c>
    </row>
    <row r="198" spans="2:8">
      <c r="B198" t="s">
        <v>1167</v>
      </c>
      <c r="C198" t="s">
        <v>667</v>
      </c>
      <c r="D198">
        <v>9.0678032929552993E-6</v>
      </c>
      <c r="E198" t="s">
        <v>94</v>
      </c>
      <c r="H198" t="s">
        <v>588</v>
      </c>
    </row>
    <row r="199" spans="2:8">
      <c r="B199" t="s">
        <v>1916</v>
      </c>
      <c r="C199" t="s">
        <v>1138</v>
      </c>
      <c r="D199">
        <v>2.1052827518338902E-6</v>
      </c>
      <c r="E199" t="s">
        <v>94</v>
      </c>
      <c r="H199" t="s">
        <v>588</v>
      </c>
    </row>
    <row r="200" spans="2:8">
      <c r="B200" t="s">
        <v>1919</v>
      </c>
      <c r="C200" t="s">
        <v>1830</v>
      </c>
      <c r="D200">
        <v>1.9016160275919E-4</v>
      </c>
      <c r="E200" t="s">
        <v>94</v>
      </c>
      <c r="H200" t="s">
        <v>588</v>
      </c>
    </row>
    <row r="201" spans="2:8">
      <c r="B201" t="s">
        <v>1919</v>
      </c>
      <c r="C201" t="s">
        <v>1830</v>
      </c>
      <c r="D201">
        <v>1.5846800229932501E-3</v>
      </c>
      <c r="E201" t="s">
        <v>94</v>
      </c>
    </row>
    <row r="202" spans="2:8">
      <c r="B202" t="s">
        <v>1922</v>
      </c>
      <c r="C202" t="s">
        <v>667</v>
      </c>
      <c r="D202">
        <v>6.9450415200716101E-5</v>
      </c>
      <c r="E202" t="s">
        <v>94</v>
      </c>
      <c r="H202" t="s">
        <v>588</v>
      </c>
    </row>
    <row r="203" spans="2:8">
      <c r="B203" t="s">
        <v>1925</v>
      </c>
      <c r="C203" t="s">
        <v>857</v>
      </c>
      <c r="D203">
        <v>1.4584227752488399E-10</v>
      </c>
      <c r="E203" t="s">
        <v>616</v>
      </c>
      <c r="H203" t="s">
        <v>588</v>
      </c>
    </row>
    <row r="204" spans="2:8">
      <c r="B204" t="s">
        <v>1925</v>
      </c>
      <c r="C204" t="s">
        <v>857</v>
      </c>
      <c r="D204">
        <v>5.4259721586934105E-10</v>
      </c>
      <c r="E204" t="s">
        <v>616</v>
      </c>
      <c r="H204" t="s">
        <v>588</v>
      </c>
    </row>
    <row r="205" spans="2:8">
      <c r="B205" t="s">
        <v>1931</v>
      </c>
      <c r="C205" t="s">
        <v>857</v>
      </c>
      <c r="D205">
        <v>5.8298718769150699E-6</v>
      </c>
      <c r="E205" t="s">
        <v>626</v>
      </c>
      <c r="H205" t="s">
        <v>588</v>
      </c>
    </row>
    <row r="206" spans="2:8">
      <c r="B206" t="s">
        <v>1931</v>
      </c>
      <c r="C206" t="s">
        <v>857</v>
      </c>
      <c r="D206">
        <v>1.8839626301834901E-5</v>
      </c>
      <c r="E206" t="s">
        <v>626</v>
      </c>
      <c r="H206" t="s">
        <v>588</v>
      </c>
    </row>
    <row r="207" spans="2:8">
      <c r="B207" t="s">
        <v>1935</v>
      </c>
      <c r="C207" t="s">
        <v>857</v>
      </c>
      <c r="D207">
        <v>1.73693842113399E-6</v>
      </c>
      <c r="E207" t="s">
        <v>626</v>
      </c>
      <c r="H207" t="s">
        <v>588</v>
      </c>
    </row>
    <row r="208" spans="2:8">
      <c r="B208" t="s">
        <v>1935</v>
      </c>
      <c r="C208" t="s">
        <v>857</v>
      </c>
      <c r="D208">
        <v>1.1411045352792001E-6</v>
      </c>
      <c r="E208" t="s">
        <v>626</v>
      </c>
      <c r="H208" t="s">
        <v>588</v>
      </c>
    </row>
    <row r="209" spans="2:8">
      <c r="B209" t="s">
        <v>1942</v>
      </c>
      <c r="C209" t="s">
        <v>857</v>
      </c>
      <c r="D209">
        <v>1.46157349636098E-9</v>
      </c>
      <c r="E209" t="s">
        <v>616</v>
      </c>
      <c r="H209" t="s">
        <v>588</v>
      </c>
    </row>
    <row r="210" spans="2:8">
      <c r="B210" t="s">
        <v>1942</v>
      </c>
      <c r="C210" t="s">
        <v>857</v>
      </c>
      <c r="D210">
        <v>8.3396396805254096E-10</v>
      </c>
      <c r="E210" t="s">
        <v>616</v>
      </c>
      <c r="H210" t="s">
        <v>588</v>
      </c>
    </row>
    <row r="211" spans="2:8">
      <c r="B211" t="s">
        <v>1945</v>
      </c>
      <c r="C211" t="s">
        <v>857</v>
      </c>
      <c r="D211">
        <v>3.4464064863003999E-12</v>
      </c>
      <c r="E211" t="s">
        <v>616</v>
      </c>
      <c r="H211" t="s">
        <v>588</v>
      </c>
    </row>
    <row r="212" spans="2:8">
      <c r="B212" t="s">
        <v>1945</v>
      </c>
      <c r="C212" t="s">
        <v>857</v>
      </c>
      <c r="D212">
        <v>6.75099287671467E-12</v>
      </c>
      <c r="E212" t="s">
        <v>616</v>
      </c>
      <c r="H212" t="s">
        <v>588</v>
      </c>
    </row>
    <row r="213" spans="2:8">
      <c r="B213" t="s">
        <v>1947</v>
      </c>
      <c r="C213" t="s">
        <v>857</v>
      </c>
      <c r="D213">
        <v>2.1958669255555399E-5</v>
      </c>
      <c r="E213" t="s">
        <v>640</v>
      </c>
      <c r="H213" t="s">
        <v>588</v>
      </c>
    </row>
    <row r="214" spans="2:8">
      <c r="B214" t="s">
        <v>1947</v>
      </c>
      <c r="C214" t="s">
        <v>857</v>
      </c>
      <c r="D214">
        <v>2.0627882523918202E-6</v>
      </c>
      <c r="E214" t="s">
        <v>640</v>
      </c>
      <c r="H214" t="s">
        <v>588</v>
      </c>
    </row>
    <row r="215" spans="2:8">
      <c r="B215" t="s">
        <v>1953</v>
      </c>
      <c r="C215" t="s">
        <v>857</v>
      </c>
      <c r="D215">
        <v>1.1710321284085999E-10</v>
      </c>
      <c r="E215" t="s">
        <v>616</v>
      </c>
      <c r="H215" t="s">
        <v>588</v>
      </c>
    </row>
    <row r="216" spans="2:8">
      <c r="B216" t="s">
        <v>1955</v>
      </c>
      <c r="C216" t="s">
        <v>701</v>
      </c>
      <c r="D216">
        <v>3.7124228851423402E-4</v>
      </c>
      <c r="E216" t="s">
        <v>94</v>
      </c>
      <c r="H216" t="s">
        <v>588</v>
      </c>
    </row>
    <row r="217" spans="2:8">
      <c r="B217" t="s">
        <v>1959</v>
      </c>
      <c r="C217" t="s">
        <v>673</v>
      </c>
      <c r="D217">
        <v>2.85645033763269E-8</v>
      </c>
      <c r="E217" t="s">
        <v>94</v>
      </c>
      <c r="H217" t="s">
        <v>588</v>
      </c>
    </row>
    <row r="218" spans="2:8">
      <c r="B218" t="s">
        <v>1961</v>
      </c>
      <c r="C218" t="s">
        <v>1830</v>
      </c>
      <c r="D218">
        <v>2.07062305177322E-3</v>
      </c>
      <c r="E218" t="s">
        <v>94</v>
      </c>
    </row>
    <row r="219" spans="2:8">
      <c r="B219" t="s">
        <v>1961</v>
      </c>
      <c r="C219" t="s">
        <v>1830</v>
      </c>
      <c r="D219">
        <v>2.48474766212787E-4</v>
      </c>
      <c r="E219" t="s">
        <v>94</v>
      </c>
      <c r="H219" t="s">
        <v>588</v>
      </c>
    </row>
    <row r="220" spans="2:8">
      <c r="B220" t="s">
        <v>1964</v>
      </c>
      <c r="C220" t="s">
        <v>1830</v>
      </c>
      <c r="D220">
        <v>2.0862335108429298E-5</v>
      </c>
      <c r="E220" t="s">
        <v>94</v>
      </c>
    </row>
    <row r="221" spans="2:8">
      <c r="B221" t="s">
        <v>1964</v>
      </c>
      <c r="C221" t="s">
        <v>1830</v>
      </c>
      <c r="D221">
        <v>1.2803024021579399E-5</v>
      </c>
      <c r="E221" t="s">
        <v>94</v>
      </c>
    </row>
    <row r="222" spans="2:8">
      <c r="B222" t="s">
        <v>1964</v>
      </c>
      <c r="C222" t="s">
        <v>1830</v>
      </c>
      <c r="D222">
        <v>2.03695769264321E-3</v>
      </c>
      <c r="E222" t="s">
        <v>94</v>
      </c>
    </row>
    <row r="223" spans="2:8">
      <c r="B223" t="s">
        <v>1964</v>
      </c>
      <c r="C223" t="s">
        <v>1830</v>
      </c>
      <c r="D223">
        <v>2.48474766212787E-4</v>
      </c>
      <c r="E223" t="s">
        <v>94</v>
      </c>
      <c r="H223" t="s">
        <v>588</v>
      </c>
    </row>
    <row r="224" spans="2:8">
      <c r="B224" t="s">
        <v>1169</v>
      </c>
      <c r="C224" t="s">
        <v>1170</v>
      </c>
      <c r="D224">
        <v>3.7710443773250802E-4</v>
      </c>
      <c r="E224" t="s">
        <v>1171</v>
      </c>
      <c r="H224" t="s">
        <v>588</v>
      </c>
    </row>
    <row r="225" spans="2:8">
      <c r="B225" t="s">
        <v>1969</v>
      </c>
      <c r="C225" t="s">
        <v>1170</v>
      </c>
      <c r="D225">
        <v>6.4422786604144004E-5</v>
      </c>
      <c r="E225" t="s">
        <v>1171</v>
      </c>
      <c r="H225" t="s">
        <v>588</v>
      </c>
    </row>
    <row r="226" spans="2:8">
      <c r="B226" t="s">
        <v>1972</v>
      </c>
      <c r="C226" t="s">
        <v>1170</v>
      </c>
      <c r="D226">
        <v>1.92379227766263E-4</v>
      </c>
      <c r="E226" t="s">
        <v>1171</v>
      </c>
      <c r="H226" t="s">
        <v>588</v>
      </c>
    </row>
    <row r="227" spans="2:8">
      <c r="B227" t="s">
        <v>1174</v>
      </c>
      <c r="C227" t="s">
        <v>1170</v>
      </c>
      <c r="D227">
        <v>1.0562270570368899E-4</v>
      </c>
      <c r="E227" t="s">
        <v>1171</v>
      </c>
      <c r="H227" t="s">
        <v>588</v>
      </c>
    </row>
    <row r="228" spans="2:8">
      <c r="B228" t="s">
        <v>1176</v>
      </c>
      <c r="C228" t="s">
        <v>1170</v>
      </c>
      <c r="D228">
        <v>1.5409707679770701E-7</v>
      </c>
      <c r="E228" t="s">
        <v>94</v>
      </c>
      <c r="H228" t="s">
        <v>588</v>
      </c>
    </row>
    <row r="229" spans="2:8">
      <c r="B229" t="s">
        <v>1976</v>
      </c>
      <c r="C229" t="s">
        <v>1977</v>
      </c>
      <c r="D229">
        <v>1.34071578157887E-5</v>
      </c>
      <c r="E229" t="s">
        <v>1171</v>
      </c>
      <c r="H229" t="s">
        <v>588</v>
      </c>
    </row>
    <row r="230" spans="2:8">
      <c r="B230" t="s">
        <v>1979</v>
      </c>
      <c r="C230" t="s">
        <v>1977</v>
      </c>
      <c r="D230">
        <v>1.9368568221849901E-5</v>
      </c>
      <c r="E230" t="s">
        <v>94</v>
      </c>
      <c r="H230" t="s">
        <v>588</v>
      </c>
    </row>
    <row r="231" spans="2:8">
      <c r="B231" t="s">
        <v>1982</v>
      </c>
      <c r="C231" t="s">
        <v>667</v>
      </c>
      <c r="D231">
        <v>3.35283187292771E-9</v>
      </c>
      <c r="E231" t="s">
        <v>94</v>
      </c>
      <c r="H231" t="s">
        <v>588</v>
      </c>
    </row>
    <row r="232" spans="2:8">
      <c r="B232" t="s">
        <v>1986</v>
      </c>
      <c r="C232" t="s">
        <v>673</v>
      </c>
      <c r="D232">
        <v>2.1668987534826499E-8</v>
      </c>
      <c r="E232" t="s">
        <v>94</v>
      </c>
      <c r="H232" t="s">
        <v>588</v>
      </c>
    </row>
    <row r="233" spans="2:8">
      <c r="B233" t="s">
        <v>1986</v>
      </c>
      <c r="C233" t="s">
        <v>673</v>
      </c>
      <c r="D233">
        <v>2.1679843170124201E-8</v>
      </c>
      <c r="E233" t="s">
        <v>94</v>
      </c>
      <c r="H233" t="s">
        <v>588</v>
      </c>
    </row>
    <row r="234" spans="2:8">
      <c r="B234" t="s">
        <v>1991</v>
      </c>
      <c r="C234" t="s">
        <v>673</v>
      </c>
      <c r="D234">
        <v>2.7236137297021598E-7</v>
      </c>
      <c r="E234" t="s">
        <v>94</v>
      </c>
      <c r="H234" t="s">
        <v>588</v>
      </c>
    </row>
    <row r="235" spans="2:8">
      <c r="B235" t="s">
        <v>1991</v>
      </c>
      <c r="C235" t="s">
        <v>673</v>
      </c>
      <c r="D235">
        <v>2.67448061166476E-7</v>
      </c>
      <c r="E235" t="s">
        <v>94</v>
      </c>
      <c r="H235" t="s">
        <v>588</v>
      </c>
    </row>
    <row r="236" spans="2:8">
      <c r="B236" t="s">
        <v>1996</v>
      </c>
      <c r="C236" t="s">
        <v>587</v>
      </c>
      <c r="D236">
        <v>1.8939150799152501E-7</v>
      </c>
      <c r="E236" t="s">
        <v>94</v>
      </c>
      <c r="H236" t="s">
        <v>588</v>
      </c>
    </row>
    <row r="237" spans="2:8">
      <c r="B237" t="s">
        <v>1997</v>
      </c>
      <c r="C237" t="s">
        <v>676</v>
      </c>
      <c r="D237">
        <v>2.6924356139316E-2</v>
      </c>
      <c r="E237" t="s">
        <v>94</v>
      </c>
      <c r="H237" t="s">
        <v>588</v>
      </c>
    </row>
    <row r="238" spans="2:8">
      <c r="B238" t="s">
        <v>2001</v>
      </c>
      <c r="C238" t="s">
        <v>587</v>
      </c>
      <c r="D238">
        <v>2.6207095023308398E-3</v>
      </c>
      <c r="E238" t="s">
        <v>94</v>
      </c>
    </row>
    <row r="239" spans="2:8">
      <c r="B239" t="s">
        <v>2002</v>
      </c>
      <c r="C239" t="s">
        <v>569</v>
      </c>
      <c r="D239">
        <v>1.4355081780137899E-4</v>
      </c>
      <c r="E239" t="s">
        <v>94</v>
      </c>
      <c r="H239" t="s">
        <v>588</v>
      </c>
    </row>
    <row r="240" spans="2:8">
      <c r="B240" t="s">
        <v>2002</v>
      </c>
      <c r="C240" t="s">
        <v>569</v>
      </c>
      <c r="D240">
        <v>2.7226429443635999E-4</v>
      </c>
      <c r="E240" t="s">
        <v>94</v>
      </c>
      <c r="H240" t="s">
        <v>588</v>
      </c>
    </row>
    <row r="241" spans="2:8">
      <c r="B241" t="s">
        <v>923</v>
      </c>
      <c r="C241" t="s">
        <v>673</v>
      </c>
      <c r="D241">
        <v>1.1037071233758E-5</v>
      </c>
      <c r="E241" t="s">
        <v>94</v>
      </c>
      <c r="H241" t="s">
        <v>588</v>
      </c>
    </row>
    <row r="242" spans="2:8">
      <c r="B242" t="s">
        <v>923</v>
      </c>
      <c r="C242" t="s">
        <v>673</v>
      </c>
      <c r="D242">
        <v>6.40443092455378E-6</v>
      </c>
      <c r="E242" t="s">
        <v>94</v>
      </c>
      <c r="H242" t="s">
        <v>588</v>
      </c>
    </row>
    <row r="243" spans="2:8">
      <c r="B243" t="s">
        <v>2007</v>
      </c>
      <c r="C243" t="s">
        <v>809</v>
      </c>
      <c r="D243">
        <v>8.01586083929291E-4</v>
      </c>
      <c r="E243" t="s">
        <v>94</v>
      </c>
      <c r="H243" t="s">
        <v>588</v>
      </c>
    </row>
    <row r="244" spans="2:8">
      <c r="B244" t="s">
        <v>2007</v>
      </c>
      <c r="C244" t="s">
        <v>809</v>
      </c>
      <c r="D244">
        <v>8.1130866195497895E-4</v>
      </c>
      <c r="E244" t="s">
        <v>94</v>
      </c>
      <c r="H244" t="s">
        <v>588</v>
      </c>
    </row>
    <row r="245" spans="2:8">
      <c r="B245" t="s">
        <v>2007</v>
      </c>
      <c r="C245" t="s">
        <v>809</v>
      </c>
      <c r="D245">
        <v>1.36245829703817E-6</v>
      </c>
      <c r="E245" t="s">
        <v>94</v>
      </c>
      <c r="H245" t="s">
        <v>588</v>
      </c>
    </row>
    <row r="246" spans="2:8">
      <c r="B246" t="s">
        <v>2012</v>
      </c>
      <c r="C246" t="s">
        <v>587</v>
      </c>
      <c r="D246">
        <v>2.0013836069772799E-4</v>
      </c>
      <c r="E246" t="s">
        <v>94</v>
      </c>
      <c r="H246" t="s">
        <v>588</v>
      </c>
    </row>
    <row r="247" spans="2:8">
      <c r="B247" t="s">
        <v>2013</v>
      </c>
      <c r="C247" t="s">
        <v>1249</v>
      </c>
      <c r="D247">
        <v>1.5890808407941E-5</v>
      </c>
      <c r="E247" t="s">
        <v>94</v>
      </c>
      <c r="H247" t="s">
        <v>588</v>
      </c>
    </row>
    <row r="248" spans="2:8">
      <c r="B248" t="s">
        <v>2013</v>
      </c>
      <c r="C248" t="s">
        <v>1249</v>
      </c>
      <c r="D248">
        <v>1.5597982527528501E-5</v>
      </c>
      <c r="E248" t="s">
        <v>94</v>
      </c>
      <c r="H248" t="s">
        <v>588</v>
      </c>
    </row>
    <row r="249" spans="2:8">
      <c r="B249" t="s">
        <v>1180</v>
      </c>
      <c r="C249" t="s">
        <v>1170</v>
      </c>
      <c r="D249">
        <v>1.83121964336307E-6</v>
      </c>
      <c r="E249" t="s">
        <v>94</v>
      </c>
      <c r="H249" t="s">
        <v>588</v>
      </c>
    </row>
    <row r="250" spans="2:8">
      <c r="B250" t="s">
        <v>1186</v>
      </c>
      <c r="C250" t="s">
        <v>1170</v>
      </c>
      <c r="D250">
        <v>8.3237256516503097E-8</v>
      </c>
      <c r="E250" t="s">
        <v>94</v>
      </c>
      <c r="H250" t="s">
        <v>588</v>
      </c>
    </row>
    <row r="251" spans="2:8">
      <c r="B251" t="s">
        <v>2019</v>
      </c>
      <c r="C251" t="s">
        <v>673</v>
      </c>
      <c r="D251">
        <v>1.02099121380449E-5</v>
      </c>
      <c r="E251" t="s">
        <v>94</v>
      </c>
      <c r="H251" t="s">
        <v>588</v>
      </c>
    </row>
    <row r="252" spans="2:8">
      <c r="B252" t="s">
        <v>2022</v>
      </c>
      <c r="C252" t="s">
        <v>2023</v>
      </c>
      <c r="D252">
        <v>4.8153509142401497E-2</v>
      </c>
      <c r="E252" t="s">
        <v>94</v>
      </c>
      <c r="H252" t="s">
        <v>588</v>
      </c>
    </row>
    <row r="253" spans="2:8">
      <c r="B253" t="s">
        <v>2026</v>
      </c>
      <c r="C253" t="s">
        <v>673</v>
      </c>
      <c r="D253">
        <v>7.5550017975253901E-5</v>
      </c>
      <c r="E253" t="s">
        <v>94</v>
      </c>
      <c r="H253" t="s">
        <v>588</v>
      </c>
    </row>
    <row r="254" spans="2:8">
      <c r="B254" t="s">
        <v>2026</v>
      </c>
      <c r="C254" t="s">
        <v>673</v>
      </c>
      <c r="D254">
        <v>3.3649012136800901E-4</v>
      </c>
      <c r="E254" t="s">
        <v>94</v>
      </c>
      <c r="H254" t="s">
        <v>588</v>
      </c>
    </row>
    <row r="255" spans="2:8">
      <c r="B255" t="s">
        <v>2029</v>
      </c>
      <c r="C255" t="s">
        <v>673</v>
      </c>
      <c r="D255">
        <v>3.41059586416511E-4</v>
      </c>
      <c r="E255" t="s">
        <v>94</v>
      </c>
      <c r="H255" t="s">
        <v>588</v>
      </c>
    </row>
    <row r="256" spans="2:8">
      <c r="B256" t="s">
        <v>2033</v>
      </c>
      <c r="C256" t="s">
        <v>1249</v>
      </c>
      <c r="D256">
        <v>2.2617365255011101E-4</v>
      </c>
      <c r="E256" t="s">
        <v>94</v>
      </c>
      <c r="H256" t="s">
        <v>588</v>
      </c>
    </row>
    <row r="257" spans="2:8">
      <c r="B257" t="s">
        <v>2036</v>
      </c>
      <c r="C257" t="s">
        <v>673</v>
      </c>
      <c r="D257">
        <v>1.84783689954821E-5</v>
      </c>
      <c r="E257" t="s">
        <v>94</v>
      </c>
      <c r="H257" t="s">
        <v>588</v>
      </c>
    </row>
    <row r="258" spans="2:8">
      <c r="B258" t="s">
        <v>2039</v>
      </c>
      <c r="C258" t="s">
        <v>1830</v>
      </c>
      <c r="D258">
        <v>2.5761093764403902E-3</v>
      </c>
      <c r="E258" t="s">
        <v>94</v>
      </c>
    </row>
    <row r="259" spans="2:8">
      <c r="B259" t="s">
        <v>2039</v>
      </c>
      <c r="C259" t="s">
        <v>1830</v>
      </c>
      <c r="D259">
        <v>2.2299227954774101E-3</v>
      </c>
      <c r="E259" t="s">
        <v>94</v>
      </c>
    </row>
    <row r="260" spans="2:8">
      <c r="B260" t="s">
        <v>2039</v>
      </c>
      <c r="C260" t="s">
        <v>1830</v>
      </c>
      <c r="D260">
        <v>5.8965812731771904E-4</v>
      </c>
      <c r="E260" t="s">
        <v>94</v>
      </c>
      <c r="H260" t="s">
        <v>588</v>
      </c>
    </row>
    <row r="261" spans="2:8">
      <c r="B261" t="s">
        <v>2039</v>
      </c>
      <c r="C261" t="s">
        <v>1830</v>
      </c>
      <c r="D261">
        <v>7.1341508571402297E-5</v>
      </c>
      <c r="E261" t="s">
        <v>94</v>
      </c>
    </row>
    <row r="262" spans="2:8">
      <c r="B262" t="s">
        <v>2039</v>
      </c>
      <c r="C262" t="s">
        <v>1830</v>
      </c>
      <c r="D262">
        <v>3.64440471584618E-5</v>
      </c>
      <c r="E262" t="s">
        <v>94</v>
      </c>
    </row>
    <row r="263" spans="2:8">
      <c r="B263" t="s">
        <v>2042</v>
      </c>
      <c r="C263" t="s">
        <v>2043</v>
      </c>
      <c r="D263">
        <v>1.3635474688419299E-4</v>
      </c>
      <c r="E263" t="s">
        <v>94</v>
      </c>
      <c r="H263" t="s">
        <v>1733</v>
      </c>
    </row>
    <row r="264" spans="2:8">
      <c r="B264" t="s">
        <v>954</v>
      </c>
      <c r="C264" t="s">
        <v>821</v>
      </c>
      <c r="D264">
        <v>3.2542847398183698E-3</v>
      </c>
      <c r="E264" t="s">
        <v>94</v>
      </c>
      <c r="H264" t="s">
        <v>588</v>
      </c>
    </row>
    <row r="265" spans="2:8">
      <c r="B265" t="s">
        <v>2048</v>
      </c>
      <c r="C265" t="s">
        <v>1417</v>
      </c>
      <c r="D265">
        <v>1.48337986276191E-6</v>
      </c>
      <c r="E265" t="s">
        <v>94</v>
      </c>
      <c r="H265" t="s">
        <v>588</v>
      </c>
    </row>
    <row r="266" spans="2:8">
      <c r="B266" t="s">
        <v>2052</v>
      </c>
      <c r="C266" t="s">
        <v>1482</v>
      </c>
      <c r="D266">
        <v>7.3537702305855602E-9</v>
      </c>
      <c r="E266" t="s">
        <v>94</v>
      </c>
      <c r="H266" t="s">
        <v>588</v>
      </c>
    </row>
    <row r="267" spans="2:8">
      <c r="B267" t="s">
        <v>2055</v>
      </c>
      <c r="C267" t="s">
        <v>1862</v>
      </c>
      <c r="D267">
        <v>9.3660790544545605E-5</v>
      </c>
      <c r="E267" t="s">
        <v>94</v>
      </c>
      <c r="H267" t="s">
        <v>588</v>
      </c>
    </row>
    <row r="268" spans="2:8">
      <c r="B268" t="s">
        <v>2057</v>
      </c>
      <c r="C268" t="s">
        <v>701</v>
      </c>
      <c r="D268">
        <v>2.1188148361108199E-7</v>
      </c>
      <c r="E268" t="s">
        <v>94</v>
      </c>
      <c r="H268" t="s">
        <v>588</v>
      </c>
    </row>
    <row r="269" spans="2:8">
      <c r="B269" t="s">
        <v>2057</v>
      </c>
      <c r="C269" t="s">
        <v>701</v>
      </c>
      <c r="D269">
        <v>1.15917613320215E-7</v>
      </c>
      <c r="E269" t="s">
        <v>94</v>
      </c>
      <c r="H269" t="s">
        <v>588</v>
      </c>
    </row>
    <row r="270" spans="2:8">
      <c r="B270" t="s">
        <v>2059</v>
      </c>
      <c r="C270" t="s">
        <v>1830</v>
      </c>
      <c r="D270">
        <v>1.9016160275919E-4</v>
      </c>
      <c r="E270" t="s">
        <v>94</v>
      </c>
      <c r="H270" t="s">
        <v>588</v>
      </c>
    </row>
    <row r="271" spans="2:8">
      <c r="B271" t="s">
        <v>2059</v>
      </c>
      <c r="C271" t="s">
        <v>1830</v>
      </c>
      <c r="D271">
        <v>1.5846800229932501E-3</v>
      </c>
      <c r="E271" t="s">
        <v>94</v>
      </c>
    </row>
    <row r="272" spans="2:8">
      <c r="B272" t="s">
        <v>2062</v>
      </c>
      <c r="C272" t="s">
        <v>1830</v>
      </c>
      <c r="D272">
        <v>3.0574754363117402E-4</v>
      </c>
      <c r="E272" t="s">
        <v>94</v>
      </c>
      <c r="H272" t="s">
        <v>588</v>
      </c>
    </row>
    <row r="273" spans="2:8">
      <c r="B273" t="s">
        <v>2062</v>
      </c>
      <c r="C273" t="s">
        <v>1830</v>
      </c>
      <c r="D273">
        <v>2.54789619692645E-3</v>
      </c>
      <c r="E273" t="s">
        <v>94</v>
      </c>
    </row>
    <row r="274" spans="2:8">
      <c r="B274" t="s">
        <v>2065</v>
      </c>
      <c r="C274" t="s">
        <v>615</v>
      </c>
      <c r="D274">
        <v>5.9806655028001702E-13</v>
      </c>
      <c r="E274" t="s">
        <v>616</v>
      </c>
      <c r="H274" t="s">
        <v>588</v>
      </c>
    </row>
    <row r="275" spans="2:8">
      <c r="B275" t="s">
        <v>2065</v>
      </c>
      <c r="C275" t="s">
        <v>615</v>
      </c>
      <c r="D275">
        <v>5.2861931220493599E-15</v>
      </c>
      <c r="E275" t="s">
        <v>616</v>
      </c>
      <c r="H275" t="s">
        <v>588</v>
      </c>
    </row>
    <row r="276" spans="2:8">
      <c r="B276" t="s">
        <v>2071</v>
      </c>
      <c r="C276" t="s">
        <v>650</v>
      </c>
      <c r="D276">
        <v>1.73461552743685E-3</v>
      </c>
      <c r="E276" t="s">
        <v>94</v>
      </c>
      <c r="H276" t="s">
        <v>588</v>
      </c>
    </row>
    <row r="277" spans="2:8">
      <c r="B277" t="s">
        <v>2071</v>
      </c>
      <c r="C277" t="s">
        <v>650</v>
      </c>
      <c r="D277">
        <v>8.7276050604097304E-6</v>
      </c>
      <c r="E277" t="s">
        <v>94</v>
      </c>
      <c r="H277" t="s">
        <v>588</v>
      </c>
    </row>
    <row r="278" spans="2:8">
      <c r="B278" t="s">
        <v>2073</v>
      </c>
      <c r="C278" t="s">
        <v>650</v>
      </c>
      <c r="D278">
        <v>1.0386294615573499E-2</v>
      </c>
      <c r="E278" t="s">
        <v>94</v>
      </c>
      <c r="H278" t="s">
        <v>588</v>
      </c>
    </row>
    <row r="279" spans="2:8">
      <c r="B279" t="s">
        <v>2073</v>
      </c>
      <c r="C279" t="s">
        <v>650</v>
      </c>
      <c r="D279">
        <v>5.8704225920753899E-5</v>
      </c>
      <c r="E279" t="s">
        <v>94</v>
      </c>
      <c r="H279" t="s">
        <v>588</v>
      </c>
    </row>
    <row r="280" spans="2:8">
      <c r="B280" t="s">
        <v>2073</v>
      </c>
      <c r="C280" t="s">
        <v>650</v>
      </c>
      <c r="D280">
        <v>8.32230957717219E-4</v>
      </c>
      <c r="E280" t="s">
        <v>94</v>
      </c>
      <c r="H280" t="s">
        <v>588</v>
      </c>
    </row>
    <row r="281" spans="2:8">
      <c r="B281" t="s">
        <v>2073</v>
      </c>
      <c r="C281" t="s">
        <v>650</v>
      </c>
      <c r="D281">
        <v>3.19017804707429E-4</v>
      </c>
      <c r="E281" t="s">
        <v>94</v>
      </c>
      <c r="H281" t="s">
        <v>588</v>
      </c>
    </row>
    <row r="282" spans="2:8">
      <c r="B282" t="s">
        <v>2077</v>
      </c>
      <c r="C282" t="s">
        <v>650</v>
      </c>
      <c r="D282">
        <v>8.5625596259917799E-4</v>
      </c>
      <c r="E282" t="s">
        <v>94</v>
      </c>
      <c r="H282" t="s">
        <v>588</v>
      </c>
    </row>
    <row r="283" spans="2:8">
      <c r="B283" t="s">
        <v>2077</v>
      </c>
      <c r="C283" t="s">
        <v>650</v>
      </c>
      <c r="D283">
        <v>1.0386294615573499E-2</v>
      </c>
      <c r="E283" t="s">
        <v>94</v>
      </c>
      <c r="H283" t="s">
        <v>588</v>
      </c>
    </row>
    <row r="284" spans="2:8">
      <c r="B284" t="s">
        <v>2077</v>
      </c>
      <c r="C284" t="s">
        <v>650</v>
      </c>
      <c r="D284">
        <v>1.4902850027799401E-6</v>
      </c>
      <c r="E284" t="s">
        <v>94</v>
      </c>
      <c r="H284" t="s">
        <v>588</v>
      </c>
    </row>
    <row r="285" spans="2:8">
      <c r="B285" t="s">
        <v>2077</v>
      </c>
      <c r="C285" t="s">
        <v>650</v>
      </c>
      <c r="D285">
        <v>3.5220674074344503E-4</v>
      </c>
      <c r="E285" t="s">
        <v>94</v>
      </c>
      <c r="H285" t="s">
        <v>588</v>
      </c>
    </row>
    <row r="286" spans="2:8">
      <c r="B286" t="s">
        <v>1189</v>
      </c>
      <c r="C286" t="s">
        <v>650</v>
      </c>
      <c r="D286">
        <v>3.9589547223421104E-3</v>
      </c>
      <c r="E286" t="s">
        <v>94</v>
      </c>
      <c r="H286" t="s">
        <v>588</v>
      </c>
    </row>
    <row r="287" spans="2:8">
      <c r="B287" t="s">
        <v>1189</v>
      </c>
      <c r="C287" t="s">
        <v>650</v>
      </c>
      <c r="D287">
        <v>2.3279721325402201E-2</v>
      </c>
      <c r="E287" t="s">
        <v>94</v>
      </c>
      <c r="H287" t="s">
        <v>588</v>
      </c>
    </row>
    <row r="288" spans="2:8">
      <c r="B288" t="s">
        <v>1189</v>
      </c>
      <c r="C288" t="s">
        <v>650</v>
      </c>
      <c r="D288">
        <v>6.4637866208781304E-4</v>
      </c>
      <c r="E288" t="s">
        <v>94</v>
      </c>
      <c r="H288" t="s">
        <v>588</v>
      </c>
    </row>
    <row r="289" spans="2:8">
      <c r="B289" t="s">
        <v>1189</v>
      </c>
      <c r="C289" t="s">
        <v>650</v>
      </c>
      <c r="D289">
        <v>2.9683001576207499E-3</v>
      </c>
      <c r="E289" t="s">
        <v>94</v>
      </c>
      <c r="H289" t="s">
        <v>588</v>
      </c>
    </row>
    <row r="290" spans="2:8">
      <c r="B290" t="s">
        <v>1189</v>
      </c>
      <c r="C290" t="s">
        <v>650</v>
      </c>
      <c r="D290">
        <v>1.9775302825405399E-4</v>
      </c>
      <c r="E290" t="s">
        <v>94</v>
      </c>
      <c r="H290" t="s">
        <v>588</v>
      </c>
    </row>
    <row r="291" spans="2:8">
      <c r="B291" t="s">
        <v>1189</v>
      </c>
      <c r="C291" t="s">
        <v>650</v>
      </c>
      <c r="D291">
        <v>7.2285089961537799E-3</v>
      </c>
      <c r="E291" t="s">
        <v>94</v>
      </c>
      <c r="H291" t="s">
        <v>588</v>
      </c>
    </row>
    <row r="292" spans="2:8">
      <c r="B292" t="s">
        <v>1189</v>
      </c>
      <c r="C292" t="s">
        <v>650</v>
      </c>
      <c r="D292">
        <v>1.14112594541324E-4</v>
      </c>
      <c r="E292" t="s">
        <v>94</v>
      </c>
      <c r="H292" t="s">
        <v>588</v>
      </c>
    </row>
    <row r="293" spans="2:8">
      <c r="B293" t="s">
        <v>1189</v>
      </c>
      <c r="C293" t="s">
        <v>650</v>
      </c>
      <c r="D293">
        <v>1.6222313296922601E-4</v>
      </c>
      <c r="E293" t="s">
        <v>94</v>
      </c>
      <c r="H293" t="s">
        <v>588</v>
      </c>
    </row>
    <row r="294" spans="2:8">
      <c r="B294" t="s">
        <v>1189</v>
      </c>
      <c r="C294" t="s">
        <v>650</v>
      </c>
      <c r="D294">
        <v>3.4811747883986298E-2</v>
      </c>
      <c r="E294" t="s">
        <v>94</v>
      </c>
      <c r="H294" t="s">
        <v>588</v>
      </c>
    </row>
    <row r="295" spans="2:8">
      <c r="B295" t="s">
        <v>2081</v>
      </c>
      <c r="C295" t="s">
        <v>650</v>
      </c>
      <c r="D295">
        <v>2.6655585003964499E-8</v>
      </c>
      <c r="E295" t="s">
        <v>94</v>
      </c>
      <c r="H295" t="s">
        <v>588</v>
      </c>
    </row>
    <row r="296" spans="2:8">
      <c r="B296" t="s">
        <v>2081</v>
      </c>
      <c r="C296" t="s">
        <v>650</v>
      </c>
      <c r="D296">
        <v>2.33983043732712E-8</v>
      </c>
      <c r="E296" t="s">
        <v>94</v>
      </c>
      <c r="H296" t="s">
        <v>588</v>
      </c>
    </row>
    <row r="297" spans="2:8">
      <c r="B297" t="s">
        <v>2081</v>
      </c>
      <c r="C297" t="s">
        <v>650</v>
      </c>
      <c r="D297">
        <v>7.28059208715407E-7</v>
      </c>
      <c r="E297" t="s">
        <v>94</v>
      </c>
      <c r="H297" t="s">
        <v>588</v>
      </c>
    </row>
    <row r="298" spans="2:8">
      <c r="B298" t="s">
        <v>2081</v>
      </c>
      <c r="C298" t="s">
        <v>650</v>
      </c>
      <c r="D298">
        <v>1.2116841515354001E-7</v>
      </c>
      <c r="E298" t="s">
        <v>94</v>
      </c>
      <c r="H298" t="s">
        <v>588</v>
      </c>
    </row>
    <row r="299" spans="2:8">
      <c r="B299" t="s">
        <v>2081</v>
      </c>
      <c r="C299" t="s">
        <v>650</v>
      </c>
      <c r="D299">
        <v>5.6808363927381595E-7</v>
      </c>
      <c r="E299" t="s">
        <v>94</v>
      </c>
      <c r="H299" t="s">
        <v>588</v>
      </c>
    </row>
    <row r="300" spans="2:8">
      <c r="B300" t="s">
        <v>2081</v>
      </c>
      <c r="C300" t="s">
        <v>650</v>
      </c>
      <c r="D300">
        <v>1.7770318536430299E-7</v>
      </c>
      <c r="E300" t="s">
        <v>94</v>
      </c>
      <c r="H300" t="s">
        <v>588</v>
      </c>
    </row>
    <row r="301" spans="2:8">
      <c r="B301" t="s">
        <v>2081</v>
      </c>
      <c r="C301" t="s">
        <v>650</v>
      </c>
      <c r="D301">
        <v>2.4203511483394899E-6</v>
      </c>
      <c r="E301" t="s">
        <v>94</v>
      </c>
      <c r="H301" t="s">
        <v>588</v>
      </c>
    </row>
    <row r="302" spans="2:8">
      <c r="B302" t="s">
        <v>2081</v>
      </c>
      <c r="C302" t="s">
        <v>650</v>
      </c>
      <c r="D302">
        <v>5.5445604029249703E-7</v>
      </c>
      <c r="E302" t="s">
        <v>94</v>
      </c>
      <c r="H302" t="s">
        <v>588</v>
      </c>
    </row>
    <row r="303" spans="2:8">
      <c r="B303" t="s">
        <v>2081</v>
      </c>
      <c r="C303" t="s">
        <v>650</v>
      </c>
      <c r="D303">
        <v>1.4978333627445901E-3</v>
      </c>
      <c r="E303" t="s">
        <v>94</v>
      </c>
      <c r="H303" t="s">
        <v>588</v>
      </c>
    </row>
    <row r="304" spans="2:8">
      <c r="B304" t="s">
        <v>2081</v>
      </c>
      <c r="C304" t="s">
        <v>650</v>
      </c>
      <c r="D304">
        <v>8.2381018347453902E-10</v>
      </c>
      <c r="E304" t="s">
        <v>94</v>
      </c>
      <c r="H304" t="s">
        <v>588</v>
      </c>
    </row>
    <row r="305" spans="2:8">
      <c r="B305" t="s">
        <v>2081</v>
      </c>
      <c r="C305" t="s">
        <v>650</v>
      </c>
      <c r="D305">
        <v>2.6235030718788701E-8</v>
      </c>
      <c r="E305" t="s">
        <v>94</v>
      </c>
      <c r="H305" t="s">
        <v>588</v>
      </c>
    </row>
    <row r="306" spans="2:8">
      <c r="B306" t="s">
        <v>2084</v>
      </c>
      <c r="C306" t="s">
        <v>615</v>
      </c>
      <c r="D306">
        <v>1.79239103633242E-12</v>
      </c>
      <c r="E306" t="s">
        <v>616</v>
      </c>
      <c r="H306" t="s">
        <v>588</v>
      </c>
    </row>
    <row r="307" spans="2:8">
      <c r="B307" t="s">
        <v>2084</v>
      </c>
      <c r="C307" t="s">
        <v>615</v>
      </c>
      <c r="D307">
        <v>1.7909886960871599E-12</v>
      </c>
      <c r="E307" t="s">
        <v>616</v>
      </c>
      <c r="H307" t="s">
        <v>588</v>
      </c>
    </row>
    <row r="308" spans="2:8">
      <c r="B308" t="s">
        <v>2087</v>
      </c>
      <c r="C308" t="s">
        <v>2088</v>
      </c>
      <c r="D308">
        <v>6.9486873451018202E-4</v>
      </c>
      <c r="E308" t="s">
        <v>94</v>
      </c>
      <c r="H308" t="s">
        <v>588</v>
      </c>
    </row>
    <row r="309" spans="2:8">
      <c r="B309" t="s">
        <v>2091</v>
      </c>
      <c r="C309" t="s">
        <v>2092</v>
      </c>
      <c r="D309">
        <v>1.4030765887948801E-3</v>
      </c>
      <c r="E309" t="s">
        <v>94</v>
      </c>
      <c r="H309" t="s">
        <v>588</v>
      </c>
    </row>
    <row r="310" spans="2:8">
      <c r="B310" t="s">
        <v>2094</v>
      </c>
      <c r="C310" t="s">
        <v>948</v>
      </c>
      <c r="D310">
        <v>6.0870756309080204E-7</v>
      </c>
      <c r="E310" t="s">
        <v>94</v>
      </c>
      <c r="H310" t="s">
        <v>588</v>
      </c>
    </row>
    <row r="311" spans="2:8">
      <c r="B311" t="s">
        <v>2097</v>
      </c>
      <c r="C311" t="s">
        <v>948</v>
      </c>
      <c r="D311">
        <v>3.03845549779151E-6</v>
      </c>
      <c r="E311" t="s">
        <v>94</v>
      </c>
      <c r="H311" t="s">
        <v>588</v>
      </c>
    </row>
    <row r="312" spans="2:8">
      <c r="B312" t="s">
        <v>903</v>
      </c>
      <c r="C312" t="s">
        <v>615</v>
      </c>
      <c r="D312">
        <v>1.95124979545251E-12</v>
      </c>
      <c r="E312" t="s">
        <v>616</v>
      </c>
      <c r="H312" t="s">
        <v>588</v>
      </c>
    </row>
    <row r="313" spans="2:8">
      <c r="B313" t="s">
        <v>903</v>
      </c>
      <c r="C313" t="s">
        <v>615</v>
      </c>
      <c r="D313">
        <v>5.3248602904522398E-11</v>
      </c>
      <c r="E313" t="s">
        <v>616</v>
      </c>
      <c r="H313" t="s">
        <v>588</v>
      </c>
    </row>
    <row r="314" spans="2:8">
      <c r="B314" t="s">
        <v>1192</v>
      </c>
      <c r="C314" t="s">
        <v>673</v>
      </c>
      <c r="D314">
        <v>1.4668991583553701E-3</v>
      </c>
      <c r="E314" t="s">
        <v>94</v>
      </c>
      <c r="H314" t="s">
        <v>588</v>
      </c>
    </row>
    <row r="315" spans="2:8">
      <c r="B315" t="s">
        <v>2102</v>
      </c>
      <c r="C315" t="s">
        <v>2103</v>
      </c>
      <c r="D315">
        <v>4.6618516497893201E-9</v>
      </c>
      <c r="E315" t="s">
        <v>94</v>
      </c>
      <c r="H315" t="s">
        <v>588</v>
      </c>
    </row>
    <row r="316" spans="2:8">
      <c r="B316" t="s">
        <v>2102</v>
      </c>
      <c r="C316" t="s">
        <v>2103</v>
      </c>
      <c r="D316">
        <v>1.9461138399467701E-3</v>
      </c>
      <c r="E316" t="s">
        <v>94</v>
      </c>
      <c r="H316" t="s">
        <v>588</v>
      </c>
    </row>
    <row r="317" spans="2:8">
      <c r="B317" t="s">
        <v>2106</v>
      </c>
      <c r="C317" t="s">
        <v>2107</v>
      </c>
      <c r="D317">
        <v>5.3553404144939199E-9</v>
      </c>
      <c r="E317" t="s">
        <v>1171</v>
      </c>
      <c r="H317" t="s">
        <v>588</v>
      </c>
    </row>
    <row r="318" spans="2:8">
      <c r="B318" t="s">
        <v>2111</v>
      </c>
      <c r="C318" t="s">
        <v>673</v>
      </c>
      <c r="D318">
        <v>5.6661254791138802E-5</v>
      </c>
      <c r="E318" t="s">
        <v>94</v>
      </c>
      <c r="H318" t="s">
        <v>588</v>
      </c>
    </row>
    <row r="319" spans="2:8">
      <c r="B319" t="s">
        <v>2111</v>
      </c>
      <c r="C319" t="s">
        <v>673</v>
      </c>
      <c r="D319">
        <v>1.1915476313514099E-5</v>
      </c>
      <c r="E319" t="s">
        <v>94</v>
      </c>
      <c r="H319" t="s">
        <v>588</v>
      </c>
    </row>
    <row r="320" spans="2:8">
      <c r="B320" t="s">
        <v>2115</v>
      </c>
      <c r="C320" t="s">
        <v>667</v>
      </c>
      <c r="D320">
        <v>1.5320632821906699E-4</v>
      </c>
      <c r="E320" t="s">
        <v>94</v>
      </c>
      <c r="H320" t="s">
        <v>588</v>
      </c>
    </row>
    <row r="321" spans="2:8">
      <c r="B321" t="s">
        <v>2115</v>
      </c>
      <c r="C321" t="s">
        <v>667</v>
      </c>
      <c r="D321">
        <v>4.3336716179375303E-6</v>
      </c>
      <c r="E321" t="s">
        <v>94</v>
      </c>
      <c r="H321" t="s">
        <v>588</v>
      </c>
    </row>
    <row r="322" spans="2:8">
      <c r="B322" t="s">
        <v>2117</v>
      </c>
      <c r="C322" t="s">
        <v>673</v>
      </c>
      <c r="D322">
        <v>4.4157714785306498E-10</v>
      </c>
      <c r="E322" t="s">
        <v>94</v>
      </c>
      <c r="H322" t="s">
        <v>588</v>
      </c>
    </row>
    <row r="323" spans="2:8">
      <c r="B323" t="s">
        <v>2117</v>
      </c>
      <c r="C323" t="s">
        <v>673</v>
      </c>
      <c r="D323">
        <v>2.3046803525564999E-4</v>
      </c>
      <c r="E323" t="s">
        <v>94</v>
      </c>
      <c r="H323" t="s">
        <v>588</v>
      </c>
    </row>
    <row r="324" spans="2:8">
      <c r="B324" t="s">
        <v>2119</v>
      </c>
      <c r="C324" t="s">
        <v>1810</v>
      </c>
      <c r="D324">
        <v>5.8833054169521995E-7</v>
      </c>
      <c r="E324" t="s">
        <v>1811</v>
      </c>
      <c r="H324" t="s">
        <v>588</v>
      </c>
    </row>
    <row r="325" spans="2:8">
      <c r="B325" t="s">
        <v>2122</v>
      </c>
      <c r="C325" t="s">
        <v>569</v>
      </c>
      <c r="D325">
        <v>4.7358997714128098E-4</v>
      </c>
      <c r="E325" t="s">
        <v>94</v>
      </c>
      <c r="H325" t="s">
        <v>588</v>
      </c>
    </row>
    <row r="326" spans="2:8">
      <c r="B326" t="s">
        <v>1195</v>
      </c>
      <c r="C326" t="s">
        <v>667</v>
      </c>
      <c r="D326">
        <v>3.7466980162857897E-5</v>
      </c>
      <c r="E326" t="s">
        <v>94</v>
      </c>
      <c r="H326" t="s">
        <v>588</v>
      </c>
    </row>
    <row r="327" spans="2:8">
      <c r="B327" t="s">
        <v>2124</v>
      </c>
      <c r="C327" t="s">
        <v>821</v>
      </c>
      <c r="D327">
        <v>4.4936922845330398E-6</v>
      </c>
      <c r="E327" t="s">
        <v>94</v>
      </c>
      <c r="H327" t="s">
        <v>588</v>
      </c>
    </row>
    <row r="328" spans="2:8">
      <c r="B328" t="s">
        <v>2127</v>
      </c>
      <c r="C328" t="s">
        <v>1417</v>
      </c>
      <c r="D328">
        <v>1.57774488007075E-6</v>
      </c>
      <c r="E328" t="s">
        <v>94</v>
      </c>
      <c r="H328" t="s">
        <v>588</v>
      </c>
    </row>
    <row r="329" spans="2:8">
      <c r="B329" t="s">
        <v>2130</v>
      </c>
      <c r="C329" t="s">
        <v>1417</v>
      </c>
      <c r="D329">
        <v>1.89250997053407E-5</v>
      </c>
      <c r="E329" t="s">
        <v>94</v>
      </c>
      <c r="H329" t="s">
        <v>588</v>
      </c>
    </row>
    <row r="330" spans="2:8">
      <c r="B330" t="s">
        <v>2130</v>
      </c>
      <c r="C330" t="s">
        <v>1417</v>
      </c>
      <c r="D330">
        <v>3.9746879116612598E-5</v>
      </c>
      <c r="E330" t="s">
        <v>94</v>
      </c>
      <c r="H330" t="s">
        <v>588</v>
      </c>
    </row>
    <row r="331" spans="2:8">
      <c r="B331" t="s">
        <v>2136</v>
      </c>
      <c r="C331" t="s">
        <v>587</v>
      </c>
      <c r="D331">
        <v>1.9423984325064501E-8</v>
      </c>
      <c r="E331" t="s">
        <v>94</v>
      </c>
      <c r="H331" t="s">
        <v>588</v>
      </c>
    </row>
    <row r="332" spans="2:8">
      <c r="B332" t="s">
        <v>2137</v>
      </c>
      <c r="C332" t="s">
        <v>673</v>
      </c>
      <c r="D332">
        <v>1.8648034661159299E-4</v>
      </c>
      <c r="E332" t="s">
        <v>94</v>
      </c>
      <c r="H332" t="s">
        <v>588</v>
      </c>
    </row>
    <row r="333" spans="2:8">
      <c r="B333" t="s">
        <v>1197</v>
      </c>
      <c r="C333" t="s">
        <v>676</v>
      </c>
      <c r="D333">
        <v>3.0510380493996601E-2</v>
      </c>
      <c r="E333" t="s">
        <v>94</v>
      </c>
      <c r="H333" t="s">
        <v>588</v>
      </c>
    </row>
    <row r="334" spans="2:8">
      <c r="B334" t="s">
        <v>1197</v>
      </c>
      <c r="C334" t="s">
        <v>676</v>
      </c>
      <c r="D334">
        <v>3.4610968877809602E-3</v>
      </c>
      <c r="E334" t="s">
        <v>94</v>
      </c>
      <c r="H334" t="s">
        <v>588</v>
      </c>
    </row>
    <row r="335" spans="2:8">
      <c r="B335" t="s">
        <v>2141</v>
      </c>
      <c r="C335" t="s">
        <v>2088</v>
      </c>
      <c r="D335">
        <v>4.5821056171912403E-3</v>
      </c>
      <c r="E335" t="s">
        <v>94</v>
      </c>
      <c r="H335" t="s">
        <v>588</v>
      </c>
    </row>
    <row r="336" spans="2:8">
      <c r="B336" t="s">
        <v>2144</v>
      </c>
      <c r="C336" t="s">
        <v>615</v>
      </c>
      <c r="D336">
        <v>1.05433291456798E-11</v>
      </c>
      <c r="E336" t="s">
        <v>616</v>
      </c>
      <c r="H336" t="s">
        <v>588</v>
      </c>
    </row>
    <row r="337" spans="2:8">
      <c r="B337" t="s">
        <v>2144</v>
      </c>
      <c r="C337" t="s">
        <v>615</v>
      </c>
      <c r="D337">
        <v>1.7532358434536E-11</v>
      </c>
      <c r="E337" t="s">
        <v>616</v>
      </c>
      <c r="H337" t="s">
        <v>588</v>
      </c>
    </row>
    <row r="338" spans="2:8">
      <c r="B338" t="s">
        <v>2148</v>
      </c>
      <c r="C338" t="s">
        <v>587</v>
      </c>
      <c r="D338">
        <v>3.1087917997211799E-2</v>
      </c>
      <c r="E338" t="s">
        <v>94</v>
      </c>
    </row>
    <row r="339" spans="2:8">
      <c r="B339" t="s">
        <v>2149</v>
      </c>
      <c r="C339" t="s">
        <v>587</v>
      </c>
      <c r="D339">
        <v>2.1692340153616599E-6</v>
      </c>
      <c r="E339" t="s">
        <v>94</v>
      </c>
    </row>
    <row r="340" spans="2:8">
      <c r="B340" t="s">
        <v>2150</v>
      </c>
      <c r="C340" t="s">
        <v>708</v>
      </c>
      <c r="D340">
        <v>1.41446740657766E-5</v>
      </c>
      <c r="E340" t="s">
        <v>94</v>
      </c>
      <c r="H340" t="s">
        <v>588</v>
      </c>
    </row>
    <row r="341" spans="2:8">
      <c r="B341" t="s">
        <v>2153</v>
      </c>
      <c r="C341" t="s">
        <v>650</v>
      </c>
      <c r="D341">
        <v>7.4801741447843601E-8</v>
      </c>
      <c r="E341" t="s">
        <v>94</v>
      </c>
      <c r="H341" t="s">
        <v>588</v>
      </c>
    </row>
    <row r="342" spans="2:8">
      <c r="B342" t="s">
        <v>2153</v>
      </c>
      <c r="C342" t="s">
        <v>650</v>
      </c>
      <c r="D342">
        <v>5.83494627812218E-8</v>
      </c>
      <c r="E342" t="s">
        <v>94</v>
      </c>
      <c r="H342" t="s">
        <v>588</v>
      </c>
    </row>
    <row r="343" spans="2:8">
      <c r="B343" t="s">
        <v>2153</v>
      </c>
      <c r="C343" t="s">
        <v>650</v>
      </c>
      <c r="D343">
        <v>1.1942680292431001E-6</v>
      </c>
      <c r="E343" t="s">
        <v>94</v>
      </c>
      <c r="H343" t="s">
        <v>588</v>
      </c>
    </row>
    <row r="344" spans="2:8">
      <c r="B344" t="s">
        <v>2153</v>
      </c>
      <c r="C344" t="s">
        <v>650</v>
      </c>
      <c r="D344">
        <v>1.11613834508701E-6</v>
      </c>
      <c r="E344" t="s">
        <v>94</v>
      </c>
      <c r="H344" t="s">
        <v>588</v>
      </c>
    </row>
    <row r="345" spans="2:8">
      <c r="B345" t="s">
        <v>2153</v>
      </c>
      <c r="C345" t="s">
        <v>650</v>
      </c>
      <c r="D345">
        <v>4.4768720230304002E-8</v>
      </c>
      <c r="E345" t="s">
        <v>94</v>
      </c>
      <c r="H345" t="s">
        <v>588</v>
      </c>
    </row>
    <row r="346" spans="2:8">
      <c r="B346" t="s">
        <v>2153</v>
      </c>
      <c r="C346" t="s">
        <v>650</v>
      </c>
      <c r="D346">
        <v>1.8210678261946001E-8</v>
      </c>
      <c r="E346" t="s">
        <v>94</v>
      </c>
      <c r="H346" t="s">
        <v>588</v>
      </c>
    </row>
    <row r="347" spans="2:8">
      <c r="B347" t="s">
        <v>2153</v>
      </c>
      <c r="C347" t="s">
        <v>650</v>
      </c>
      <c r="D347">
        <v>2.51556049407762E-7</v>
      </c>
      <c r="E347" t="s">
        <v>94</v>
      </c>
      <c r="H347" t="s">
        <v>588</v>
      </c>
    </row>
    <row r="348" spans="2:8">
      <c r="B348" t="s">
        <v>2153</v>
      </c>
      <c r="C348" t="s">
        <v>650</v>
      </c>
      <c r="D348">
        <v>3.5810369807917001E-6</v>
      </c>
      <c r="E348" t="s">
        <v>94</v>
      </c>
      <c r="H348" t="s">
        <v>588</v>
      </c>
    </row>
    <row r="349" spans="2:8">
      <c r="B349" t="s">
        <v>2155</v>
      </c>
      <c r="C349" t="s">
        <v>587</v>
      </c>
      <c r="D349">
        <v>3.4820814342434799E-3</v>
      </c>
      <c r="E349" t="s">
        <v>94</v>
      </c>
    </row>
    <row r="350" spans="2:8">
      <c r="B350" t="s">
        <v>2156</v>
      </c>
      <c r="C350" t="s">
        <v>587</v>
      </c>
      <c r="D350">
        <v>1.53357307327485E-2</v>
      </c>
      <c r="E350" t="s">
        <v>94</v>
      </c>
    </row>
    <row r="351" spans="2:8">
      <c r="B351" t="s">
        <v>1200</v>
      </c>
      <c r="C351" t="s">
        <v>1143</v>
      </c>
      <c r="D351">
        <v>1.02144986696076E-6</v>
      </c>
      <c r="E351" t="s">
        <v>94</v>
      </c>
      <c r="H351" t="s">
        <v>588</v>
      </c>
    </row>
    <row r="352" spans="2:8">
      <c r="B352" t="s">
        <v>1200</v>
      </c>
      <c r="C352" t="s">
        <v>1143</v>
      </c>
      <c r="D352">
        <v>5.0445123300751003E-7</v>
      </c>
      <c r="E352" t="s">
        <v>94</v>
      </c>
      <c r="H352" t="s">
        <v>588</v>
      </c>
    </row>
    <row r="353" spans="2:8">
      <c r="B353" t="s">
        <v>669</v>
      </c>
      <c r="C353" t="s">
        <v>670</v>
      </c>
      <c r="D353">
        <v>1.5987818560378501E-5</v>
      </c>
      <c r="E353" t="s">
        <v>94</v>
      </c>
      <c r="H353" t="s">
        <v>588</v>
      </c>
    </row>
    <row r="354" spans="2:8">
      <c r="B354" t="s">
        <v>2158</v>
      </c>
      <c r="C354" t="s">
        <v>2159</v>
      </c>
      <c r="D354">
        <v>1.8555128408804901E-4</v>
      </c>
      <c r="E354" t="s">
        <v>94</v>
      </c>
    </row>
    <row r="355" spans="2:8">
      <c r="B355" t="s">
        <v>2158</v>
      </c>
      <c r="C355" t="s">
        <v>2159</v>
      </c>
      <c r="D355">
        <v>3.74801220622905E-4</v>
      </c>
      <c r="E355" t="s">
        <v>94</v>
      </c>
    </row>
    <row r="356" spans="2:8">
      <c r="B356" t="s">
        <v>2158</v>
      </c>
      <c r="C356" t="s">
        <v>2159</v>
      </c>
      <c r="D356">
        <v>1.7451068918030601E-4</v>
      </c>
      <c r="E356" t="s">
        <v>94</v>
      </c>
    </row>
    <row r="357" spans="2:8">
      <c r="B357" t="s">
        <v>2158</v>
      </c>
      <c r="C357" t="s">
        <v>2159</v>
      </c>
      <c r="D357">
        <v>1.2775526698030401E-4</v>
      </c>
      <c r="E357" t="s">
        <v>94</v>
      </c>
    </row>
    <row r="358" spans="2:8">
      <c r="B358" t="s">
        <v>2158</v>
      </c>
      <c r="C358" t="s">
        <v>2159</v>
      </c>
      <c r="D358">
        <v>3.2976403094460899E-4</v>
      </c>
      <c r="E358" t="s">
        <v>94</v>
      </c>
    </row>
    <row r="359" spans="2:8">
      <c r="B359" t="s">
        <v>2162</v>
      </c>
      <c r="C359" t="s">
        <v>2163</v>
      </c>
      <c r="D359">
        <v>7.1060219087974903E-4</v>
      </c>
      <c r="E359" t="s">
        <v>94</v>
      </c>
      <c r="H359" t="s">
        <v>588</v>
      </c>
    </row>
    <row r="360" spans="2:8">
      <c r="B360" t="s">
        <v>2166</v>
      </c>
      <c r="C360" t="s">
        <v>2167</v>
      </c>
      <c r="D360">
        <v>2.20163723381147E-4</v>
      </c>
      <c r="E360" t="s">
        <v>94</v>
      </c>
      <c r="H360" t="s">
        <v>588</v>
      </c>
    </row>
    <row r="361" spans="2:8">
      <c r="B361" t="s">
        <v>2166</v>
      </c>
      <c r="C361" t="s">
        <v>2167</v>
      </c>
      <c r="D361">
        <v>2.2008883978758299E-4</v>
      </c>
      <c r="E361" t="s">
        <v>94</v>
      </c>
      <c r="H361" t="s">
        <v>588</v>
      </c>
    </row>
    <row r="362" spans="2:8">
      <c r="B362" t="s">
        <v>2172</v>
      </c>
      <c r="C362" t="s">
        <v>2173</v>
      </c>
      <c r="D362">
        <v>4.8886722015561097E-8</v>
      </c>
      <c r="E362" t="s">
        <v>616</v>
      </c>
      <c r="H362" t="s">
        <v>588</v>
      </c>
    </row>
    <row r="363" spans="2:8">
      <c r="B363" t="s">
        <v>2176</v>
      </c>
      <c r="C363" t="s">
        <v>2159</v>
      </c>
      <c r="D363">
        <v>2.4434725092351098E-4</v>
      </c>
      <c r="E363" t="s">
        <v>94</v>
      </c>
    </row>
    <row r="364" spans="2:8">
      <c r="B364" t="s">
        <v>2176</v>
      </c>
      <c r="C364" t="s">
        <v>2159</v>
      </c>
      <c r="D364">
        <v>2.2012469156527401E-5</v>
      </c>
      <c r="E364" t="s">
        <v>94</v>
      </c>
    </row>
    <row r="365" spans="2:8">
      <c r="B365" t="s">
        <v>2176</v>
      </c>
      <c r="C365" t="s">
        <v>2159</v>
      </c>
      <c r="D365">
        <v>7.70167318471915E-5</v>
      </c>
      <c r="E365" t="s">
        <v>94</v>
      </c>
    </row>
    <row r="366" spans="2:8">
      <c r="B366" t="s">
        <v>2176</v>
      </c>
      <c r="C366" t="s">
        <v>2159</v>
      </c>
      <c r="D366">
        <v>1.01225223128557E-5</v>
      </c>
      <c r="E366" t="s">
        <v>94</v>
      </c>
    </row>
    <row r="367" spans="2:8">
      <c r="B367" t="s">
        <v>2176</v>
      </c>
      <c r="C367" t="s">
        <v>2159</v>
      </c>
      <c r="D367">
        <v>2.2800002794421599E-4</v>
      </c>
      <c r="E367" t="s">
        <v>94</v>
      </c>
    </row>
    <row r="368" spans="2:8">
      <c r="B368" t="s">
        <v>2176</v>
      </c>
      <c r="C368" t="s">
        <v>2159</v>
      </c>
      <c r="D368">
        <v>5.3231988951389102E-5</v>
      </c>
      <c r="E368" t="s">
        <v>94</v>
      </c>
    </row>
    <row r="369" spans="2:8">
      <c r="B369" t="s">
        <v>2176</v>
      </c>
      <c r="C369" t="s">
        <v>2159</v>
      </c>
      <c r="D369">
        <v>7.4192786238366903E-5</v>
      </c>
      <c r="E369" t="s">
        <v>94</v>
      </c>
    </row>
    <row r="370" spans="2:8">
      <c r="B370" t="s">
        <v>2176</v>
      </c>
      <c r="C370" t="s">
        <v>2159</v>
      </c>
      <c r="D370">
        <v>3.0359518745224499E-5</v>
      </c>
      <c r="E370" t="s">
        <v>94</v>
      </c>
    </row>
    <row r="371" spans="2:8">
      <c r="B371" t="s">
        <v>2176</v>
      </c>
      <c r="C371" t="s">
        <v>2159</v>
      </c>
      <c r="D371">
        <v>5.4688394241693201E-5</v>
      </c>
      <c r="E371" t="s">
        <v>94</v>
      </c>
    </row>
    <row r="372" spans="2:8">
      <c r="B372" t="s">
        <v>2176</v>
      </c>
      <c r="C372" t="s">
        <v>2159</v>
      </c>
      <c r="D372">
        <v>1.11802708572885E-4</v>
      </c>
      <c r="E372" t="s">
        <v>94</v>
      </c>
    </row>
    <row r="373" spans="2:8">
      <c r="B373" t="s">
        <v>2176</v>
      </c>
      <c r="C373" t="s">
        <v>2159</v>
      </c>
      <c r="D373">
        <v>1.37717547746397E-4</v>
      </c>
      <c r="E373" t="s">
        <v>94</v>
      </c>
    </row>
    <row r="374" spans="2:8">
      <c r="B374" t="s">
        <v>823</v>
      </c>
      <c r="C374" t="s">
        <v>795</v>
      </c>
      <c r="D374">
        <v>2.4081632167822699E-2</v>
      </c>
      <c r="E374" t="s">
        <v>607</v>
      </c>
      <c r="H374" t="s">
        <v>588</v>
      </c>
    </row>
    <row r="375" spans="2:8">
      <c r="B375" t="s">
        <v>823</v>
      </c>
      <c r="C375" t="s">
        <v>795</v>
      </c>
      <c r="D375">
        <v>5.3187694184963E-4</v>
      </c>
      <c r="E375" t="s">
        <v>607</v>
      </c>
      <c r="H375" t="s">
        <v>588</v>
      </c>
    </row>
    <row r="376" spans="2:8">
      <c r="B376" t="s">
        <v>2180</v>
      </c>
      <c r="C376" t="s">
        <v>2181</v>
      </c>
      <c r="D376">
        <v>1.9850931443696002E-5</v>
      </c>
      <c r="E376" t="s">
        <v>616</v>
      </c>
      <c r="H376" t="s">
        <v>588</v>
      </c>
    </row>
    <row r="377" spans="2:8">
      <c r="B377" t="s">
        <v>2184</v>
      </c>
      <c r="C377" t="s">
        <v>787</v>
      </c>
      <c r="D377">
        <v>4.1093415572799798E-3</v>
      </c>
      <c r="E377" t="s">
        <v>94</v>
      </c>
      <c r="H377" t="s">
        <v>588</v>
      </c>
    </row>
    <row r="378" spans="2:8">
      <c r="B378" t="s">
        <v>2187</v>
      </c>
      <c r="C378" t="s">
        <v>673</v>
      </c>
      <c r="D378">
        <v>3.6157750783327102E-5</v>
      </c>
      <c r="E378" t="s">
        <v>640</v>
      </c>
      <c r="H378" t="s">
        <v>588</v>
      </c>
    </row>
    <row r="379" spans="2:8">
      <c r="B379" t="s">
        <v>2187</v>
      </c>
      <c r="C379" t="s">
        <v>673</v>
      </c>
      <c r="D379">
        <v>3.0358673375088799E-5</v>
      </c>
      <c r="E379" t="s">
        <v>640</v>
      </c>
      <c r="H379" t="s">
        <v>588</v>
      </c>
    </row>
    <row r="380" spans="2:8">
      <c r="B380" t="s">
        <v>2190</v>
      </c>
      <c r="C380" t="s">
        <v>673</v>
      </c>
      <c r="D380">
        <v>1.8403594683593101E-3</v>
      </c>
      <c r="E380" t="s">
        <v>640</v>
      </c>
      <c r="H380" t="s">
        <v>588</v>
      </c>
    </row>
    <row r="381" spans="2:8">
      <c r="B381" t="s">
        <v>2194</v>
      </c>
      <c r="C381" t="s">
        <v>673</v>
      </c>
      <c r="D381">
        <v>1.1689212003465299E-5</v>
      </c>
      <c r="E381" t="s">
        <v>640</v>
      </c>
      <c r="H381" t="s">
        <v>588</v>
      </c>
    </row>
    <row r="382" spans="2:8">
      <c r="B382" t="s">
        <v>2194</v>
      </c>
      <c r="C382" t="s">
        <v>673</v>
      </c>
      <c r="D382">
        <v>2.87260583277957E-5</v>
      </c>
      <c r="E382" t="s">
        <v>640</v>
      </c>
      <c r="H382" t="s">
        <v>588</v>
      </c>
    </row>
    <row r="383" spans="2:8">
      <c r="B383" t="s">
        <v>2197</v>
      </c>
      <c r="C383" t="s">
        <v>2198</v>
      </c>
      <c r="D383">
        <v>2.1394987983149301E-7</v>
      </c>
      <c r="E383" t="s">
        <v>616</v>
      </c>
      <c r="H383" t="s">
        <v>588</v>
      </c>
    </row>
    <row r="384" spans="2:8">
      <c r="B384" t="s">
        <v>2201</v>
      </c>
      <c r="C384" t="s">
        <v>2202</v>
      </c>
      <c r="D384">
        <v>1.31340221046046E-4</v>
      </c>
      <c r="E384" t="s">
        <v>94</v>
      </c>
      <c r="H384" t="s">
        <v>588</v>
      </c>
    </row>
    <row r="385" spans="2:8">
      <c r="B385" t="s">
        <v>2201</v>
      </c>
      <c r="C385" t="s">
        <v>2202</v>
      </c>
      <c r="D385">
        <v>2.8997191659516699E-4</v>
      </c>
      <c r="E385" t="s">
        <v>94</v>
      </c>
      <c r="H385" t="s">
        <v>588</v>
      </c>
    </row>
    <row r="386" spans="2:8">
      <c r="B386" t="s">
        <v>2201</v>
      </c>
      <c r="C386" t="s">
        <v>2202</v>
      </c>
      <c r="D386">
        <v>4.1547643612564901E-4</v>
      </c>
      <c r="E386" t="s">
        <v>94</v>
      </c>
      <c r="H386" t="s">
        <v>588</v>
      </c>
    </row>
    <row r="387" spans="2:8">
      <c r="B387" t="s">
        <v>2205</v>
      </c>
      <c r="C387" t="s">
        <v>615</v>
      </c>
      <c r="D387">
        <v>4.0028479404563902E-11</v>
      </c>
      <c r="E387" t="s">
        <v>616</v>
      </c>
      <c r="H387" t="s">
        <v>588</v>
      </c>
    </row>
    <row r="388" spans="2:8">
      <c r="B388" t="s">
        <v>2205</v>
      </c>
      <c r="C388" t="s">
        <v>615</v>
      </c>
      <c r="D388">
        <v>6.88652951259529E-12</v>
      </c>
      <c r="E388" t="s">
        <v>616</v>
      </c>
      <c r="H388" t="s">
        <v>588</v>
      </c>
    </row>
    <row r="389" spans="2:8">
      <c r="B389" t="s">
        <v>2211</v>
      </c>
      <c r="C389" t="s">
        <v>2202</v>
      </c>
      <c r="D389">
        <v>2.13002484339329E-10</v>
      </c>
      <c r="E389" t="s">
        <v>640</v>
      </c>
      <c r="H389" t="s">
        <v>588</v>
      </c>
    </row>
    <row r="390" spans="2:8">
      <c r="B390" t="s">
        <v>2211</v>
      </c>
      <c r="C390" t="s">
        <v>2202</v>
      </c>
      <c r="D390">
        <v>8.5134755222462306E-12</v>
      </c>
      <c r="E390" t="s">
        <v>640</v>
      </c>
      <c r="H390" t="s">
        <v>588</v>
      </c>
    </row>
    <row r="391" spans="2:8">
      <c r="B391" t="s">
        <v>2211</v>
      </c>
      <c r="C391" t="s">
        <v>2202</v>
      </c>
      <c r="D391">
        <v>1.7576572318714899E-9</v>
      </c>
      <c r="E391" t="s">
        <v>640</v>
      </c>
      <c r="H391" t="s">
        <v>588</v>
      </c>
    </row>
    <row r="392" spans="2:8">
      <c r="B392" t="s">
        <v>2211</v>
      </c>
      <c r="C392" t="s">
        <v>2202</v>
      </c>
      <c r="D392">
        <v>1.3319477094070399E-12</v>
      </c>
      <c r="E392" t="s">
        <v>640</v>
      </c>
      <c r="H392" t="s">
        <v>588</v>
      </c>
    </row>
    <row r="393" spans="2:8">
      <c r="B393" t="s">
        <v>2213</v>
      </c>
      <c r="C393" t="s">
        <v>2202</v>
      </c>
      <c r="D393">
        <v>1.17002144781743E-6</v>
      </c>
      <c r="E393" t="s">
        <v>640</v>
      </c>
      <c r="H393" t="s">
        <v>588</v>
      </c>
    </row>
    <row r="394" spans="2:8">
      <c r="B394" t="s">
        <v>2215</v>
      </c>
      <c r="C394" t="s">
        <v>2202</v>
      </c>
      <c r="D394">
        <v>1.4579516281330699E-5</v>
      </c>
      <c r="E394" t="s">
        <v>640</v>
      </c>
      <c r="H394" t="s">
        <v>588</v>
      </c>
    </row>
    <row r="395" spans="2:8">
      <c r="B395" t="s">
        <v>2215</v>
      </c>
      <c r="C395" t="s">
        <v>2202</v>
      </c>
      <c r="D395">
        <v>1.0089555766771399E-5</v>
      </c>
      <c r="E395" t="s">
        <v>640</v>
      </c>
      <c r="H395" t="s">
        <v>588</v>
      </c>
    </row>
    <row r="396" spans="2:8">
      <c r="B396" t="s">
        <v>2215</v>
      </c>
      <c r="C396" t="s">
        <v>2202</v>
      </c>
      <c r="D396">
        <v>4.8313783590507197E-7</v>
      </c>
      <c r="E396" t="s">
        <v>640</v>
      </c>
      <c r="H396" t="s">
        <v>588</v>
      </c>
    </row>
    <row r="397" spans="2:8">
      <c r="B397" t="s">
        <v>2215</v>
      </c>
      <c r="C397" t="s">
        <v>2202</v>
      </c>
      <c r="D397">
        <v>1.35569372619876E-6</v>
      </c>
      <c r="E397" t="s">
        <v>640</v>
      </c>
      <c r="H397" t="s">
        <v>588</v>
      </c>
    </row>
    <row r="398" spans="2:8">
      <c r="B398" t="s">
        <v>2215</v>
      </c>
      <c r="C398" t="s">
        <v>2202</v>
      </c>
      <c r="D398">
        <v>1.59298963840246E-5</v>
      </c>
      <c r="E398" t="s">
        <v>640</v>
      </c>
      <c r="H398" t="s">
        <v>588</v>
      </c>
    </row>
    <row r="399" spans="2:8">
      <c r="B399" t="s">
        <v>2215</v>
      </c>
      <c r="C399" t="s">
        <v>2202</v>
      </c>
      <c r="D399">
        <v>2.2036519275732301E-5</v>
      </c>
      <c r="E399" t="s">
        <v>640</v>
      </c>
      <c r="H399" t="s">
        <v>588</v>
      </c>
    </row>
    <row r="400" spans="2:8">
      <c r="B400" t="s">
        <v>2215</v>
      </c>
      <c r="C400" t="s">
        <v>2202</v>
      </c>
      <c r="D400">
        <v>1.3236159115265101E-5</v>
      </c>
      <c r="E400" t="s">
        <v>640</v>
      </c>
      <c r="H400" t="s">
        <v>588</v>
      </c>
    </row>
    <row r="401" spans="2:8">
      <c r="B401" t="s">
        <v>2215</v>
      </c>
      <c r="C401" t="s">
        <v>2202</v>
      </c>
      <c r="D401">
        <v>1.4120101194425E-5</v>
      </c>
      <c r="E401" t="s">
        <v>640</v>
      </c>
      <c r="H401" t="s">
        <v>588</v>
      </c>
    </row>
    <row r="402" spans="2:8">
      <c r="B402" t="s">
        <v>2215</v>
      </c>
      <c r="C402" t="s">
        <v>2202</v>
      </c>
      <c r="D402">
        <v>4.4230671073000498E-6</v>
      </c>
      <c r="E402" t="s">
        <v>640</v>
      </c>
      <c r="H402" t="s">
        <v>588</v>
      </c>
    </row>
    <row r="403" spans="2:8">
      <c r="B403" t="s">
        <v>2225</v>
      </c>
      <c r="C403" t="s">
        <v>2202</v>
      </c>
      <c r="D403">
        <v>3.2647282510724402E-7</v>
      </c>
      <c r="E403" t="s">
        <v>640</v>
      </c>
      <c r="H403" t="s">
        <v>588</v>
      </c>
    </row>
    <row r="404" spans="2:8">
      <c r="B404" t="s">
        <v>2228</v>
      </c>
      <c r="C404" t="s">
        <v>2043</v>
      </c>
      <c r="D404">
        <v>8.1766242990038605E-4</v>
      </c>
      <c r="E404" t="s">
        <v>94</v>
      </c>
      <c r="H404" t="s">
        <v>588</v>
      </c>
    </row>
    <row r="405" spans="2:8">
      <c r="B405" t="s">
        <v>2231</v>
      </c>
      <c r="C405" t="s">
        <v>2043</v>
      </c>
      <c r="D405">
        <v>1.0973798896779399E-3</v>
      </c>
      <c r="E405" t="s">
        <v>94</v>
      </c>
      <c r="H405" t="s">
        <v>588</v>
      </c>
    </row>
    <row r="406" spans="2:8">
      <c r="B406" t="s">
        <v>2233</v>
      </c>
      <c r="C406" t="s">
        <v>2234</v>
      </c>
      <c r="D406">
        <v>4.8503991116132004E-10</v>
      </c>
      <c r="E406" t="s">
        <v>616</v>
      </c>
      <c r="H406" t="s">
        <v>588</v>
      </c>
    </row>
    <row r="407" spans="2:8">
      <c r="B407" t="s">
        <v>2237</v>
      </c>
      <c r="C407" t="s">
        <v>1489</v>
      </c>
      <c r="D407">
        <v>1.27564908502321E-6</v>
      </c>
      <c r="E407" t="s">
        <v>94</v>
      </c>
      <c r="H407" t="s">
        <v>588</v>
      </c>
    </row>
    <row r="408" spans="2:8">
      <c r="B408" t="s">
        <v>2239</v>
      </c>
      <c r="C408" t="s">
        <v>2240</v>
      </c>
      <c r="D408">
        <v>4.4180387643687199E-7</v>
      </c>
      <c r="E408" t="s">
        <v>94</v>
      </c>
      <c r="H408" t="s">
        <v>588</v>
      </c>
    </row>
    <row r="409" spans="2:8">
      <c r="B409" t="s">
        <v>2242</v>
      </c>
      <c r="C409" t="s">
        <v>2243</v>
      </c>
      <c r="D409">
        <v>1.4136214778888199E-7</v>
      </c>
      <c r="E409" t="s">
        <v>1171</v>
      </c>
      <c r="H409" t="s">
        <v>588</v>
      </c>
    </row>
    <row r="410" spans="2:8">
      <c r="B410" t="s">
        <v>2247</v>
      </c>
      <c r="C410" t="s">
        <v>2173</v>
      </c>
      <c r="D410">
        <v>3.0547285359275599E-8</v>
      </c>
      <c r="E410" t="s">
        <v>616</v>
      </c>
      <c r="H410" t="s">
        <v>588</v>
      </c>
    </row>
    <row r="411" spans="2:8">
      <c r="B411" t="s">
        <v>2250</v>
      </c>
      <c r="C411" t="s">
        <v>673</v>
      </c>
      <c r="D411">
        <v>1.2093930018760299E-4</v>
      </c>
      <c r="E411" t="s">
        <v>94</v>
      </c>
      <c r="H411" t="s">
        <v>588</v>
      </c>
    </row>
    <row r="412" spans="2:8">
      <c r="B412" t="s">
        <v>2252</v>
      </c>
      <c r="C412" t="s">
        <v>673</v>
      </c>
      <c r="D412">
        <v>6.1438347587046201E-6</v>
      </c>
      <c r="E412" t="s">
        <v>94</v>
      </c>
      <c r="H412" t="s">
        <v>588</v>
      </c>
    </row>
    <row r="413" spans="2:8">
      <c r="B413" t="s">
        <v>1202</v>
      </c>
      <c r="C413" t="s">
        <v>673</v>
      </c>
      <c r="D413">
        <v>3.46359408375969E-5</v>
      </c>
      <c r="E413" t="s">
        <v>94</v>
      </c>
      <c r="H413" t="s">
        <v>588</v>
      </c>
    </row>
    <row r="414" spans="2:8">
      <c r="B414" t="s">
        <v>1204</v>
      </c>
      <c r="C414" t="s">
        <v>667</v>
      </c>
      <c r="D414">
        <v>2.0778133508892599E-3</v>
      </c>
      <c r="E414" t="s">
        <v>94</v>
      </c>
      <c r="H414" t="s">
        <v>588</v>
      </c>
    </row>
    <row r="415" spans="2:8">
      <c r="B415" t="s">
        <v>2256</v>
      </c>
      <c r="C415" t="s">
        <v>587</v>
      </c>
      <c r="D415">
        <v>4.63344653082529E-4</v>
      </c>
      <c r="E415" t="s">
        <v>94</v>
      </c>
      <c r="H415" t="s">
        <v>588</v>
      </c>
    </row>
    <row r="416" spans="2:8">
      <c r="B416" t="s">
        <v>2257</v>
      </c>
      <c r="C416" t="s">
        <v>1848</v>
      </c>
      <c r="D416">
        <v>2.2936654524182298E-5</v>
      </c>
      <c r="E416" t="s">
        <v>94</v>
      </c>
      <c r="H416" t="s">
        <v>588</v>
      </c>
    </row>
    <row r="417" spans="2:8">
      <c r="B417" t="s">
        <v>2261</v>
      </c>
      <c r="C417" t="s">
        <v>2043</v>
      </c>
      <c r="D417">
        <v>3.6605163074639698E-6</v>
      </c>
      <c r="E417" t="s">
        <v>94</v>
      </c>
      <c r="H417" t="s">
        <v>588</v>
      </c>
    </row>
    <row r="418" spans="2:8">
      <c r="B418" t="s">
        <v>2261</v>
      </c>
      <c r="C418" t="s">
        <v>2043</v>
      </c>
      <c r="D418">
        <v>1.7168441959008199E-4</v>
      </c>
      <c r="E418" t="s">
        <v>94</v>
      </c>
      <c r="H418" t="s">
        <v>588</v>
      </c>
    </row>
    <row r="419" spans="2:8">
      <c r="B419" t="s">
        <v>2261</v>
      </c>
      <c r="C419" t="s">
        <v>2043</v>
      </c>
      <c r="D419">
        <v>3.62999893113666E-4</v>
      </c>
      <c r="E419" t="s">
        <v>94</v>
      </c>
      <c r="H419" t="s">
        <v>588</v>
      </c>
    </row>
    <row r="420" spans="2:8">
      <c r="B420" t="s">
        <v>2264</v>
      </c>
      <c r="C420" t="s">
        <v>2265</v>
      </c>
      <c r="D420">
        <v>7.6679246046014102E-3</v>
      </c>
      <c r="E420" t="s">
        <v>94</v>
      </c>
      <c r="H420" t="s">
        <v>588</v>
      </c>
    </row>
    <row r="421" spans="2:8">
      <c r="B421" t="s">
        <v>2264</v>
      </c>
      <c r="C421" t="s">
        <v>2265</v>
      </c>
      <c r="D421">
        <v>1.17982929910105E-5</v>
      </c>
      <c r="E421" t="s">
        <v>94</v>
      </c>
      <c r="H421" t="s">
        <v>588</v>
      </c>
    </row>
    <row r="422" spans="2:8">
      <c r="B422" t="s">
        <v>2264</v>
      </c>
      <c r="C422" t="s">
        <v>2265</v>
      </c>
      <c r="D422">
        <v>7.6019919414312799E-3</v>
      </c>
      <c r="E422" t="s">
        <v>94</v>
      </c>
      <c r="H422" t="s">
        <v>588</v>
      </c>
    </row>
    <row r="423" spans="2:8">
      <c r="B423" t="s">
        <v>2269</v>
      </c>
      <c r="C423" t="s">
        <v>2270</v>
      </c>
      <c r="D423">
        <v>4.3160130392298404E-3</v>
      </c>
      <c r="E423" t="s">
        <v>94</v>
      </c>
      <c r="H423" t="s">
        <v>588</v>
      </c>
    </row>
    <row r="424" spans="2:8">
      <c r="B424" t="s">
        <v>2274</v>
      </c>
      <c r="C424" t="s">
        <v>2275</v>
      </c>
      <c r="D424">
        <v>1.77804562155704E-7</v>
      </c>
      <c r="E424" t="s">
        <v>94</v>
      </c>
      <c r="H424" t="s">
        <v>588</v>
      </c>
    </row>
    <row r="425" spans="2:8">
      <c r="B425" t="s">
        <v>2278</v>
      </c>
      <c r="C425" t="s">
        <v>1830</v>
      </c>
      <c r="D425">
        <v>1.96950907092096E-3</v>
      </c>
      <c r="E425" t="s">
        <v>94</v>
      </c>
    </row>
    <row r="426" spans="2:8">
      <c r="B426" t="s">
        <v>2278</v>
      </c>
      <c r="C426" t="s">
        <v>1830</v>
      </c>
      <c r="D426">
        <v>2.3634108851051499E-4</v>
      </c>
      <c r="E426" t="s">
        <v>94</v>
      </c>
      <c r="H426" t="s">
        <v>588</v>
      </c>
    </row>
    <row r="427" spans="2:8">
      <c r="B427" t="s">
        <v>2281</v>
      </c>
      <c r="C427" t="s">
        <v>1635</v>
      </c>
      <c r="D427">
        <v>8.4921112024387598E-6</v>
      </c>
      <c r="E427" t="s">
        <v>94</v>
      </c>
      <c r="H427" t="s">
        <v>588</v>
      </c>
    </row>
    <row r="428" spans="2:8">
      <c r="B428" t="s">
        <v>2283</v>
      </c>
      <c r="C428" t="s">
        <v>673</v>
      </c>
      <c r="D428">
        <v>3.67543393543595E-6</v>
      </c>
      <c r="E428" t="s">
        <v>94</v>
      </c>
      <c r="H428" t="s">
        <v>588</v>
      </c>
    </row>
    <row r="429" spans="2:8">
      <c r="B429" t="s">
        <v>2285</v>
      </c>
      <c r="C429" t="s">
        <v>673</v>
      </c>
      <c r="D429">
        <v>2.71113128059294E-8</v>
      </c>
      <c r="E429" t="s">
        <v>94</v>
      </c>
      <c r="H429" t="s">
        <v>588</v>
      </c>
    </row>
    <row r="430" spans="2:8">
      <c r="B430" t="s">
        <v>2287</v>
      </c>
      <c r="C430" t="s">
        <v>857</v>
      </c>
      <c r="D430">
        <v>3.7897239693937703E-8</v>
      </c>
      <c r="E430" t="s">
        <v>640</v>
      </c>
      <c r="H430" t="s">
        <v>588</v>
      </c>
    </row>
    <row r="431" spans="2:8">
      <c r="B431" t="s">
        <v>2290</v>
      </c>
      <c r="C431" t="s">
        <v>1848</v>
      </c>
      <c r="D431">
        <v>6.2671642840244096E-9</v>
      </c>
      <c r="E431" t="s">
        <v>94</v>
      </c>
      <c r="H431" t="s">
        <v>588</v>
      </c>
    </row>
    <row r="432" spans="2:8">
      <c r="B432" t="s">
        <v>2293</v>
      </c>
      <c r="C432" t="s">
        <v>673</v>
      </c>
      <c r="D432">
        <v>1.8609266966825001E-6</v>
      </c>
      <c r="E432" t="s">
        <v>94</v>
      </c>
      <c r="H432" t="s">
        <v>588</v>
      </c>
    </row>
    <row r="433" spans="2:8">
      <c r="B433" t="s">
        <v>2296</v>
      </c>
      <c r="C433" t="s">
        <v>587</v>
      </c>
      <c r="D433">
        <v>9.6778453714525895E-6</v>
      </c>
      <c r="E433" t="s">
        <v>94</v>
      </c>
      <c r="H433" t="s">
        <v>588</v>
      </c>
    </row>
    <row r="434" spans="2:8">
      <c r="B434" t="s">
        <v>2297</v>
      </c>
      <c r="C434" t="s">
        <v>673</v>
      </c>
      <c r="D434">
        <v>1.9565887490096699E-8</v>
      </c>
      <c r="E434" t="s">
        <v>94</v>
      </c>
      <c r="H434" t="s">
        <v>588</v>
      </c>
    </row>
    <row r="435" spans="2:8">
      <c r="B435" t="s">
        <v>2297</v>
      </c>
      <c r="C435" t="s">
        <v>673</v>
      </c>
      <c r="D435">
        <v>1.9540275750449499E-8</v>
      </c>
      <c r="E435" t="s">
        <v>94</v>
      </c>
      <c r="H435" t="s">
        <v>588</v>
      </c>
    </row>
    <row r="436" spans="2:8">
      <c r="B436" t="s">
        <v>2299</v>
      </c>
      <c r="C436" t="s">
        <v>664</v>
      </c>
      <c r="D436">
        <v>2.3840456875113799E-3</v>
      </c>
      <c r="E436" t="s">
        <v>94</v>
      </c>
    </row>
    <row r="437" spans="2:8">
      <c r="B437" t="s">
        <v>2299</v>
      </c>
      <c r="C437" t="s">
        <v>664</v>
      </c>
      <c r="D437">
        <v>1.64893723828539E-3</v>
      </c>
      <c r="E437" t="s">
        <v>94</v>
      </c>
    </row>
    <row r="438" spans="2:8">
      <c r="B438" t="s">
        <v>2299</v>
      </c>
      <c r="C438" t="s">
        <v>664</v>
      </c>
      <c r="D438">
        <v>1.03167244853447E-4</v>
      </c>
      <c r="E438" t="s">
        <v>94</v>
      </c>
      <c r="H438" t="s">
        <v>588</v>
      </c>
    </row>
    <row r="439" spans="2:8">
      <c r="B439" t="s">
        <v>2299</v>
      </c>
      <c r="C439" t="s">
        <v>664</v>
      </c>
      <c r="D439">
        <v>2.6628929074511802E-3</v>
      </c>
      <c r="E439" t="s">
        <v>94</v>
      </c>
    </row>
    <row r="440" spans="2:8">
      <c r="B440" t="s">
        <v>2299</v>
      </c>
      <c r="C440" t="s">
        <v>664</v>
      </c>
      <c r="D440">
        <v>2.9568231424774501E-6</v>
      </c>
      <c r="E440" t="s">
        <v>94</v>
      </c>
      <c r="H440" t="s">
        <v>588</v>
      </c>
    </row>
    <row r="441" spans="2:8">
      <c r="B441" t="s">
        <v>2299</v>
      </c>
      <c r="C441" t="s">
        <v>664</v>
      </c>
      <c r="D441">
        <v>4.1530108998755501E-5</v>
      </c>
      <c r="E441" t="s">
        <v>94</v>
      </c>
      <c r="H441" t="s">
        <v>588</v>
      </c>
    </row>
    <row r="442" spans="2:8">
      <c r="B442" t="s">
        <v>2299</v>
      </c>
      <c r="C442" t="s">
        <v>664</v>
      </c>
      <c r="D442">
        <v>4.9557510615764002E-4</v>
      </c>
      <c r="E442" t="s">
        <v>94</v>
      </c>
    </row>
    <row r="443" spans="2:8">
      <c r="B443" t="s">
        <v>2299</v>
      </c>
      <c r="C443" t="s">
        <v>664</v>
      </c>
      <c r="D443">
        <v>1.37009001834559E-3</v>
      </c>
      <c r="E443" t="s">
        <v>94</v>
      </c>
    </row>
    <row r="444" spans="2:8">
      <c r="B444" t="s">
        <v>2299</v>
      </c>
      <c r="C444" t="s">
        <v>664</v>
      </c>
      <c r="D444">
        <v>3.4657038354246398E-6</v>
      </c>
      <c r="E444" t="s">
        <v>94</v>
      </c>
      <c r="H444" t="s">
        <v>588</v>
      </c>
    </row>
    <row r="445" spans="2:8">
      <c r="B445" t="s">
        <v>2299</v>
      </c>
      <c r="C445" t="s">
        <v>664</v>
      </c>
      <c r="D445">
        <v>3.5374078196391298E-3</v>
      </c>
      <c r="E445" t="s">
        <v>94</v>
      </c>
    </row>
    <row r="446" spans="2:8">
      <c r="B446" t="s">
        <v>2299</v>
      </c>
      <c r="C446" t="s">
        <v>664</v>
      </c>
      <c r="D446">
        <v>1.82957602940271E-5</v>
      </c>
      <c r="E446" t="s">
        <v>94</v>
      </c>
      <c r="H446" t="s">
        <v>588</v>
      </c>
    </row>
    <row r="447" spans="2:8">
      <c r="B447" t="s">
        <v>2299</v>
      </c>
      <c r="C447" t="s">
        <v>664</v>
      </c>
      <c r="D447">
        <v>3.32081888368391E-3</v>
      </c>
      <c r="E447" t="s">
        <v>94</v>
      </c>
    </row>
    <row r="448" spans="2:8">
      <c r="B448" t="s">
        <v>2299</v>
      </c>
      <c r="C448" t="s">
        <v>664</v>
      </c>
      <c r="D448">
        <v>3.7692987347389098E-3</v>
      </c>
      <c r="E448" t="s">
        <v>94</v>
      </c>
      <c r="H448" t="s">
        <v>588</v>
      </c>
    </row>
    <row r="449" spans="2:8">
      <c r="B449" t="s">
        <v>2299</v>
      </c>
      <c r="C449" t="s">
        <v>664</v>
      </c>
      <c r="D449">
        <v>1.07120374369133E-7</v>
      </c>
      <c r="E449" t="s">
        <v>94</v>
      </c>
      <c r="H449" t="s">
        <v>588</v>
      </c>
    </row>
    <row r="450" spans="2:8">
      <c r="B450" t="s">
        <v>2299</v>
      </c>
      <c r="C450" t="s">
        <v>664</v>
      </c>
      <c r="D450">
        <v>2.9935793678260702E-7</v>
      </c>
      <c r="E450" t="s">
        <v>94</v>
      </c>
      <c r="H450" t="s">
        <v>588</v>
      </c>
    </row>
    <row r="451" spans="2:8">
      <c r="B451" t="s">
        <v>2299</v>
      </c>
      <c r="C451" t="s">
        <v>664</v>
      </c>
      <c r="D451">
        <v>7.9534209537599597E-6</v>
      </c>
      <c r="E451" t="s">
        <v>94</v>
      </c>
      <c r="H451" t="s">
        <v>588</v>
      </c>
    </row>
    <row r="452" spans="2:8">
      <c r="B452" t="s">
        <v>2299</v>
      </c>
      <c r="C452" t="s">
        <v>664</v>
      </c>
      <c r="D452">
        <v>7.1216404211285904E-4</v>
      </c>
      <c r="E452" t="s">
        <v>94</v>
      </c>
    </row>
    <row r="453" spans="2:8">
      <c r="B453" t="s">
        <v>2299</v>
      </c>
      <c r="C453" t="s">
        <v>664</v>
      </c>
      <c r="D453">
        <v>2.9230515927314302E-5</v>
      </c>
      <c r="E453" t="s">
        <v>94</v>
      </c>
      <c r="H453" t="s">
        <v>588</v>
      </c>
    </row>
    <row r="454" spans="2:8">
      <c r="B454" t="s">
        <v>2299</v>
      </c>
      <c r="C454" t="s">
        <v>664</v>
      </c>
      <c r="D454">
        <v>4.0329752363219796E-3</v>
      </c>
      <c r="E454" t="s">
        <v>94</v>
      </c>
    </row>
    <row r="455" spans="2:8">
      <c r="B455" t="s">
        <v>2309</v>
      </c>
      <c r="C455" t="s">
        <v>1810</v>
      </c>
      <c r="D455">
        <v>7.27901715044645E-3</v>
      </c>
      <c r="E455" t="s">
        <v>607</v>
      </c>
      <c r="H455" t="s">
        <v>588</v>
      </c>
    </row>
    <row r="456" spans="2:8">
      <c r="B456" t="s">
        <v>1207</v>
      </c>
      <c r="C456" t="s">
        <v>592</v>
      </c>
      <c r="D456">
        <v>0.144750793019705</v>
      </c>
      <c r="E456" t="s">
        <v>607</v>
      </c>
      <c r="H456" t="s">
        <v>588</v>
      </c>
    </row>
    <row r="457" spans="2:8">
      <c r="B457" t="s">
        <v>1210</v>
      </c>
      <c r="C457" t="s">
        <v>597</v>
      </c>
      <c r="D457">
        <v>1.1283562743738601E-2</v>
      </c>
      <c r="E457" t="s">
        <v>607</v>
      </c>
      <c r="H457" t="s">
        <v>588</v>
      </c>
    </row>
    <row r="458" spans="2:8">
      <c r="B458" t="s">
        <v>2312</v>
      </c>
      <c r="C458" t="s">
        <v>597</v>
      </c>
      <c r="D458">
        <v>4.81957782336103E-4</v>
      </c>
      <c r="E458" t="s">
        <v>607</v>
      </c>
      <c r="H458" t="s">
        <v>588</v>
      </c>
    </row>
    <row r="459" spans="2:8">
      <c r="B459" t="s">
        <v>2316</v>
      </c>
      <c r="C459" t="s">
        <v>664</v>
      </c>
      <c r="D459">
        <v>6.5842753042478401E-4</v>
      </c>
      <c r="E459" t="s">
        <v>94</v>
      </c>
    </row>
    <row r="460" spans="2:8">
      <c r="B460" t="s">
        <v>2316</v>
      </c>
      <c r="C460" t="s">
        <v>664</v>
      </c>
      <c r="D460">
        <v>4.4488498915143301E-5</v>
      </c>
      <c r="E460" t="s">
        <v>94</v>
      </c>
      <c r="H460" t="s">
        <v>588</v>
      </c>
    </row>
    <row r="461" spans="2:8">
      <c r="B461" t="s">
        <v>2316</v>
      </c>
      <c r="C461" t="s">
        <v>664</v>
      </c>
      <c r="D461">
        <v>2.4805985732268198E-3</v>
      </c>
      <c r="E461" t="s">
        <v>94</v>
      </c>
    </row>
    <row r="462" spans="2:8">
      <c r="B462" t="s">
        <v>2316</v>
      </c>
      <c r="C462" t="s">
        <v>664</v>
      </c>
      <c r="D462">
        <v>1.52479734914322E-3</v>
      </c>
      <c r="E462" t="s">
        <v>94</v>
      </c>
    </row>
    <row r="463" spans="2:8">
      <c r="B463" t="s">
        <v>2316</v>
      </c>
      <c r="C463" t="s">
        <v>664</v>
      </c>
      <c r="D463">
        <v>1.1428000652181999E-6</v>
      </c>
      <c r="E463" t="s">
        <v>94</v>
      </c>
      <c r="H463" t="s">
        <v>588</v>
      </c>
    </row>
    <row r="464" spans="2:8">
      <c r="B464" t="s">
        <v>2316</v>
      </c>
      <c r="C464" t="s">
        <v>664</v>
      </c>
      <c r="D464">
        <v>4.5817620554472401E-4</v>
      </c>
      <c r="E464" t="s">
        <v>94</v>
      </c>
    </row>
    <row r="465" spans="2:8">
      <c r="B465" t="s">
        <v>2316</v>
      </c>
      <c r="C465" t="s">
        <v>664</v>
      </c>
      <c r="D465">
        <v>4.2491097012841502E-4</v>
      </c>
      <c r="E465" t="s">
        <v>94</v>
      </c>
    </row>
    <row r="466" spans="2:8">
      <c r="B466" t="s">
        <v>2316</v>
      </c>
      <c r="C466" t="s">
        <v>664</v>
      </c>
      <c r="D466">
        <v>2.5961544801311799E-3</v>
      </c>
      <c r="E466" t="s">
        <v>94</v>
      </c>
    </row>
    <row r="467" spans="2:8">
      <c r="B467" t="s">
        <v>2316</v>
      </c>
      <c r="C467" t="s">
        <v>664</v>
      </c>
      <c r="D467">
        <v>2.5642734329600898E-7</v>
      </c>
      <c r="E467" t="s">
        <v>94</v>
      </c>
      <c r="H467" t="s">
        <v>588</v>
      </c>
    </row>
    <row r="468" spans="2:8">
      <c r="B468" t="s">
        <v>2316</v>
      </c>
      <c r="C468" t="s">
        <v>664</v>
      </c>
      <c r="D468">
        <v>2.20572566788991E-3</v>
      </c>
      <c r="E468" t="s">
        <v>94</v>
      </c>
    </row>
    <row r="469" spans="2:8">
      <c r="B469" t="s">
        <v>2316</v>
      </c>
      <c r="C469" t="s">
        <v>664</v>
      </c>
      <c r="D469">
        <v>8.2501347367790396E-4</v>
      </c>
      <c r="E469" t="s">
        <v>94</v>
      </c>
    </row>
    <row r="470" spans="2:8">
      <c r="B470" t="s">
        <v>2316</v>
      </c>
      <c r="C470" t="s">
        <v>664</v>
      </c>
      <c r="D470">
        <v>8.3835952318744396E-7</v>
      </c>
      <c r="E470" t="s">
        <v>94</v>
      </c>
      <c r="H470" t="s">
        <v>588</v>
      </c>
    </row>
    <row r="471" spans="2:8">
      <c r="B471" t="s">
        <v>2316</v>
      </c>
      <c r="C471" t="s">
        <v>664</v>
      </c>
      <c r="D471">
        <v>5.7159025807688103E-7</v>
      </c>
      <c r="E471" t="s">
        <v>94</v>
      </c>
      <c r="H471" t="s">
        <v>588</v>
      </c>
    </row>
    <row r="472" spans="2:8">
      <c r="B472" t="s">
        <v>2316</v>
      </c>
      <c r="C472" t="s">
        <v>664</v>
      </c>
      <c r="D472">
        <v>4.9626568778906104E-6</v>
      </c>
      <c r="E472" t="s">
        <v>94</v>
      </c>
      <c r="H472" t="s">
        <v>588</v>
      </c>
    </row>
    <row r="473" spans="2:8">
      <c r="B473" t="s">
        <v>2316</v>
      </c>
      <c r="C473" t="s">
        <v>664</v>
      </c>
      <c r="D473">
        <v>1.13436195754544E-3</v>
      </c>
      <c r="E473" t="s">
        <v>94</v>
      </c>
    </row>
    <row r="474" spans="2:8">
      <c r="B474" t="s">
        <v>2316</v>
      </c>
      <c r="C474" t="s">
        <v>664</v>
      </c>
      <c r="D474">
        <v>3.0720954866083499E-3</v>
      </c>
      <c r="E474" t="s">
        <v>94</v>
      </c>
    </row>
    <row r="475" spans="2:8">
      <c r="B475" t="s">
        <v>2316</v>
      </c>
      <c r="C475" t="s">
        <v>664</v>
      </c>
      <c r="D475">
        <v>3.2723468114884101E-3</v>
      </c>
      <c r="E475" t="s">
        <v>94</v>
      </c>
    </row>
    <row r="476" spans="2:8">
      <c r="B476" t="s">
        <v>2316</v>
      </c>
      <c r="C476" t="s">
        <v>664</v>
      </c>
      <c r="D476">
        <v>5.6619939849054496E-7</v>
      </c>
      <c r="E476" t="s">
        <v>94</v>
      </c>
      <c r="H476" t="s">
        <v>588</v>
      </c>
    </row>
    <row r="477" spans="2:8">
      <c r="B477" t="s">
        <v>2326</v>
      </c>
      <c r="C477" t="s">
        <v>673</v>
      </c>
      <c r="D477">
        <v>1.24979466944851E-5</v>
      </c>
      <c r="E477" t="s">
        <v>94</v>
      </c>
      <c r="H477" t="s">
        <v>588</v>
      </c>
    </row>
    <row r="478" spans="2:8">
      <c r="B478" t="s">
        <v>2328</v>
      </c>
      <c r="C478" t="s">
        <v>673</v>
      </c>
      <c r="D478">
        <v>3.8164840359820298E-4</v>
      </c>
      <c r="E478" t="s">
        <v>94</v>
      </c>
      <c r="H478" t="s">
        <v>588</v>
      </c>
    </row>
    <row r="479" spans="2:8">
      <c r="B479" t="s">
        <v>2330</v>
      </c>
      <c r="C479" t="s">
        <v>673</v>
      </c>
      <c r="D479">
        <v>1.19877752913672E-5</v>
      </c>
      <c r="E479" t="s">
        <v>94</v>
      </c>
      <c r="H479" t="s">
        <v>588</v>
      </c>
    </row>
    <row r="480" spans="2:8">
      <c r="B480" t="s">
        <v>2332</v>
      </c>
      <c r="C480" t="s">
        <v>673</v>
      </c>
      <c r="D480">
        <v>3.7550680462121602E-8</v>
      </c>
      <c r="E480" t="s">
        <v>94</v>
      </c>
      <c r="H480" t="s">
        <v>588</v>
      </c>
    </row>
    <row r="481" spans="2:8">
      <c r="B481" t="s">
        <v>2335</v>
      </c>
      <c r="C481" t="s">
        <v>673</v>
      </c>
      <c r="D481">
        <v>7.08085396696612E-9</v>
      </c>
      <c r="E481" t="s">
        <v>94</v>
      </c>
      <c r="H481" t="s">
        <v>588</v>
      </c>
    </row>
    <row r="482" spans="2:8">
      <c r="B482" t="s">
        <v>2338</v>
      </c>
      <c r="C482" t="s">
        <v>1170</v>
      </c>
      <c r="D482">
        <v>1.08208433471454E-6</v>
      </c>
      <c r="E482" t="s">
        <v>94</v>
      </c>
      <c r="H482" t="s">
        <v>588</v>
      </c>
    </row>
    <row r="483" spans="2:8">
      <c r="B483" t="s">
        <v>2340</v>
      </c>
      <c r="C483" t="s">
        <v>1635</v>
      </c>
      <c r="D483">
        <v>3.0864996106299598E-4</v>
      </c>
      <c r="E483" t="s">
        <v>94</v>
      </c>
      <c r="H483" t="s">
        <v>588</v>
      </c>
    </row>
    <row r="484" spans="2:8">
      <c r="B484" t="s">
        <v>2343</v>
      </c>
      <c r="C484" t="s">
        <v>673</v>
      </c>
      <c r="D484">
        <v>1.09412030806988E-5</v>
      </c>
      <c r="E484" t="s">
        <v>94</v>
      </c>
      <c r="H484" t="s">
        <v>588</v>
      </c>
    </row>
    <row r="485" spans="2:8">
      <c r="B485" t="s">
        <v>2343</v>
      </c>
      <c r="C485" t="s">
        <v>673</v>
      </c>
      <c r="D485">
        <v>4.0147630068846598E-5</v>
      </c>
      <c r="E485" t="s">
        <v>94</v>
      </c>
      <c r="H485" t="s">
        <v>588</v>
      </c>
    </row>
    <row r="486" spans="2:8">
      <c r="B486" t="s">
        <v>2345</v>
      </c>
      <c r="C486" t="s">
        <v>2173</v>
      </c>
      <c r="D486">
        <v>6.0839200214919599E-9</v>
      </c>
      <c r="E486" t="s">
        <v>616</v>
      </c>
      <c r="H486" t="s">
        <v>588</v>
      </c>
    </row>
    <row r="487" spans="2:8">
      <c r="B487" t="s">
        <v>2348</v>
      </c>
      <c r="C487" t="s">
        <v>2198</v>
      </c>
      <c r="D487">
        <v>2.85868626018492E-6</v>
      </c>
      <c r="E487" t="s">
        <v>616</v>
      </c>
      <c r="H487" t="s">
        <v>588</v>
      </c>
    </row>
    <row r="488" spans="2:8">
      <c r="B488" t="s">
        <v>2350</v>
      </c>
      <c r="C488" t="s">
        <v>1635</v>
      </c>
      <c r="D488">
        <v>6.1011450659653395E-7</v>
      </c>
      <c r="E488" t="s">
        <v>94</v>
      </c>
      <c r="H488" t="s">
        <v>588</v>
      </c>
    </row>
    <row r="489" spans="2:8">
      <c r="B489" t="s">
        <v>2352</v>
      </c>
      <c r="C489" t="s">
        <v>853</v>
      </c>
      <c r="D489">
        <v>2.21486224087902E-3</v>
      </c>
      <c r="E489" t="s">
        <v>94</v>
      </c>
      <c r="H489" t="s">
        <v>588</v>
      </c>
    </row>
    <row r="490" spans="2:8">
      <c r="B490" t="s">
        <v>2352</v>
      </c>
      <c r="C490" t="s">
        <v>853</v>
      </c>
      <c r="D490">
        <v>1.5256776025165601E-3</v>
      </c>
      <c r="E490" t="s">
        <v>94</v>
      </c>
      <c r="H490" t="s">
        <v>588</v>
      </c>
    </row>
    <row r="491" spans="2:8">
      <c r="B491" t="s">
        <v>2354</v>
      </c>
      <c r="C491" t="s">
        <v>587</v>
      </c>
      <c r="D491">
        <v>1.62322837163879E-4</v>
      </c>
      <c r="E491" t="s">
        <v>94</v>
      </c>
      <c r="H491" t="s">
        <v>588</v>
      </c>
    </row>
    <row r="492" spans="2:8">
      <c r="B492" t="s">
        <v>2355</v>
      </c>
      <c r="C492" t="s">
        <v>2356</v>
      </c>
      <c r="D492">
        <v>6.4475023607954395E-8</v>
      </c>
      <c r="E492" t="s">
        <v>626</v>
      </c>
      <c r="H492" t="s">
        <v>588</v>
      </c>
    </row>
    <row r="493" spans="2:8">
      <c r="B493" t="s">
        <v>2359</v>
      </c>
      <c r="C493" t="s">
        <v>2356</v>
      </c>
      <c r="D493">
        <v>1.7811218625317199E-6</v>
      </c>
      <c r="E493" t="s">
        <v>626</v>
      </c>
      <c r="H493" t="s">
        <v>588</v>
      </c>
    </row>
    <row r="494" spans="2:8">
      <c r="B494" t="s">
        <v>2362</v>
      </c>
      <c r="C494" t="s">
        <v>2363</v>
      </c>
      <c r="D494">
        <v>1.4515465805178199E-7</v>
      </c>
      <c r="E494" t="s">
        <v>626</v>
      </c>
      <c r="H494" t="s">
        <v>588</v>
      </c>
    </row>
    <row r="495" spans="2:8">
      <c r="B495" t="s">
        <v>2366</v>
      </c>
      <c r="C495" t="s">
        <v>2356</v>
      </c>
      <c r="D495">
        <v>9.2182810562814494E-8</v>
      </c>
      <c r="E495" t="s">
        <v>626</v>
      </c>
      <c r="H495" t="s">
        <v>588</v>
      </c>
    </row>
    <row r="496" spans="2:8">
      <c r="B496" t="s">
        <v>2369</v>
      </c>
      <c r="C496" t="s">
        <v>821</v>
      </c>
      <c r="D496">
        <v>7.7058841995931797E-4</v>
      </c>
      <c r="E496" t="s">
        <v>94</v>
      </c>
      <c r="H496" t="s">
        <v>588</v>
      </c>
    </row>
    <row r="497" spans="2:8">
      <c r="B497" t="s">
        <v>2369</v>
      </c>
      <c r="C497" t="s">
        <v>821</v>
      </c>
      <c r="D497">
        <v>4.5970025918472901E-3</v>
      </c>
      <c r="E497" t="s">
        <v>94</v>
      </c>
      <c r="H497" t="s">
        <v>588</v>
      </c>
    </row>
    <row r="498" spans="2:8">
      <c r="B498" t="s">
        <v>2373</v>
      </c>
      <c r="C498" t="s">
        <v>2173</v>
      </c>
      <c r="D498">
        <v>5.3634411263515099E-9</v>
      </c>
      <c r="E498" t="s">
        <v>616</v>
      </c>
      <c r="H498" t="s">
        <v>588</v>
      </c>
    </row>
    <row r="499" spans="2:8">
      <c r="B499" t="s">
        <v>2376</v>
      </c>
      <c r="C499" t="s">
        <v>2377</v>
      </c>
      <c r="D499">
        <v>2.98505277116368E-2</v>
      </c>
      <c r="E499" t="s">
        <v>640</v>
      </c>
      <c r="H499" t="s">
        <v>588</v>
      </c>
    </row>
    <row r="500" spans="2:8">
      <c r="B500" t="s">
        <v>2376</v>
      </c>
      <c r="C500" t="s">
        <v>2377</v>
      </c>
      <c r="D500">
        <v>2.6762166319559098E-3</v>
      </c>
      <c r="E500" t="s">
        <v>640</v>
      </c>
      <c r="H500" t="s">
        <v>588</v>
      </c>
    </row>
    <row r="501" spans="2:8">
      <c r="B501" t="s">
        <v>2382</v>
      </c>
      <c r="C501" t="s">
        <v>673</v>
      </c>
      <c r="D501">
        <v>1.2348037267079099E-5</v>
      </c>
      <c r="E501" t="s">
        <v>94</v>
      </c>
      <c r="H501" t="s">
        <v>588</v>
      </c>
    </row>
    <row r="502" spans="2:8">
      <c r="B502" t="s">
        <v>2385</v>
      </c>
      <c r="C502" t="s">
        <v>1698</v>
      </c>
      <c r="D502">
        <v>6.6929564251506301E-9</v>
      </c>
      <c r="E502" t="s">
        <v>616</v>
      </c>
      <c r="H502" t="s">
        <v>588</v>
      </c>
    </row>
    <row r="503" spans="2:8">
      <c r="B503" t="s">
        <v>2389</v>
      </c>
      <c r="C503" t="s">
        <v>673</v>
      </c>
      <c r="D503">
        <v>3.6189305452670199E-5</v>
      </c>
      <c r="E503" t="s">
        <v>94</v>
      </c>
      <c r="H503" t="s">
        <v>588</v>
      </c>
    </row>
    <row r="504" spans="2:8">
      <c r="B504" t="s">
        <v>2391</v>
      </c>
      <c r="C504" t="s">
        <v>2392</v>
      </c>
      <c r="D504">
        <v>2.4126420181848202E-6</v>
      </c>
      <c r="E504" t="s">
        <v>616</v>
      </c>
      <c r="H504" t="s">
        <v>588</v>
      </c>
    </row>
    <row r="505" spans="2:8">
      <c r="B505" t="s">
        <v>2395</v>
      </c>
      <c r="C505" t="s">
        <v>1170</v>
      </c>
      <c r="D505">
        <v>9.7539591252905798E-8</v>
      </c>
      <c r="E505" t="s">
        <v>94</v>
      </c>
      <c r="H505" t="s">
        <v>588</v>
      </c>
    </row>
    <row r="506" spans="2:8">
      <c r="B506" t="s">
        <v>2398</v>
      </c>
      <c r="C506" t="s">
        <v>2173</v>
      </c>
      <c r="D506">
        <v>2.94868593327597E-7</v>
      </c>
      <c r="E506" t="s">
        <v>616</v>
      </c>
      <c r="H506" t="s">
        <v>588</v>
      </c>
    </row>
    <row r="507" spans="2:8">
      <c r="B507" t="s">
        <v>2401</v>
      </c>
      <c r="C507" t="s">
        <v>1489</v>
      </c>
      <c r="D507">
        <v>5.2034678780342701E-6</v>
      </c>
      <c r="E507" t="s">
        <v>94</v>
      </c>
    </row>
    <row r="508" spans="2:8">
      <c r="B508" t="s">
        <v>2403</v>
      </c>
      <c r="C508" t="s">
        <v>1489</v>
      </c>
      <c r="D508">
        <v>5.8257989709721504E-6</v>
      </c>
      <c r="E508" t="s">
        <v>94</v>
      </c>
      <c r="H508" t="s">
        <v>588</v>
      </c>
    </row>
    <row r="509" spans="2:8">
      <c r="B509" t="s">
        <v>2405</v>
      </c>
      <c r="C509" t="s">
        <v>1489</v>
      </c>
      <c r="D509">
        <v>3.0299711769735401E-6</v>
      </c>
      <c r="E509" t="s">
        <v>94</v>
      </c>
      <c r="H509" t="s">
        <v>588</v>
      </c>
    </row>
    <row r="510" spans="2:8">
      <c r="B510" t="s">
        <v>1217</v>
      </c>
      <c r="C510" t="s">
        <v>597</v>
      </c>
      <c r="D510">
        <v>9.6045236667095296E-8</v>
      </c>
      <c r="E510" t="s">
        <v>598</v>
      </c>
      <c r="H510" t="s">
        <v>588</v>
      </c>
    </row>
    <row r="511" spans="2:8">
      <c r="B511" t="s">
        <v>1217</v>
      </c>
      <c r="C511" t="s">
        <v>597</v>
      </c>
      <c r="D511">
        <v>1.10089498048767E-8</v>
      </c>
      <c r="E511" t="s">
        <v>598</v>
      </c>
      <c r="H511" t="s">
        <v>588</v>
      </c>
    </row>
    <row r="512" spans="2:8">
      <c r="B512" t="s">
        <v>1217</v>
      </c>
      <c r="C512" t="s">
        <v>597</v>
      </c>
      <c r="D512">
        <v>1.60155530613554E-9</v>
      </c>
      <c r="E512" t="s">
        <v>598</v>
      </c>
      <c r="H512" t="s">
        <v>588</v>
      </c>
    </row>
    <row r="513" spans="2:8">
      <c r="B513" t="s">
        <v>1217</v>
      </c>
      <c r="C513" t="s">
        <v>597</v>
      </c>
      <c r="D513">
        <v>2.4975953551217801E-8</v>
      </c>
      <c r="E513" t="s">
        <v>598</v>
      </c>
      <c r="H513" t="s">
        <v>588</v>
      </c>
    </row>
    <row r="514" spans="2:8">
      <c r="B514" t="s">
        <v>1217</v>
      </c>
      <c r="C514" t="s">
        <v>597</v>
      </c>
      <c r="D514">
        <v>4.7847904918840002E-8</v>
      </c>
      <c r="E514" t="s">
        <v>598</v>
      </c>
      <c r="H514" t="s">
        <v>588</v>
      </c>
    </row>
    <row r="515" spans="2:8">
      <c r="B515" t="s">
        <v>1217</v>
      </c>
      <c r="C515" t="s">
        <v>597</v>
      </c>
      <c r="D515">
        <v>1.4092937261216299E-8</v>
      </c>
      <c r="E515" t="s">
        <v>598</v>
      </c>
      <c r="H515" t="s">
        <v>588</v>
      </c>
    </row>
    <row r="516" spans="2:8">
      <c r="B516" t="s">
        <v>1217</v>
      </c>
      <c r="C516" t="s">
        <v>597</v>
      </c>
      <c r="D516">
        <v>3.35047155409251E-9</v>
      </c>
      <c r="E516" t="s">
        <v>598</v>
      </c>
      <c r="H516" t="s">
        <v>588</v>
      </c>
    </row>
    <row r="517" spans="2:8">
      <c r="B517" t="s">
        <v>1217</v>
      </c>
      <c r="C517" t="s">
        <v>597</v>
      </c>
      <c r="D517">
        <v>3.4828212124121999E-8</v>
      </c>
      <c r="E517" t="s">
        <v>598</v>
      </c>
      <c r="H517" t="s">
        <v>588</v>
      </c>
    </row>
    <row r="518" spans="2:8">
      <c r="B518" t="s">
        <v>1217</v>
      </c>
      <c r="C518" t="s">
        <v>597</v>
      </c>
      <c r="D518">
        <v>3.3056191667278699E-8</v>
      </c>
      <c r="E518" t="s">
        <v>598</v>
      </c>
      <c r="H518" t="s">
        <v>588</v>
      </c>
    </row>
    <row r="519" spans="2:8">
      <c r="B519" t="s">
        <v>1217</v>
      </c>
      <c r="C519" t="s">
        <v>597</v>
      </c>
      <c r="D519">
        <v>4.4175640767648798E-9</v>
      </c>
      <c r="E519" t="s">
        <v>598</v>
      </c>
      <c r="H519" t="s">
        <v>588</v>
      </c>
    </row>
    <row r="520" spans="2:8">
      <c r="B520" t="s">
        <v>1217</v>
      </c>
      <c r="C520" t="s">
        <v>597</v>
      </c>
      <c r="D520">
        <v>3.2228145820921799E-8</v>
      </c>
      <c r="E520" t="s">
        <v>598</v>
      </c>
      <c r="H520" t="s">
        <v>588</v>
      </c>
    </row>
    <row r="521" spans="2:8">
      <c r="B521" t="s">
        <v>1217</v>
      </c>
      <c r="C521" t="s">
        <v>597</v>
      </c>
      <c r="D521">
        <v>8.9369281722811598E-4</v>
      </c>
      <c r="E521" t="s">
        <v>598</v>
      </c>
      <c r="H521" t="s">
        <v>588</v>
      </c>
    </row>
    <row r="522" spans="2:8">
      <c r="B522" t="s">
        <v>1217</v>
      </c>
      <c r="C522" t="s">
        <v>597</v>
      </c>
      <c r="D522">
        <v>1.36658282992373E-4</v>
      </c>
      <c r="E522" t="s">
        <v>598</v>
      </c>
      <c r="H522" t="s">
        <v>588</v>
      </c>
    </row>
    <row r="523" spans="2:8">
      <c r="B523" t="s">
        <v>1217</v>
      </c>
      <c r="C523" t="s">
        <v>597</v>
      </c>
      <c r="D523">
        <v>2.2826091674703599E-4</v>
      </c>
      <c r="E523" t="s">
        <v>598</v>
      </c>
      <c r="H523" t="s">
        <v>588</v>
      </c>
    </row>
    <row r="524" spans="2:8">
      <c r="B524" t="s">
        <v>1217</v>
      </c>
      <c r="C524" t="s">
        <v>597</v>
      </c>
      <c r="D524">
        <v>8.1907141563203702E-6</v>
      </c>
      <c r="E524" t="s">
        <v>598</v>
      </c>
      <c r="H524" t="s">
        <v>588</v>
      </c>
    </row>
    <row r="525" spans="2:8">
      <c r="B525" t="s">
        <v>1217</v>
      </c>
      <c r="C525" t="s">
        <v>597</v>
      </c>
      <c r="D525">
        <v>8.7204990790045204E-4</v>
      </c>
      <c r="E525" t="s">
        <v>598</v>
      </c>
      <c r="H525" t="s">
        <v>588</v>
      </c>
    </row>
    <row r="526" spans="2:8">
      <c r="B526" t="s">
        <v>1217</v>
      </c>
      <c r="C526" t="s">
        <v>597</v>
      </c>
      <c r="D526">
        <v>4.0256462735837197E-9</v>
      </c>
      <c r="E526" t="s">
        <v>598</v>
      </c>
      <c r="H526" t="s">
        <v>588</v>
      </c>
    </row>
    <row r="527" spans="2:8">
      <c r="B527" t="s">
        <v>1217</v>
      </c>
      <c r="C527" t="s">
        <v>597</v>
      </c>
      <c r="D527">
        <v>3.00935597196234E-6</v>
      </c>
      <c r="E527" t="s">
        <v>598</v>
      </c>
      <c r="H527" t="s">
        <v>588</v>
      </c>
    </row>
    <row r="528" spans="2:8">
      <c r="B528" t="s">
        <v>1217</v>
      </c>
      <c r="C528" t="s">
        <v>597</v>
      </c>
      <c r="D528">
        <v>3.4109984299551402E-8</v>
      </c>
      <c r="E528" t="s">
        <v>598</v>
      </c>
      <c r="H528" t="s">
        <v>588</v>
      </c>
    </row>
    <row r="529" spans="2:8">
      <c r="B529" t="s">
        <v>1217</v>
      </c>
      <c r="C529" t="s">
        <v>597</v>
      </c>
      <c r="D529">
        <v>6.69127051442972E-5</v>
      </c>
      <c r="E529" t="s">
        <v>598</v>
      </c>
      <c r="H529" t="s">
        <v>588</v>
      </c>
    </row>
    <row r="530" spans="2:8">
      <c r="B530" t="s">
        <v>1217</v>
      </c>
      <c r="C530" t="s">
        <v>597</v>
      </c>
      <c r="D530">
        <v>1.57449847970299E-8</v>
      </c>
      <c r="E530" t="s">
        <v>598</v>
      </c>
      <c r="H530" t="s">
        <v>588</v>
      </c>
    </row>
    <row r="531" spans="2:8">
      <c r="B531" t="s">
        <v>1217</v>
      </c>
      <c r="C531" t="s">
        <v>597</v>
      </c>
      <c r="D531">
        <v>5.4355461887782597E-7</v>
      </c>
      <c r="E531" t="s">
        <v>598</v>
      </c>
      <c r="H531" t="s">
        <v>588</v>
      </c>
    </row>
    <row r="532" spans="2:8">
      <c r="B532" t="s">
        <v>1217</v>
      </c>
      <c r="C532" t="s">
        <v>597</v>
      </c>
      <c r="D532">
        <v>4.2743183719801696E-9</v>
      </c>
      <c r="E532" t="s">
        <v>598</v>
      </c>
      <c r="H532" t="s">
        <v>588</v>
      </c>
    </row>
    <row r="533" spans="2:8">
      <c r="B533" t="s">
        <v>1217</v>
      </c>
      <c r="C533" t="s">
        <v>597</v>
      </c>
      <c r="D533">
        <v>2.0802957573682499E-8</v>
      </c>
      <c r="E533" t="s">
        <v>598</v>
      </c>
      <c r="H533" t="s">
        <v>588</v>
      </c>
    </row>
    <row r="534" spans="2:8">
      <c r="B534" t="s">
        <v>1217</v>
      </c>
      <c r="C534" t="s">
        <v>597</v>
      </c>
      <c r="D534">
        <v>4.2724586741705399E-5</v>
      </c>
      <c r="E534" t="s">
        <v>598</v>
      </c>
      <c r="H534" t="s">
        <v>588</v>
      </c>
    </row>
    <row r="535" spans="2:8">
      <c r="B535" t="s">
        <v>1217</v>
      </c>
      <c r="C535" t="s">
        <v>597</v>
      </c>
      <c r="D535">
        <v>1.30019594681713E-3</v>
      </c>
      <c r="E535" t="s">
        <v>598</v>
      </c>
      <c r="H535" t="s">
        <v>588</v>
      </c>
    </row>
    <row r="536" spans="2:8">
      <c r="B536" t="s">
        <v>1217</v>
      </c>
      <c r="C536" t="s">
        <v>597</v>
      </c>
      <c r="D536">
        <v>2.0092291107498301E-7</v>
      </c>
      <c r="E536" t="s">
        <v>598</v>
      </c>
      <c r="H536" t="s">
        <v>588</v>
      </c>
    </row>
    <row r="537" spans="2:8">
      <c r="B537" t="s">
        <v>1217</v>
      </c>
      <c r="C537" t="s">
        <v>597</v>
      </c>
      <c r="D537">
        <v>2.3717714784894601E-4</v>
      </c>
      <c r="E537" t="s">
        <v>598</v>
      </c>
      <c r="H537" t="s">
        <v>588</v>
      </c>
    </row>
    <row r="538" spans="2:8">
      <c r="B538" t="s">
        <v>1217</v>
      </c>
      <c r="C538" t="s">
        <v>597</v>
      </c>
      <c r="D538">
        <v>7.0546371936055798E-9</v>
      </c>
      <c r="E538" t="s">
        <v>598</v>
      </c>
      <c r="H538" t="s">
        <v>588</v>
      </c>
    </row>
    <row r="539" spans="2:8">
      <c r="B539" t="s">
        <v>1217</v>
      </c>
      <c r="C539" t="s">
        <v>597</v>
      </c>
      <c r="D539">
        <v>1.2465450283788999E-9</v>
      </c>
      <c r="E539" t="s">
        <v>598</v>
      </c>
      <c r="H539" t="s">
        <v>588</v>
      </c>
    </row>
    <row r="540" spans="2:8">
      <c r="B540" t="s">
        <v>1217</v>
      </c>
      <c r="C540" t="s">
        <v>597</v>
      </c>
      <c r="D540">
        <v>8.48795328403871E-8</v>
      </c>
      <c r="E540" t="s">
        <v>598</v>
      </c>
      <c r="H540" t="s">
        <v>588</v>
      </c>
    </row>
    <row r="541" spans="2:8">
      <c r="B541" t="s">
        <v>1217</v>
      </c>
      <c r="C541" t="s">
        <v>597</v>
      </c>
      <c r="D541">
        <v>1.08561818787187E-7</v>
      </c>
      <c r="E541" t="s">
        <v>598</v>
      </c>
      <c r="H541" t="s">
        <v>588</v>
      </c>
    </row>
    <row r="542" spans="2:8">
      <c r="B542" t="s">
        <v>1217</v>
      </c>
      <c r="C542" t="s">
        <v>597</v>
      </c>
      <c r="D542">
        <v>1.89231556232295E-4</v>
      </c>
      <c r="E542" t="s">
        <v>598</v>
      </c>
      <c r="H542" t="s">
        <v>588</v>
      </c>
    </row>
    <row r="543" spans="2:8">
      <c r="B543" t="s">
        <v>1217</v>
      </c>
      <c r="C543" t="s">
        <v>597</v>
      </c>
      <c r="D543">
        <v>2.9859153885191698E-8</v>
      </c>
      <c r="E543" t="s">
        <v>598</v>
      </c>
      <c r="H543" t="s">
        <v>588</v>
      </c>
    </row>
    <row r="544" spans="2:8">
      <c r="B544" t="s">
        <v>1217</v>
      </c>
      <c r="C544" t="s">
        <v>597</v>
      </c>
      <c r="D544">
        <v>3.6014211610769798E-4</v>
      </c>
      <c r="E544" t="s">
        <v>598</v>
      </c>
      <c r="H544" t="s">
        <v>588</v>
      </c>
    </row>
    <row r="545" spans="2:8">
      <c r="B545" t="s">
        <v>1217</v>
      </c>
      <c r="C545" t="s">
        <v>597</v>
      </c>
      <c r="D545">
        <v>3.1024312094239199E-8</v>
      </c>
      <c r="E545" t="s">
        <v>598</v>
      </c>
      <c r="H545" t="s">
        <v>588</v>
      </c>
    </row>
    <row r="546" spans="2:8">
      <c r="B546" t="s">
        <v>1217</v>
      </c>
      <c r="C546" t="s">
        <v>597</v>
      </c>
      <c r="D546">
        <v>5.1888095228673003E-9</v>
      </c>
      <c r="E546" t="s">
        <v>598</v>
      </c>
      <c r="H546" t="s">
        <v>588</v>
      </c>
    </row>
    <row r="547" spans="2:8">
      <c r="B547" t="s">
        <v>1217</v>
      </c>
      <c r="C547" t="s">
        <v>597</v>
      </c>
      <c r="D547">
        <v>4.5577833101444798E-8</v>
      </c>
      <c r="E547" t="s">
        <v>598</v>
      </c>
      <c r="H547" t="s">
        <v>588</v>
      </c>
    </row>
    <row r="548" spans="2:8">
      <c r="B548" t="s">
        <v>1217</v>
      </c>
      <c r="C548" t="s">
        <v>597</v>
      </c>
      <c r="D548">
        <v>5.4520715606829102E-8</v>
      </c>
      <c r="E548" t="s">
        <v>598</v>
      </c>
      <c r="H548" t="s">
        <v>588</v>
      </c>
    </row>
    <row r="549" spans="2:8">
      <c r="B549" t="s">
        <v>1217</v>
      </c>
      <c r="C549" t="s">
        <v>597</v>
      </c>
      <c r="D549">
        <v>4.5300900731196901E-8</v>
      </c>
      <c r="E549" t="s">
        <v>598</v>
      </c>
      <c r="H549" t="s">
        <v>588</v>
      </c>
    </row>
    <row r="550" spans="2:8">
      <c r="B550" t="s">
        <v>1217</v>
      </c>
      <c r="C550" t="s">
        <v>597</v>
      </c>
      <c r="D550">
        <v>1.1589891373787599E-8</v>
      </c>
      <c r="E550" t="s">
        <v>598</v>
      </c>
      <c r="H550" t="s">
        <v>588</v>
      </c>
    </row>
    <row r="551" spans="2:8">
      <c r="B551" t="s">
        <v>1217</v>
      </c>
      <c r="C551" t="s">
        <v>597</v>
      </c>
      <c r="D551">
        <v>5.6243717204824701E-3</v>
      </c>
      <c r="E551" t="s">
        <v>598</v>
      </c>
      <c r="H551" t="s">
        <v>588</v>
      </c>
    </row>
    <row r="552" spans="2:8">
      <c r="B552" t="s">
        <v>839</v>
      </c>
      <c r="C552" t="s">
        <v>597</v>
      </c>
      <c r="D552">
        <v>4.5959322752000202E-2</v>
      </c>
      <c r="E552" t="s">
        <v>598</v>
      </c>
      <c r="H552" t="s">
        <v>588</v>
      </c>
    </row>
    <row r="553" spans="2:8">
      <c r="B553" t="s">
        <v>839</v>
      </c>
      <c r="C553" t="s">
        <v>597</v>
      </c>
      <c r="D553">
        <v>1.7080326053390099E-6</v>
      </c>
      <c r="E553" t="s">
        <v>598</v>
      </c>
      <c r="H553" t="s">
        <v>588</v>
      </c>
    </row>
    <row r="554" spans="2:8">
      <c r="B554" t="s">
        <v>839</v>
      </c>
      <c r="C554" t="s">
        <v>597</v>
      </c>
      <c r="D554">
        <v>6.9808262085892496E-7</v>
      </c>
      <c r="E554" t="s">
        <v>598</v>
      </c>
      <c r="H554" t="s">
        <v>588</v>
      </c>
    </row>
    <row r="555" spans="2:8">
      <c r="B555" t="s">
        <v>839</v>
      </c>
      <c r="C555" t="s">
        <v>597</v>
      </c>
      <c r="D555">
        <v>1.43213923645869E-5</v>
      </c>
      <c r="E555" t="s">
        <v>598</v>
      </c>
      <c r="H555" t="s">
        <v>588</v>
      </c>
    </row>
    <row r="556" spans="2:8">
      <c r="B556" t="s">
        <v>839</v>
      </c>
      <c r="C556" t="s">
        <v>597</v>
      </c>
      <c r="D556">
        <v>5.70262874800802E-2</v>
      </c>
      <c r="E556" t="s">
        <v>598</v>
      </c>
      <c r="H556" t="s">
        <v>588</v>
      </c>
    </row>
    <row r="557" spans="2:8">
      <c r="B557" t="s">
        <v>839</v>
      </c>
      <c r="C557" t="s">
        <v>597</v>
      </c>
      <c r="D557">
        <v>7.8513585753903502E-8</v>
      </c>
      <c r="E557" t="s">
        <v>598</v>
      </c>
      <c r="H557" t="s">
        <v>588</v>
      </c>
    </row>
    <row r="558" spans="2:8">
      <c r="B558" t="s">
        <v>839</v>
      </c>
      <c r="C558" t="s">
        <v>597</v>
      </c>
      <c r="D558">
        <v>3.8517647819749203E-7</v>
      </c>
      <c r="E558" t="s">
        <v>598</v>
      </c>
      <c r="H558" t="s">
        <v>588</v>
      </c>
    </row>
    <row r="559" spans="2:8">
      <c r="B559" t="s">
        <v>839</v>
      </c>
      <c r="C559" t="s">
        <v>597</v>
      </c>
      <c r="D559">
        <v>1.1188972697969601E-6</v>
      </c>
      <c r="E559" t="s">
        <v>598</v>
      </c>
      <c r="H559" t="s">
        <v>588</v>
      </c>
    </row>
    <row r="560" spans="2:8">
      <c r="B560" t="s">
        <v>839</v>
      </c>
      <c r="C560" t="s">
        <v>597</v>
      </c>
      <c r="D560">
        <v>2.2628974425861599E-7</v>
      </c>
      <c r="E560" t="s">
        <v>598</v>
      </c>
      <c r="H560" t="s">
        <v>588</v>
      </c>
    </row>
    <row r="561" spans="2:8">
      <c r="B561" t="s">
        <v>839</v>
      </c>
      <c r="C561" t="s">
        <v>597</v>
      </c>
      <c r="D561">
        <v>2.9419172828709498E-3</v>
      </c>
      <c r="E561" t="s">
        <v>598</v>
      </c>
      <c r="H561" t="s">
        <v>588</v>
      </c>
    </row>
    <row r="562" spans="2:8">
      <c r="B562" t="s">
        <v>839</v>
      </c>
      <c r="C562" t="s">
        <v>597</v>
      </c>
      <c r="D562">
        <v>3.2473910638188101E-8</v>
      </c>
      <c r="E562" t="s">
        <v>598</v>
      </c>
      <c r="H562" t="s">
        <v>588</v>
      </c>
    </row>
    <row r="563" spans="2:8">
      <c r="B563" t="s">
        <v>839</v>
      </c>
      <c r="C563" t="s">
        <v>597</v>
      </c>
      <c r="D563">
        <v>6.5378614523053494E-8</v>
      </c>
      <c r="E563" t="s">
        <v>598</v>
      </c>
      <c r="H563" t="s">
        <v>588</v>
      </c>
    </row>
    <row r="564" spans="2:8">
      <c r="B564" t="s">
        <v>839</v>
      </c>
      <c r="C564" t="s">
        <v>597</v>
      </c>
      <c r="D564">
        <v>1.2580629944514899E-7</v>
      </c>
      <c r="E564" t="s">
        <v>598</v>
      </c>
      <c r="H564" t="s">
        <v>588</v>
      </c>
    </row>
    <row r="565" spans="2:8">
      <c r="B565" t="s">
        <v>839</v>
      </c>
      <c r="C565" t="s">
        <v>597</v>
      </c>
      <c r="D565">
        <v>1.04091284655228E-7</v>
      </c>
      <c r="E565" t="s">
        <v>598</v>
      </c>
      <c r="H565" t="s">
        <v>588</v>
      </c>
    </row>
    <row r="566" spans="2:8">
      <c r="B566" t="s">
        <v>839</v>
      </c>
      <c r="C566" t="s">
        <v>597</v>
      </c>
      <c r="D566">
        <v>7.1145045788251299E-7</v>
      </c>
      <c r="E566" t="s">
        <v>598</v>
      </c>
      <c r="H566" t="s">
        <v>588</v>
      </c>
    </row>
    <row r="567" spans="2:8">
      <c r="B567" t="s">
        <v>839</v>
      </c>
      <c r="C567" t="s">
        <v>597</v>
      </c>
      <c r="D567">
        <v>1.94369018109644E-3</v>
      </c>
      <c r="E567" t="s">
        <v>598</v>
      </c>
      <c r="H567" t="s">
        <v>588</v>
      </c>
    </row>
    <row r="568" spans="2:8">
      <c r="B568" t="s">
        <v>839</v>
      </c>
      <c r="C568" t="s">
        <v>597</v>
      </c>
      <c r="D568">
        <v>3.5723740467507599E-2</v>
      </c>
      <c r="E568" t="s">
        <v>598</v>
      </c>
      <c r="H568" t="s">
        <v>588</v>
      </c>
    </row>
    <row r="569" spans="2:8">
      <c r="B569" t="s">
        <v>839</v>
      </c>
      <c r="C569" t="s">
        <v>597</v>
      </c>
      <c r="D569">
        <v>5.9842330348936603E-3</v>
      </c>
      <c r="E569" t="s">
        <v>598</v>
      </c>
      <c r="H569" t="s">
        <v>588</v>
      </c>
    </row>
    <row r="570" spans="2:8">
      <c r="B570" t="s">
        <v>839</v>
      </c>
      <c r="C570" t="s">
        <v>597</v>
      </c>
      <c r="D570">
        <v>1.6818129852511202E-2</v>
      </c>
      <c r="E570" t="s">
        <v>598</v>
      </c>
      <c r="H570" t="s">
        <v>588</v>
      </c>
    </row>
    <row r="571" spans="2:8">
      <c r="B571" t="s">
        <v>839</v>
      </c>
      <c r="C571" t="s">
        <v>597</v>
      </c>
      <c r="D571">
        <v>1.0764641990132E-6</v>
      </c>
      <c r="E571" t="s">
        <v>598</v>
      </c>
      <c r="H571" t="s">
        <v>588</v>
      </c>
    </row>
    <row r="572" spans="2:8">
      <c r="B572" t="s">
        <v>839</v>
      </c>
      <c r="C572" t="s">
        <v>597</v>
      </c>
      <c r="D572">
        <v>7.9146033076674793E-3</v>
      </c>
      <c r="E572" t="s">
        <v>598</v>
      </c>
      <c r="H572" t="s">
        <v>588</v>
      </c>
    </row>
    <row r="573" spans="2:8">
      <c r="B573" t="s">
        <v>839</v>
      </c>
      <c r="C573" t="s">
        <v>597</v>
      </c>
      <c r="D573">
        <v>5.6136388206852902E-8</v>
      </c>
      <c r="E573" t="s">
        <v>598</v>
      </c>
      <c r="H573" t="s">
        <v>588</v>
      </c>
    </row>
    <row r="574" spans="2:8">
      <c r="B574" t="s">
        <v>839</v>
      </c>
      <c r="C574" t="s">
        <v>597</v>
      </c>
      <c r="D574">
        <v>6.0863320780596697E-3</v>
      </c>
      <c r="E574" t="s">
        <v>598</v>
      </c>
      <c r="H574" t="s">
        <v>588</v>
      </c>
    </row>
    <row r="575" spans="2:8">
      <c r="B575" t="s">
        <v>839</v>
      </c>
      <c r="C575" t="s">
        <v>597</v>
      </c>
      <c r="D575">
        <v>1.2504918659623899E-6</v>
      </c>
      <c r="E575" t="s">
        <v>598</v>
      </c>
      <c r="H575" t="s">
        <v>588</v>
      </c>
    </row>
    <row r="576" spans="2:8">
      <c r="B576" t="s">
        <v>839</v>
      </c>
      <c r="C576" t="s">
        <v>597</v>
      </c>
      <c r="D576">
        <v>1.39952131558442E-7</v>
      </c>
      <c r="E576" t="s">
        <v>598</v>
      </c>
      <c r="H576" t="s">
        <v>588</v>
      </c>
    </row>
    <row r="577" spans="2:8">
      <c r="B577" t="s">
        <v>839</v>
      </c>
      <c r="C577" t="s">
        <v>597</v>
      </c>
      <c r="D577">
        <v>2.36118618592659E-9</v>
      </c>
      <c r="E577" t="s">
        <v>598</v>
      </c>
      <c r="H577" t="s">
        <v>588</v>
      </c>
    </row>
    <row r="578" spans="2:8">
      <c r="B578" t="s">
        <v>839</v>
      </c>
      <c r="C578" t="s">
        <v>597</v>
      </c>
      <c r="D578">
        <v>1.00046373086913E-3</v>
      </c>
      <c r="E578" t="s">
        <v>598</v>
      </c>
      <c r="H578" t="s">
        <v>588</v>
      </c>
    </row>
    <row r="579" spans="2:8">
      <c r="B579" t="s">
        <v>839</v>
      </c>
      <c r="C579" t="s">
        <v>597</v>
      </c>
      <c r="D579">
        <v>7.41941092148211E-7</v>
      </c>
      <c r="E579" t="s">
        <v>598</v>
      </c>
      <c r="H579" t="s">
        <v>588</v>
      </c>
    </row>
    <row r="580" spans="2:8">
      <c r="B580" t="s">
        <v>839</v>
      </c>
      <c r="C580" t="s">
        <v>597</v>
      </c>
      <c r="D580">
        <v>2.6225708217298501E-7</v>
      </c>
      <c r="E580" t="s">
        <v>598</v>
      </c>
      <c r="H580" t="s">
        <v>588</v>
      </c>
    </row>
    <row r="581" spans="2:8">
      <c r="B581" t="s">
        <v>839</v>
      </c>
      <c r="C581" t="s">
        <v>597</v>
      </c>
      <c r="D581">
        <v>8.0992010820729497E-7</v>
      </c>
      <c r="E581" t="s">
        <v>598</v>
      </c>
      <c r="H581" t="s">
        <v>588</v>
      </c>
    </row>
    <row r="582" spans="2:8">
      <c r="B582" t="s">
        <v>839</v>
      </c>
      <c r="C582" t="s">
        <v>597</v>
      </c>
      <c r="D582">
        <v>2.4940884121790199E-6</v>
      </c>
      <c r="E582" t="s">
        <v>598</v>
      </c>
      <c r="H582" t="s">
        <v>588</v>
      </c>
    </row>
    <row r="583" spans="2:8">
      <c r="B583" t="s">
        <v>839</v>
      </c>
      <c r="C583" t="s">
        <v>597</v>
      </c>
      <c r="D583">
        <v>3.9893409136722198E-7</v>
      </c>
      <c r="E583" t="s">
        <v>598</v>
      </c>
      <c r="H583" t="s">
        <v>588</v>
      </c>
    </row>
    <row r="584" spans="2:8">
      <c r="B584" t="s">
        <v>839</v>
      </c>
      <c r="C584" t="s">
        <v>597</v>
      </c>
      <c r="D584">
        <v>1.4993100853107701E-6</v>
      </c>
      <c r="E584" t="s">
        <v>598</v>
      </c>
      <c r="H584" t="s">
        <v>588</v>
      </c>
    </row>
    <row r="585" spans="2:8">
      <c r="B585" t="s">
        <v>839</v>
      </c>
      <c r="C585" t="s">
        <v>597</v>
      </c>
      <c r="D585">
        <v>8.0856809013983196E-7</v>
      </c>
      <c r="E585" t="s">
        <v>598</v>
      </c>
      <c r="H585" t="s">
        <v>588</v>
      </c>
    </row>
    <row r="586" spans="2:8">
      <c r="B586" t="s">
        <v>839</v>
      </c>
      <c r="C586" t="s">
        <v>597</v>
      </c>
      <c r="D586">
        <v>7.3199203249874797E-7</v>
      </c>
      <c r="E586" t="s">
        <v>598</v>
      </c>
      <c r="H586" t="s">
        <v>588</v>
      </c>
    </row>
    <row r="587" spans="2:8">
      <c r="B587" t="s">
        <v>839</v>
      </c>
      <c r="C587" t="s">
        <v>597</v>
      </c>
      <c r="D587">
        <v>6.0382663913623605E-7</v>
      </c>
      <c r="E587" t="s">
        <v>598</v>
      </c>
      <c r="H587" t="s">
        <v>588</v>
      </c>
    </row>
    <row r="588" spans="2:8">
      <c r="B588" t="s">
        <v>839</v>
      </c>
      <c r="C588" t="s">
        <v>597</v>
      </c>
      <c r="D588">
        <v>4.0393861080433802E-8</v>
      </c>
      <c r="E588" t="s">
        <v>598</v>
      </c>
      <c r="H588" t="s">
        <v>588</v>
      </c>
    </row>
    <row r="589" spans="2:8">
      <c r="B589" t="s">
        <v>839</v>
      </c>
      <c r="C589" t="s">
        <v>597</v>
      </c>
      <c r="D589">
        <v>1.2366455402424401E-5</v>
      </c>
      <c r="E589" t="s">
        <v>598</v>
      </c>
      <c r="H589" t="s">
        <v>588</v>
      </c>
    </row>
    <row r="590" spans="2:8">
      <c r="B590" t="s">
        <v>839</v>
      </c>
      <c r="C590" t="s">
        <v>597</v>
      </c>
      <c r="D590">
        <v>2.6227672660767998E-4</v>
      </c>
      <c r="E590" t="s">
        <v>598</v>
      </c>
      <c r="H590" t="s">
        <v>588</v>
      </c>
    </row>
    <row r="591" spans="2:8">
      <c r="B591" t="s">
        <v>839</v>
      </c>
      <c r="C591" t="s">
        <v>597</v>
      </c>
      <c r="D591">
        <v>2.1346530533333002E-6</v>
      </c>
      <c r="E591" t="s">
        <v>598</v>
      </c>
      <c r="H591" t="s">
        <v>588</v>
      </c>
    </row>
    <row r="592" spans="2:8">
      <c r="B592" t="s">
        <v>839</v>
      </c>
      <c r="C592" t="s">
        <v>597</v>
      </c>
      <c r="D592">
        <v>1.5438888613635801E-6</v>
      </c>
      <c r="E592" t="s">
        <v>598</v>
      </c>
      <c r="H592" t="s">
        <v>588</v>
      </c>
    </row>
    <row r="593" spans="2:8">
      <c r="B593" t="s">
        <v>839</v>
      </c>
      <c r="C593" t="s">
        <v>597</v>
      </c>
      <c r="D593">
        <v>6.8091154081884597E-7</v>
      </c>
      <c r="E593" t="s">
        <v>598</v>
      </c>
      <c r="H593" t="s">
        <v>588</v>
      </c>
    </row>
    <row r="594" spans="2:8">
      <c r="B594" t="s">
        <v>839</v>
      </c>
      <c r="C594" t="s">
        <v>597</v>
      </c>
      <c r="D594">
        <v>1.02980418307727E-7</v>
      </c>
      <c r="E594" t="s">
        <v>598</v>
      </c>
      <c r="H594" t="s">
        <v>588</v>
      </c>
    </row>
    <row r="595" spans="2:8">
      <c r="B595" t="s">
        <v>839</v>
      </c>
      <c r="C595" t="s">
        <v>597</v>
      </c>
      <c r="D595">
        <v>3.04690686310906E-7</v>
      </c>
      <c r="E595" t="s">
        <v>598</v>
      </c>
      <c r="H595" t="s">
        <v>588</v>
      </c>
    </row>
    <row r="596" spans="2:8">
      <c r="B596" t="s">
        <v>839</v>
      </c>
      <c r="C596" t="s">
        <v>597</v>
      </c>
      <c r="D596">
        <v>1.5392801982490499E-4</v>
      </c>
      <c r="E596" t="s">
        <v>598</v>
      </c>
      <c r="H596" t="s">
        <v>588</v>
      </c>
    </row>
    <row r="597" spans="2:8">
      <c r="B597" t="s">
        <v>839</v>
      </c>
      <c r="C597" t="s">
        <v>597</v>
      </c>
      <c r="D597">
        <v>2.3170048425882501E-4</v>
      </c>
      <c r="E597" t="s">
        <v>598</v>
      </c>
      <c r="H597" t="s">
        <v>588</v>
      </c>
    </row>
    <row r="598" spans="2:8">
      <c r="B598" t="s">
        <v>839</v>
      </c>
      <c r="C598" t="s">
        <v>597</v>
      </c>
      <c r="D598">
        <v>3.1700729403854702E-7</v>
      </c>
      <c r="E598" t="s">
        <v>598</v>
      </c>
      <c r="H598" t="s">
        <v>588</v>
      </c>
    </row>
    <row r="599" spans="2:8">
      <c r="B599" t="s">
        <v>839</v>
      </c>
      <c r="C599" t="s">
        <v>597</v>
      </c>
      <c r="D599">
        <v>4.87402150404572E-7</v>
      </c>
      <c r="E599" t="s">
        <v>598</v>
      </c>
      <c r="H599" t="s">
        <v>588</v>
      </c>
    </row>
    <row r="600" spans="2:8">
      <c r="B600" t="s">
        <v>839</v>
      </c>
      <c r="C600" t="s">
        <v>597</v>
      </c>
      <c r="D600">
        <v>1.68212603168565E-7</v>
      </c>
      <c r="E600" t="s">
        <v>598</v>
      </c>
      <c r="H600" t="s">
        <v>588</v>
      </c>
    </row>
    <row r="601" spans="2:8">
      <c r="B601" t="s">
        <v>839</v>
      </c>
      <c r="C601" t="s">
        <v>597</v>
      </c>
      <c r="D601">
        <v>2.72998215921597E-7</v>
      </c>
      <c r="E601" t="s">
        <v>598</v>
      </c>
      <c r="H601" t="s">
        <v>588</v>
      </c>
    </row>
    <row r="602" spans="2:8">
      <c r="B602" t="s">
        <v>839</v>
      </c>
      <c r="C602" t="s">
        <v>597</v>
      </c>
      <c r="D602">
        <v>3.6907225686293402E-7</v>
      </c>
      <c r="E602" t="s">
        <v>598</v>
      </c>
      <c r="H602" t="s">
        <v>588</v>
      </c>
    </row>
    <row r="603" spans="2:8">
      <c r="B603" t="s">
        <v>839</v>
      </c>
      <c r="C603" t="s">
        <v>597</v>
      </c>
      <c r="D603">
        <v>3.4596536167752098E-7</v>
      </c>
      <c r="E603" t="s">
        <v>598</v>
      </c>
      <c r="H603" t="s">
        <v>588</v>
      </c>
    </row>
    <row r="604" spans="2:8">
      <c r="B604" t="s">
        <v>839</v>
      </c>
      <c r="C604" t="s">
        <v>597</v>
      </c>
      <c r="D604">
        <v>1.55211367673681E-6</v>
      </c>
      <c r="E604" t="s">
        <v>598</v>
      </c>
      <c r="H604" t="s">
        <v>588</v>
      </c>
    </row>
    <row r="605" spans="2:8">
      <c r="B605" t="s">
        <v>839</v>
      </c>
      <c r="C605" t="s">
        <v>597</v>
      </c>
      <c r="D605">
        <v>5.6620867556556898E-7</v>
      </c>
      <c r="E605" t="s">
        <v>598</v>
      </c>
      <c r="H605" t="s">
        <v>588</v>
      </c>
    </row>
    <row r="606" spans="2:8">
      <c r="B606" t="s">
        <v>839</v>
      </c>
      <c r="C606" t="s">
        <v>597</v>
      </c>
      <c r="D606">
        <v>2.5580520373845502E-3</v>
      </c>
      <c r="E606" t="s">
        <v>598</v>
      </c>
      <c r="H606" t="s">
        <v>588</v>
      </c>
    </row>
    <row r="607" spans="2:8">
      <c r="B607" t="s">
        <v>839</v>
      </c>
      <c r="C607" t="s">
        <v>597</v>
      </c>
      <c r="D607">
        <v>9.5219774076551995E-8</v>
      </c>
      <c r="E607" t="s">
        <v>598</v>
      </c>
      <c r="H607" t="s">
        <v>588</v>
      </c>
    </row>
    <row r="608" spans="2:8">
      <c r="B608" t="s">
        <v>839</v>
      </c>
      <c r="C608" t="s">
        <v>597</v>
      </c>
      <c r="D608">
        <v>3.1214103275887601E-4</v>
      </c>
      <c r="E608" t="s">
        <v>598</v>
      </c>
      <c r="H608" t="s">
        <v>588</v>
      </c>
    </row>
    <row r="609" spans="2:8">
      <c r="B609" t="s">
        <v>839</v>
      </c>
      <c r="C609" t="s">
        <v>597</v>
      </c>
      <c r="D609">
        <v>1.4516309663230299E-7</v>
      </c>
      <c r="E609" t="s">
        <v>598</v>
      </c>
      <c r="H609" t="s">
        <v>588</v>
      </c>
    </row>
    <row r="610" spans="2:8">
      <c r="B610" t="s">
        <v>839</v>
      </c>
      <c r="C610" t="s">
        <v>597</v>
      </c>
      <c r="D610">
        <v>4.7601698409063096E-6</v>
      </c>
      <c r="E610" t="s">
        <v>598</v>
      </c>
      <c r="H610" t="s">
        <v>588</v>
      </c>
    </row>
    <row r="611" spans="2:8">
      <c r="B611" t="s">
        <v>839</v>
      </c>
      <c r="C611" t="s">
        <v>597</v>
      </c>
      <c r="D611">
        <v>9.9067554712757004E-8</v>
      </c>
      <c r="E611" t="s">
        <v>598</v>
      </c>
      <c r="H611" t="s">
        <v>588</v>
      </c>
    </row>
    <row r="612" spans="2:8">
      <c r="B612" t="s">
        <v>839</v>
      </c>
      <c r="C612" t="s">
        <v>597</v>
      </c>
      <c r="D612">
        <v>9.2523843137921701E-8</v>
      </c>
      <c r="E612" t="s">
        <v>598</v>
      </c>
      <c r="H612" t="s">
        <v>588</v>
      </c>
    </row>
    <row r="613" spans="2:8">
      <c r="B613" t="s">
        <v>839</v>
      </c>
      <c r="C613" t="s">
        <v>597</v>
      </c>
      <c r="D613">
        <v>9.1534387908177497E-7</v>
      </c>
      <c r="E613" t="s">
        <v>598</v>
      </c>
      <c r="H613" t="s">
        <v>588</v>
      </c>
    </row>
    <row r="614" spans="2:8">
      <c r="B614" t="s">
        <v>839</v>
      </c>
      <c r="C614" t="s">
        <v>597</v>
      </c>
      <c r="D614">
        <v>3.4597273408123098E-6</v>
      </c>
      <c r="E614" t="s">
        <v>598</v>
      </c>
      <c r="H614" t="s">
        <v>588</v>
      </c>
    </row>
    <row r="615" spans="2:8">
      <c r="B615" t="s">
        <v>839</v>
      </c>
      <c r="C615" t="s">
        <v>597</v>
      </c>
      <c r="D615">
        <v>1.1018246865252201E-6</v>
      </c>
      <c r="E615" t="s">
        <v>598</v>
      </c>
      <c r="H615" t="s">
        <v>588</v>
      </c>
    </row>
    <row r="616" spans="2:8">
      <c r="B616" t="s">
        <v>839</v>
      </c>
      <c r="C616" t="s">
        <v>597</v>
      </c>
      <c r="D616">
        <v>3.0124666496962999E-5</v>
      </c>
      <c r="E616" t="s">
        <v>598</v>
      </c>
      <c r="H616" t="s">
        <v>588</v>
      </c>
    </row>
    <row r="617" spans="2:8">
      <c r="B617" t="s">
        <v>839</v>
      </c>
      <c r="C617" t="s">
        <v>597</v>
      </c>
      <c r="D617">
        <v>2.6455547311987202E-6</v>
      </c>
      <c r="E617" t="s">
        <v>598</v>
      </c>
      <c r="H617" t="s">
        <v>588</v>
      </c>
    </row>
    <row r="618" spans="2:8">
      <c r="B618" t="s">
        <v>839</v>
      </c>
      <c r="C618" t="s">
        <v>597</v>
      </c>
      <c r="D618">
        <v>9.4592625030633503E-7</v>
      </c>
      <c r="E618" t="s">
        <v>598</v>
      </c>
      <c r="H618" t="s">
        <v>588</v>
      </c>
    </row>
    <row r="619" spans="2:8">
      <c r="B619" t="s">
        <v>839</v>
      </c>
      <c r="C619" t="s">
        <v>597</v>
      </c>
      <c r="D619">
        <v>8.9573320283413505E-8</v>
      </c>
      <c r="E619" t="s">
        <v>598</v>
      </c>
      <c r="H619" t="s">
        <v>588</v>
      </c>
    </row>
    <row r="620" spans="2:8">
      <c r="B620" t="s">
        <v>839</v>
      </c>
      <c r="C620" t="s">
        <v>597</v>
      </c>
      <c r="D620">
        <v>6.1474876333292403E-8</v>
      </c>
      <c r="E620" t="s">
        <v>598</v>
      </c>
      <c r="H620" t="s">
        <v>588</v>
      </c>
    </row>
    <row r="621" spans="2:8">
      <c r="B621" t="s">
        <v>839</v>
      </c>
      <c r="C621" t="s">
        <v>597</v>
      </c>
      <c r="D621">
        <v>5.4999376917608595E-7</v>
      </c>
      <c r="E621" t="s">
        <v>598</v>
      </c>
      <c r="H621" t="s">
        <v>588</v>
      </c>
    </row>
    <row r="622" spans="2:8">
      <c r="B622" t="s">
        <v>839</v>
      </c>
      <c r="C622" t="s">
        <v>597</v>
      </c>
      <c r="D622">
        <v>3.3101450625072E-6</v>
      </c>
      <c r="E622" t="s">
        <v>598</v>
      </c>
      <c r="H622" t="s">
        <v>588</v>
      </c>
    </row>
    <row r="623" spans="2:8">
      <c r="B623" t="s">
        <v>839</v>
      </c>
      <c r="C623" t="s">
        <v>597</v>
      </c>
      <c r="D623">
        <v>9.4293322594387596E-7</v>
      </c>
      <c r="E623" t="s">
        <v>598</v>
      </c>
      <c r="H623" t="s">
        <v>588</v>
      </c>
    </row>
    <row r="624" spans="2:8">
      <c r="B624" t="s">
        <v>839</v>
      </c>
      <c r="C624" t="s">
        <v>597</v>
      </c>
      <c r="D624">
        <v>1.9624064187385998E-6</v>
      </c>
      <c r="E624" t="s">
        <v>598</v>
      </c>
      <c r="H624" t="s">
        <v>588</v>
      </c>
    </row>
    <row r="625" spans="2:8">
      <c r="B625" t="s">
        <v>839</v>
      </c>
      <c r="C625" t="s">
        <v>597</v>
      </c>
      <c r="D625">
        <v>1.5010515105639801E-4</v>
      </c>
      <c r="E625" t="s">
        <v>598</v>
      </c>
      <c r="H625" t="s">
        <v>588</v>
      </c>
    </row>
    <row r="626" spans="2:8">
      <c r="B626" t="s">
        <v>839</v>
      </c>
      <c r="C626" t="s">
        <v>597</v>
      </c>
      <c r="D626">
        <v>3.5392051947489099E-7</v>
      </c>
      <c r="E626" t="s">
        <v>598</v>
      </c>
      <c r="H626" t="s">
        <v>588</v>
      </c>
    </row>
    <row r="627" spans="2:8">
      <c r="B627" t="s">
        <v>839</v>
      </c>
      <c r="C627" t="s">
        <v>597</v>
      </c>
      <c r="D627">
        <v>2.8065652762263799E-8</v>
      </c>
      <c r="E627" t="s">
        <v>598</v>
      </c>
      <c r="H627" t="s">
        <v>588</v>
      </c>
    </row>
    <row r="628" spans="2:8">
      <c r="B628" t="s">
        <v>839</v>
      </c>
      <c r="C628" t="s">
        <v>597</v>
      </c>
      <c r="D628">
        <v>1.6554105452068801E-7</v>
      </c>
      <c r="E628" t="s">
        <v>598</v>
      </c>
      <c r="H628" t="s">
        <v>588</v>
      </c>
    </row>
    <row r="629" spans="2:8">
      <c r="B629" t="s">
        <v>839</v>
      </c>
      <c r="C629" t="s">
        <v>597</v>
      </c>
      <c r="D629">
        <v>6.2227264857775201E-8</v>
      </c>
      <c r="E629" t="s">
        <v>598</v>
      </c>
      <c r="H629" t="s">
        <v>588</v>
      </c>
    </row>
    <row r="630" spans="2:8">
      <c r="B630" t="s">
        <v>839</v>
      </c>
      <c r="C630" t="s">
        <v>597</v>
      </c>
      <c r="D630">
        <v>4.8063141266036099E-7</v>
      </c>
      <c r="E630" t="s">
        <v>598</v>
      </c>
      <c r="H630" t="s">
        <v>588</v>
      </c>
    </row>
    <row r="631" spans="2:8">
      <c r="B631" t="s">
        <v>839</v>
      </c>
      <c r="C631" t="s">
        <v>597</v>
      </c>
      <c r="D631">
        <v>6.7138668622371001E-7</v>
      </c>
      <c r="E631" t="s">
        <v>598</v>
      </c>
      <c r="H631" t="s">
        <v>588</v>
      </c>
    </row>
    <row r="632" spans="2:8">
      <c r="B632" t="s">
        <v>839</v>
      </c>
      <c r="C632" t="s">
        <v>597</v>
      </c>
      <c r="D632">
        <v>2.0097402083996899E-7</v>
      </c>
      <c r="E632" t="s">
        <v>598</v>
      </c>
      <c r="H632" t="s">
        <v>588</v>
      </c>
    </row>
    <row r="633" spans="2:8">
      <c r="B633" t="s">
        <v>839</v>
      </c>
      <c r="C633" t="s">
        <v>597</v>
      </c>
      <c r="D633">
        <v>3.8267993052802599E-3</v>
      </c>
      <c r="E633" t="s">
        <v>598</v>
      </c>
      <c r="H633" t="s">
        <v>588</v>
      </c>
    </row>
    <row r="634" spans="2:8">
      <c r="B634" t="s">
        <v>839</v>
      </c>
      <c r="C634" t="s">
        <v>597</v>
      </c>
      <c r="D634">
        <v>5.2898182174120301E-7</v>
      </c>
      <c r="E634" t="s">
        <v>598</v>
      </c>
      <c r="H634" t="s">
        <v>588</v>
      </c>
    </row>
    <row r="635" spans="2:8">
      <c r="B635" t="s">
        <v>839</v>
      </c>
      <c r="C635" t="s">
        <v>597</v>
      </c>
      <c r="D635">
        <v>8.2438727492753397E-4</v>
      </c>
      <c r="E635" t="s">
        <v>598</v>
      </c>
      <c r="H635" t="s">
        <v>588</v>
      </c>
    </row>
    <row r="636" spans="2:8">
      <c r="B636" t="s">
        <v>839</v>
      </c>
      <c r="C636" t="s">
        <v>597</v>
      </c>
      <c r="D636">
        <v>1.0370835402786E-7</v>
      </c>
      <c r="E636" t="s">
        <v>598</v>
      </c>
      <c r="H636" t="s">
        <v>588</v>
      </c>
    </row>
    <row r="637" spans="2:8">
      <c r="B637" t="s">
        <v>839</v>
      </c>
      <c r="C637" t="s">
        <v>597</v>
      </c>
      <c r="D637">
        <v>2.25114530746483E-3</v>
      </c>
      <c r="E637" t="s">
        <v>598</v>
      </c>
      <c r="H637" t="s">
        <v>588</v>
      </c>
    </row>
    <row r="638" spans="2:8">
      <c r="B638" t="s">
        <v>839</v>
      </c>
      <c r="C638" t="s">
        <v>597</v>
      </c>
      <c r="D638">
        <v>3.5618168231380301E-7</v>
      </c>
      <c r="E638" t="s">
        <v>598</v>
      </c>
      <c r="H638" t="s">
        <v>588</v>
      </c>
    </row>
    <row r="639" spans="2:8">
      <c r="B639" t="s">
        <v>596</v>
      </c>
      <c r="C639" t="s">
        <v>597</v>
      </c>
      <c r="D639">
        <v>1.61960991497684E-6</v>
      </c>
      <c r="E639" t="s">
        <v>598</v>
      </c>
      <c r="H639" t="s">
        <v>588</v>
      </c>
    </row>
    <row r="640" spans="2:8">
      <c r="B640" t="s">
        <v>596</v>
      </c>
      <c r="C640" t="s">
        <v>597</v>
      </c>
      <c r="D640">
        <v>5.2587071945731003E-4</v>
      </c>
      <c r="E640" t="s">
        <v>598</v>
      </c>
      <c r="H640" t="s">
        <v>588</v>
      </c>
    </row>
    <row r="641" spans="2:8">
      <c r="B641" t="s">
        <v>596</v>
      </c>
      <c r="C641" t="s">
        <v>597</v>
      </c>
      <c r="D641">
        <v>2.2074793068919302E-5</v>
      </c>
      <c r="E641" t="s">
        <v>598</v>
      </c>
      <c r="H641" t="s">
        <v>588</v>
      </c>
    </row>
    <row r="642" spans="2:8">
      <c r="B642" t="s">
        <v>596</v>
      </c>
      <c r="C642" t="s">
        <v>597</v>
      </c>
      <c r="D642">
        <v>5.35912579458839E-6</v>
      </c>
      <c r="E642" t="s">
        <v>598</v>
      </c>
      <c r="H642" t="s">
        <v>588</v>
      </c>
    </row>
    <row r="643" spans="2:8">
      <c r="B643" t="s">
        <v>596</v>
      </c>
      <c r="C643" t="s">
        <v>597</v>
      </c>
      <c r="D643">
        <v>1.1543077019923501E-5</v>
      </c>
      <c r="E643" t="s">
        <v>598</v>
      </c>
      <c r="H643" t="s">
        <v>588</v>
      </c>
    </row>
    <row r="644" spans="2:8">
      <c r="B644" t="s">
        <v>596</v>
      </c>
      <c r="C644" t="s">
        <v>597</v>
      </c>
      <c r="D644">
        <v>3.1739128497984201E-5</v>
      </c>
      <c r="E644" t="s">
        <v>598</v>
      </c>
      <c r="H644" t="s">
        <v>588</v>
      </c>
    </row>
    <row r="645" spans="2:8">
      <c r="B645" t="s">
        <v>596</v>
      </c>
      <c r="C645" t="s">
        <v>597</v>
      </c>
      <c r="D645">
        <v>2.6028360838958999E-5</v>
      </c>
      <c r="E645" t="s">
        <v>598</v>
      </c>
      <c r="H645" t="s">
        <v>588</v>
      </c>
    </row>
    <row r="646" spans="2:8">
      <c r="B646" t="s">
        <v>596</v>
      </c>
      <c r="C646" t="s">
        <v>597</v>
      </c>
      <c r="D646">
        <v>0.123782530913412</v>
      </c>
      <c r="E646" t="s">
        <v>598</v>
      </c>
      <c r="H646" t="s">
        <v>588</v>
      </c>
    </row>
    <row r="647" spans="2:8">
      <c r="B647" t="s">
        <v>596</v>
      </c>
      <c r="C647" t="s">
        <v>597</v>
      </c>
      <c r="D647">
        <v>1.8397461982928699E-5</v>
      </c>
      <c r="E647" t="s">
        <v>598</v>
      </c>
      <c r="H647" t="s">
        <v>588</v>
      </c>
    </row>
    <row r="648" spans="2:8">
      <c r="B648" t="s">
        <v>596</v>
      </c>
      <c r="C648" t="s">
        <v>597</v>
      </c>
      <c r="D648">
        <v>4.2608928196645503E-5</v>
      </c>
      <c r="E648" t="s">
        <v>598</v>
      </c>
      <c r="H648" t="s">
        <v>588</v>
      </c>
    </row>
    <row r="649" spans="2:8">
      <c r="B649" t="s">
        <v>596</v>
      </c>
      <c r="C649" t="s">
        <v>597</v>
      </c>
      <c r="D649">
        <v>1.8461583873842399E-6</v>
      </c>
      <c r="E649" t="s">
        <v>598</v>
      </c>
      <c r="H649" t="s">
        <v>588</v>
      </c>
    </row>
    <row r="650" spans="2:8">
      <c r="B650" t="s">
        <v>596</v>
      </c>
      <c r="C650" t="s">
        <v>597</v>
      </c>
      <c r="D650">
        <v>4.2812186522055E-7</v>
      </c>
      <c r="E650" t="s">
        <v>598</v>
      </c>
      <c r="H650" t="s">
        <v>588</v>
      </c>
    </row>
    <row r="651" spans="2:8">
      <c r="B651" t="s">
        <v>596</v>
      </c>
      <c r="C651" t="s">
        <v>597</v>
      </c>
      <c r="D651">
        <v>5.0254940243486997E-9</v>
      </c>
      <c r="E651" t="s">
        <v>598</v>
      </c>
      <c r="H651" t="s">
        <v>588</v>
      </c>
    </row>
    <row r="652" spans="2:8">
      <c r="B652" t="s">
        <v>596</v>
      </c>
      <c r="C652" t="s">
        <v>597</v>
      </c>
      <c r="D652">
        <v>2.07751809852154E-6</v>
      </c>
      <c r="E652" t="s">
        <v>598</v>
      </c>
      <c r="H652" t="s">
        <v>588</v>
      </c>
    </row>
    <row r="653" spans="2:8">
      <c r="B653" t="s">
        <v>596</v>
      </c>
      <c r="C653" t="s">
        <v>597</v>
      </c>
      <c r="D653">
        <v>1.2108728667886201E-4</v>
      </c>
      <c r="E653" t="s">
        <v>598</v>
      </c>
      <c r="H653" t="s">
        <v>588</v>
      </c>
    </row>
    <row r="654" spans="2:8">
      <c r="B654" t="s">
        <v>596</v>
      </c>
      <c r="C654" t="s">
        <v>597</v>
      </c>
      <c r="D654">
        <v>1.9825562626854299E-6</v>
      </c>
      <c r="E654" t="s">
        <v>598</v>
      </c>
      <c r="H654" t="s">
        <v>588</v>
      </c>
    </row>
    <row r="655" spans="2:8">
      <c r="B655" t="s">
        <v>596</v>
      </c>
      <c r="C655" t="s">
        <v>597</v>
      </c>
      <c r="D655">
        <v>1.0097827363086101E-3</v>
      </c>
      <c r="E655" t="s">
        <v>598</v>
      </c>
      <c r="H655" t="s">
        <v>588</v>
      </c>
    </row>
    <row r="656" spans="2:8">
      <c r="B656" t="s">
        <v>596</v>
      </c>
      <c r="C656" t="s">
        <v>597</v>
      </c>
      <c r="D656">
        <v>6.4364813917827201E-9</v>
      </c>
      <c r="E656" t="s">
        <v>598</v>
      </c>
      <c r="H656" t="s">
        <v>588</v>
      </c>
    </row>
    <row r="657" spans="2:8">
      <c r="B657" t="s">
        <v>596</v>
      </c>
      <c r="C657" t="s">
        <v>597</v>
      </c>
      <c r="D657">
        <v>3.57138420717167E-4</v>
      </c>
      <c r="E657" t="s">
        <v>598</v>
      </c>
      <c r="H657" t="s">
        <v>588</v>
      </c>
    </row>
    <row r="658" spans="2:8">
      <c r="B658" t="s">
        <v>596</v>
      </c>
      <c r="C658" t="s">
        <v>597</v>
      </c>
      <c r="D658">
        <v>1.7129817923038099E-6</v>
      </c>
      <c r="E658" t="s">
        <v>598</v>
      </c>
      <c r="H658" t="s">
        <v>1733</v>
      </c>
    </row>
    <row r="659" spans="2:8">
      <c r="B659" t="s">
        <v>596</v>
      </c>
      <c r="C659" t="s">
        <v>597</v>
      </c>
      <c r="D659">
        <v>1.12805444652113E-6</v>
      </c>
      <c r="E659" t="s">
        <v>598</v>
      </c>
      <c r="H659" t="s">
        <v>588</v>
      </c>
    </row>
    <row r="660" spans="2:8">
      <c r="B660" t="s">
        <v>596</v>
      </c>
      <c r="C660" t="s">
        <v>597</v>
      </c>
      <c r="D660">
        <v>1.6411143764522699E-5</v>
      </c>
      <c r="E660" t="s">
        <v>598</v>
      </c>
      <c r="H660" t="s">
        <v>588</v>
      </c>
    </row>
    <row r="661" spans="2:8">
      <c r="B661" t="s">
        <v>596</v>
      </c>
      <c r="C661" t="s">
        <v>597</v>
      </c>
      <c r="D661">
        <v>1.7676011229164498E-2</v>
      </c>
      <c r="E661" t="s">
        <v>598</v>
      </c>
      <c r="H661" t="s">
        <v>588</v>
      </c>
    </row>
    <row r="662" spans="2:8">
      <c r="B662" t="s">
        <v>596</v>
      </c>
      <c r="C662" t="s">
        <v>597</v>
      </c>
      <c r="D662">
        <v>1.18497773982961E-4</v>
      </c>
      <c r="E662" t="s">
        <v>598</v>
      </c>
      <c r="H662" t="s">
        <v>588</v>
      </c>
    </row>
    <row r="663" spans="2:8">
      <c r="B663" t="s">
        <v>596</v>
      </c>
      <c r="C663" t="s">
        <v>597</v>
      </c>
      <c r="D663">
        <v>1.11684745209395E-3</v>
      </c>
      <c r="E663" t="s">
        <v>598</v>
      </c>
      <c r="H663" t="s">
        <v>588</v>
      </c>
    </row>
    <row r="664" spans="2:8">
      <c r="B664" t="s">
        <v>596</v>
      </c>
      <c r="C664" t="s">
        <v>597</v>
      </c>
      <c r="D664">
        <v>5.7201350434467902E-6</v>
      </c>
      <c r="E664" t="s">
        <v>598</v>
      </c>
      <c r="H664" t="s">
        <v>588</v>
      </c>
    </row>
    <row r="665" spans="2:8">
      <c r="B665" t="s">
        <v>596</v>
      </c>
      <c r="C665" t="s">
        <v>597</v>
      </c>
      <c r="D665">
        <v>3.82619614125866E-4</v>
      </c>
      <c r="E665" t="s">
        <v>598</v>
      </c>
      <c r="H665" t="s">
        <v>588</v>
      </c>
    </row>
    <row r="666" spans="2:8">
      <c r="B666" t="s">
        <v>596</v>
      </c>
      <c r="C666" t="s">
        <v>597</v>
      </c>
      <c r="D666">
        <v>7.1821077339000697E-7</v>
      </c>
      <c r="E666" t="s">
        <v>598</v>
      </c>
      <c r="H666" t="s">
        <v>588</v>
      </c>
    </row>
    <row r="667" spans="2:8">
      <c r="B667" t="s">
        <v>596</v>
      </c>
      <c r="C667" t="s">
        <v>597</v>
      </c>
      <c r="D667">
        <v>1.3406683331983701E-3</v>
      </c>
      <c r="E667" t="s">
        <v>598</v>
      </c>
      <c r="H667" t="s">
        <v>588</v>
      </c>
    </row>
    <row r="668" spans="2:8">
      <c r="B668" t="s">
        <v>596</v>
      </c>
      <c r="C668" t="s">
        <v>597</v>
      </c>
      <c r="D668">
        <v>2.8883953635400601E-4</v>
      </c>
      <c r="E668" t="s">
        <v>598</v>
      </c>
      <c r="H668" t="s">
        <v>588</v>
      </c>
    </row>
    <row r="669" spans="2:8">
      <c r="B669" t="s">
        <v>596</v>
      </c>
      <c r="C669" t="s">
        <v>597</v>
      </c>
      <c r="D669">
        <v>1.2156214543406099E-6</v>
      </c>
      <c r="E669" t="s">
        <v>598</v>
      </c>
      <c r="H669" t="s">
        <v>1733</v>
      </c>
    </row>
    <row r="670" spans="2:8">
      <c r="B670" t="s">
        <v>596</v>
      </c>
      <c r="C670" t="s">
        <v>597</v>
      </c>
      <c r="D670">
        <v>1.34440639251834E-4</v>
      </c>
      <c r="E670" t="s">
        <v>598</v>
      </c>
      <c r="H670" t="s">
        <v>588</v>
      </c>
    </row>
    <row r="671" spans="2:8">
      <c r="B671" t="s">
        <v>596</v>
      </c>
      <c r="C671" t="s">
        <v>597</v>
      </c>
      <c r="D671">
        <v>1.9645119425568999E-2</v>
      </c>
      <c r="E671" t="s">
        <v>598</v>
      </c>
      <c r="H671" t="s">
        <v>588</v>
      </c>
    </row>
    <row r="672" spans="2:8">
      <c r="B672" t="s">
        <v>596</v>
      </c>
      <c r="C672" t="s">
        <v>597</v>
      </c>
      <c r="D672">
        <v>3.2904843404737501E-3</v>
      </c>
      <c r="E672" t="s">
        <v>598</v>
      </c>
      <c r="H672" t="s">
        <v>588</v>
      </c>
    </row>
    <row r="673" spans="2:8">
      <c r="B673" t="s">
        <v>596</v>
      </c>
      <c r="C673" t="s">
        <v>597</v>
      </c>
      <c r="D673">
        <v>1.7713574361623701E-7</v>
      </c>
      <c r="E673" t="s">
        <v>598</v>
      </c>
      <c r="H673" t="s">
        <v>588</v>
      </c>
    </row>
    <row r="674" spans="2:8">
      <c r="B674" t="s">
        <v>596</v>
      </c>
      <c r="C674" t="s">
        <v>597</v>
      </c>
      <c r="D674">
        <v>1.18844380332825E-4</v>
      </c>
      <c r="E674" t="s">
        <v>598</v>
      </c>
      <c r="H674" t="s">
        <v>588</v>
      </c>
    </row>
    <row r="675" spans="2:8">
      <c r="B675" t="s">
        <v>596</v>
      </c>
      <c r="C675" t="s">
        <v>597</v>
      </c>
      <c r="D675">
        <v>5.3201875873919505E-4</v>
      </c>
      <c r="E675" t="s">
        <v>598</v>
      </c>
      <c r="H675" t="s">
        <v>588</v>
      </c>
    </row>
    <row r="676" spans="2:8">
      <c r="B676" t="s">
        <v>596</v>
      </c>
      <c r="C676" t="s">
        <v>597</v>
      </c>
      <c r="D676">
        <v>1.8967004002069899E-5</v>
      </c>
      <c r="E676" t="s">
        <v>598</v>
      </c>
      <c r="H676" t="s">
        <v>588</v>
      </c>
    </row>
    <row r="677" spans="2:8">
      <c r="B677" t="s">
        <v>596</v>
      </c>
      <c r="C677" t="s">
        <v>597</v>
      </c>
      <c r="D677">
        <v>8.5507848983327395E-6</v>
      </c>
      <c r="E677" t="s">
        <v>598</v>
      </c>
      <c r="H677" t="s">
        <v>588</v>
      </c>
    </row>
    <row r="678" spans="2:8">
      <c r="B678" t="s">
        <v>596</v>
      </c>
      <c r="C678" t="s">
        <v>597</v>
      </c>
      <c r="D678">
        <v>9.3567588655099106E-6</v>
      </c>
      <c r="E678" t="s">
        <v>598</v>
      </c>
      <c r="H678" t="s">
        <v>1733</v>
      </c>
    </row>
    <row r="679" spans="2:8">
      <c r="B679" t="s">
        <v>596</v>
      </c>
      <c r="C679" t="s">
        <v>597</v>
      </c>
      <c r="D679">
        <v>6.9123169298749196E-6</v>
      </c>
      <c r="E679" t="s">
        <v>598</v>
      </c>
      <c r="H679" t="s">
        <v>588</v>
      </c>
    </row>
    <row r="680" spans="2:8">
      <c r="B680" t="s">
        <v>596</v>
      </c>
      <c r="C680" t="s">
        <v>597</v>
      </c>
      <c r="D680">
        <v>2.8104350507829101E-4</v>
      </c>
      <c r="E680" t="s">
        <v>598</v>
      </c>
      <c r="H680" t="s">
        <v>588</v>
      </c>
    </row>
    <row r="681" spans="2:8">
      <c r="B681" t="s">
        <v>596</v>
      </c>
      <c r="C681" t="s">
        <v>597</v>
      </c>
      <c r="D681">
        <v>4.92882993045053E-5</v>
      </c>
      <c r="E681" t="s">
        <v>598</v>
      </c>
      <c r="H681" t="s">
        <v>588</v>
      </c>
    </row>
    <row r="682" spans="2:8">
      <c r="B682" t="s">
        <v>596</v>
      </c>
      <c r="C682" t="s">
        <v>597</v>
      </c>
      <c r="D682">
        <v>3.05747114356264E-3</v>
      </c>
      <c r="E682" t="s">
        <v>598</v>
      </c>
      <c r="H682" t="s">
        <v>1733</v>
      </c>
    </row>
    <row r="683" spans="2:8">
      <c r="B683" t="s">
        <v>596</v>
      </c>
      <c r="C683" t="s">
        <v>597</v>
      </c>
      <c r="D683">
        <v>2.0263390117741802E-6</v>
      </c>
      <c r="E683" t="s">
        <v>598</v>
      </c>
      <c r="H683" t="s">
        <v>1733</v>
      </c>
    </row>
    <row r="684" spans="2:8">
      <c r="B684" t="s">
        <v>596</v>
      </c>
      <c r="C684" t="s">
        <v>597</v>
      </c>
      <c r="D684">
        <v>9.9656400276649894E-7</v>
      </c>
      <c r="E684" t="s">
        <v>598</v>
      </c>
      <c r="H684" t="s">
        <v>1733</v>
      </c>
    </row>
    <row r="685" spans="2:8">
      <c r="B685" t="s">
        <v>596</v>
      </c>
      <c r="C685" t="s">
        <v>597</v>
      </c>
      <c r="D685">
        <v>7.8935487848264101E-6</v>
      </c>
      <c r="E685" t="s">
        <v>598</v>
      </c>
      <c r="H685" t="s">
        <v>1733</v>
      </c>
    </row>
    <row r="686" spans="2:8">
      <c r="B686" t="s">
        <v>596</v>
      </c>
      <c r="C686" t="s">
        <v>597</v>
      </c>
      <c r="D686">
        <v>4.008260278688E-4</v>
      </c>
      <c r="E686" t="s">
        <v>598</v>
      </c>
      <c r="H686" t="s">
        <v>588</v>
      </c>
    </row>
    <row r="687" spans="2:8">
      <c r="B687" t="s">
        <v>596</v>
      </c>
      <c r="C687" t="s">
        <v>597</v>
      </c>
      <c r="D687">
        <v>8.7721961802986496E-7</v>
      </c>
      <c r="E687" t="s">
        <v>598</v>
      </c>
      <c r="H687" t="s">
        <v>588</v>
      </c>
    </row>
    <row r="688" spans="2:8">
      <c r="B688" t="s">
        <v>596</v>
      </c>
      <c r="C688" t="s">
        <v>597</v>
      </c>
      <c r="D688">
        <v>9.4762709191153203E-5</v>
      </c>
      <c r="E688" t="s">
        <v>598</v>
      </c>
      <c r="H688" t="s">
        <v>588</v>
      </c>
    </row>
    <row r="689" spans="2:8">
      <c r="B689" t="s">
        <v>596</v>
      </c>
      <c r="C689" t="s">
        <v>597</v>
      </c>
      <c r="D689">
        <v>1.70093356123087E-6</v>
      </c>
      <c r="E689" t="s">
        <v>598</v>
      </c>
      <c r="H689" t="s">
        <v>588</v>
      </c>
    </row>
    <row r="690" spans="2:8">
      <c r="B690" t="s">
        <v>596</v>
      </c>
      <c r="C690" t="s">
        <v>597</v>
      </c>
      <c r="D690">
        <v>1.2224965951063901E-6</v>
      </c>
      <c r="E690" t="s">
        <v>598</v>
      </c>
      <c r="H690" t="s">
        <v>1733</v>
      </c>
    </row>
    <row r="691" spans="2:8">
      <c r="B691" t="s">
        <v>596</v>
      </c>
      <c r="C691" t="s">
        <v>597</v>
      </c>
      <c r="D691">
        <v>1.6954393453466401E-2</v>
      </c>
      <c r="E691" t="s">
        <v>598</v>
      </c>
      <c r="H691" t="s">
        <v>588</v>
      </c>
    </row>
    <row r="692" spans="2:8">
      <c r="B692" t="s">
        <v>596</v>
      </c>
      <c r="C692" t="s">
        <v>597</v>
      </c>
      <c r="D692">
        <v>4.12598154343306E-7</v>
      </c>
      <c r="E692" t="s">
        <v>598</v>
      </c>
      <c r="H692" t="s">
        <v>1733</v>
      </c>
    </row>
    <row r="693" spans="2:8">
      <c r="B693" t="s">
        <v>596</v>
      </c>
      <c r="C693" t="s">
        <v>597</v>
      </c>
      <c r="D693">
        <v>1.8444262019416399E-7</v>
      </c>
      <c r="E693" t="s">
        <v>598</v>
      </c>
      <c r="H693" t="s">
        <v>588</v>
      </c>
    </row>
    <row r="694" spans="2:8">
      <c r="B694" t="s">
        <v>596</v>
      </c>
      <c r="C694" t="s">
        <v>597</v>
      </c>
      <c r="D694">
        <v>1.7611202870871201E-6</v>
      </c>
      <c r="E694" t="s">
        <v>598</v>
      </c>
      <c r="H694" t="s">
        <v>588</v>
      </c>
    </row>
    <row r="695" spans="2:8">
      <c r="B695" t="s">
        <v>596</v>
      </c>
      <c r="C695" t="s">
        <v>597</v>
      </c>
      <c r="D695">
        <v>6.45578154248364E-7</v>
      </c>
      <c r="E695" t="s">
        <v>598</v>
      </c>
      <c r="H695" t="s">
        <v>1733</v>
      </c>
    </row>
    <row r="696" spans="2:8">
      <c r="B696" t="s">
        <v>596</v>
      </c>
      <c r="C696" t="s">
        <v>597</v>
      </c>
      <c r="D696">
        <v>2.7719033611277699E-7</v>
      </c>
      <c r="E696" t="s">
        <v>598</v>
      </c>
      <c r="H696" t="s">
        <v>1733</v>
      </c>
    </row>
    <row r="697" spans="2:8">
      <c r="B697" t="s">
        <v>596</v>
      </c>
      <c r="C697" t="s">
        <v>597</v>
      </c>
      <c r="D697">
        <v>1.3888828800609799E-6</v>
      </c>
      <c r="E697" t="s">
        <v>598</v>
      </c>
      <c r="H697" t="s">
        <v>588</v>
      </c>
    </row>
    <row r="698" spans="2:8">
      <c r="B698" t="s">
        <v>596</v>
      </c>
      <c r="C698" t="s">
        <v>597</v>
      </c>
      <c r="D698">
        <v>6.2003559686959399E-5</v>
      </c>
      <c r="E698" t="s">
        <v>598</v>
      </c>
      <c r="H698" t="s">
        <v>588</v>
      </c>
    </row>
    <row r="699" spans="2:8">
      <c r="B699" t="s">
        <v>596</v>
      </c>
      <c r="C699" t="s">
        <v>597</v>
      </c>
      <c r="D699">
        <v>7.7948443102630002E-8</v>
      </c>
      <c r="E699" t="s">
        <v>598</v>
      </c>
      <c r="H699" t="s">
        <v>1733</v>
      </c>
    </row>
    <row r="700" spans="2:8">
      <c r="B700" t="s">
        <v>596</v>
      </c>
      <c r="C700" t="s">
        <v>597</v>
      </c>
      <c r="D700">
        <v>1.13690140734377E-6</v>
      </c>
      <c r="E700" t="s">
        <v>598</v>
      </c>
      <c r="H700" t="s">
        <v>1733</v>
      </c>
    </row>
    <row r="701" spans="2:8">
      <c r="B701" t="s">
        <v>596</v>
      </c>
      <c r="C701" t="s">
        <v>597</v>
      </c>
      <c r="D701">
        <v>5.6499456141022601E-4</v>
      </c>
      <c r="E701" t="s">
        <v>598</v>
      </c>
      <c r="H701" t="s">
        <v>588</v>
      </c>
    </row>
    <row r="702" spans="2:8">
      <c r="B702" t="s">
        <v>596</v>
      </c>
      <c r="C702" t="s">
        <v>597</v>
      </c>
      <c r="D702">
        <v>2.6802838844668201E-4</v>
      </c>
      <c r="E702" t="s">
        <v>598</v>
      </c>
      <c r="H702" t="s">
        <v>588</v>
      </c>
    </row>
    <row r="703" spans="2:8">
      <c r="B703" t="s">
        <v>596</v>
      </c>
      <c r="C703" t="s">
        <v>597</v>
      </c>
      <c r="D703">
        <v>7.6767743392384704E-7</v>
      </c>
      <c r="E703" t="s">
        <v>598</v>
      </c>
      <c r="H703" t="s">
        <v>588</v>
      </c>
    </row>
    <row r="704" spans="2:8">
      <c r="B704" t="s">
        <v>596</v>
      </c>
      <c r="C704" t="s">
        <v>597</v>
      </c>
      <c r="D704">
        <v>2.04731702246114E-6</v>
      </c>
      <c r="E704" t="s">
        <v>598</v>
      </c>
      <c r="H704" t="s">
        <v>588</v>
      </c>
    </row>
    <row r="705" spans="2:8">
      <c r="B705" t="s">
        <v>596</v>
      </c>
      <c r="C705" t="s">
        <v>597</v>
      </c>
      <c r="D705">
        <v>7.3815376306693905E-5</v>
      </c>
      <c r="E705" t="s">
        <v>598</v>
      </c>
      <c r="H705" t="s">
        <v>588</v>
      </c>
    </row>
    <row r="706" spans="2:8">
      <c r="B706" t="s">
        <v>596</v>
      </c>
      <c r="C706" t="s">
        <v>597</v>
      </c>
      <c r="D706">
        <v>2.4461464800223898E-6</v>
      </c>
      <c r="E706" t="s">
        <v>598</v>
      </c>
      <c r="H706" t="s">
        <v>588</v>
      </c>
    </row>
    <row r="707" spans="2:8">
      <c r="B707" t="s">
        <v>596</v>
      </c>
      <c r="C707" t="s">
        <v>597</v>
      </c>
      <c r="D707">
        <v>1.72868615832249E-4</v>
      </c>
      <c r="E707" t="s">
        <v>598</v>
      </c>
      <c r="H707" t="s">
        <v>588</v>
      </c>
    </row>
    <row r="708" spans="2:8">
      <c r="B708" t="s">
        <v>596</v>
      </c>
      <c r="C708" t="s">
        <v>597</v>
      </c>
      <c r="D708">
        <v>1.19632599175314E-4</v>
      </c>
      <c r="E708" t="s">
        <v>598</v>
      </c>
      <c r="H708" t="s">
        <v>588</v>
      </c>
    </row>
    <row r="709" spans="2:8">
      <c r="B709" t="s">
        <v>596</v>
      </c>
      <c r="C709" t="s">
        <v>597</v>
      </c>
      <c r="D709">
        <v>7.2242391564549696E-4</v>
      </c>
      <c r="E709" t="s">
        <v>598</v>
      </c>
      <c r="H709" t="s">
        <v>588</v>
      </c>
    </row>
    <row r="710" spans="2:8">
      <c r="B710" t="s">
        <v>596</v>
      </c>
      <c r="C710" t="s">
        <v>597</v>
      </c>
      <c r="D710">
        <v>2.6960532737599399E-5</v>
      </c>
      <c r="E710" t="s">
        <v>598</v>
      </c>
      <c r="H710" t="s">
        <v>588</v>
      </c>
    </row>
    <row r="711" spans="2:8">
      <c r="B711" t="s">
        <v>596</v>
      </c>
      <c r="C711" t="s">
        <v>597</v>
      </c>
      <c r="D711">
        <v>1.4718245388606701E-5</v>
      </c>
      <c r="E711" t="s">
        <v>598</v>
      </c>
      <c r="H711" t="s">
        <v>1733</v>
      </c>
    </row>
    <row r="712" spans="2:8">
      <c r="B712" t="s">
        <v>596</v>
      </c>
      <c r="C712" t="s">
        <v>597</v>
      </c>
      <c r="D712">
        <v>4.63479693505505E-5</v>
      </c>
      <c r="E712" t="s">
        <v>598</v>
      </c>
      <c r="H712" t="s">
        <v>588</v>
      </c>
    </row>
    <row r="713" spans="2:8">
      <c r="B713" t="s">
        <v>596</v>
      </c>
      <c r="C713" t="s">
        <v>597</v>
      </c>
      <c r="D713">
        <v>7.0598633058484201E-7</v>
      </c>
      <c r="E713" t="s">
        <v>598</v>
      </c>
      <c r="H713" t="s">
        <v>588</v>
      </c>
    </row>
    <row r="714" spans="2:8">
      <c r="B714" t="s">
        <v>596</v>
      </c>
      <c r="C714" t="s">
        <v>597</v>
      </c>
      <c r="D714">
        <v>7.3255225932716405E-4</v>
      </c>
      <c r="E714" t="s">
        <v>598</v>
      </c>
      <c r="H714" t="s">
        <v>588</v>
      </c>
    </row>
    <row r="715" spans="2:8">
      <c r="B715" t="s">
        <v>596</v>
      </c>
      <c r="C715" t="s">
        <v>597</v>
      </c>
      <c r="D715">
        <v>3.0955265037198403E-5</v>
      </c>
      <c r="E715" t="s">
        <v>598</v>
      </c>
      <c r="H715" t="s">
        <v>588</v>
      </c>
    </row>
    <row r="716" spans="2:8">
      <c r="B716" t="s">
        <v>596</v>
      </c>
      <c r="C716" t="s">
        <v>597</v>
      </c>
      <c r="D716">
        <v>2.75128836657457E-5</v>
      </c>
      <c r="E716" t="s">
        <v>598</v>
      </c>
      <c r="H716" t="s">
        <v>588</v>
      </c>
    </row>
    <row r="717" spans="2:8">
      <c r="B717" t="s">
        <v>596</v>
      </c>
      <c r="C717" t="s">
        <v>597</v>
      </c>
      <c r="D717">
        <v>3.5785234619068499E-7</v>
      </c>
      <c r="E717" t="s">
        <v>598</v>
      </c>
      <c r="H717" t="s">
        <v>588</v>
      </c>
    </row>
    <row r="718" spans="2:8">
      <c r="B718" t="s">
        <v>596</v>
      </c>
      <c r="C718" t="s">
        <v>597</v>
      </c>
      <c r="D718">
        <v>7.0850608887885103E-6</v>
      </c>
      <c r="E718" t="s">
        <v>598</v>
      </c>
      <c r="H718" t="s">
        <v>588</v>
      </c>
    </row>
    <row r="719" spans="2:8">
      <c r="B719" t="s">
        <v>596</v>
      </c>
      <c r="C719" t="s">
        <v>597</v>
      </c>
      <c r="D719">
        <v>8.9475460581424406E-5</v>
      </c>
      <c r="E719" t="s">
        <v>598</v>
      </c>
      <c r="H719" t="s">
        <v>588</v>
      </c>
    </row>
    <row r="720" spans="2:8">
      <c r="B720" t="s">
        <v>596</v>
      </c>
      <c r="C720" t="s">
        <v>597</v>
      </c>
      <c r="D720">
        <v>4.7688032507773601E-5</v>
      </c>
      <c r="E720" t="s">
        <v>598</v>
      </c>
      <c r="H720" t="s">
        <v>588</v>
      </c>
    </row>
    <row r="721" spans="2:8">
      <c r="B721" t="s">
        <v>596</v>
      </c>
      <c r="C721" t="s">
        <v>597</v>
      </c>
      <c r="D721">
        <v>1.8480373069204499E-5</v>
      </c>
      <c r="E721" t="s">
        <v>598</v>
      </c>
      <c r="H721" t="s">
        <v>588</v>
      </c>
    </row>
    <row r="722" spans="2:8">
      <c r="B722" t="s">
        <v>596</v>
      </c>
      <c r="C722" t="s">
        <v>597</v>
      </c>
      <c r="D722">
        <v>4.2204353022827098E-6</v>
      </c>
      <c r="E722" t="s">
        <v>598</v>
      </c>
      <c r="H722" t="s">
        <v>588</v>
      </c>
    </row>
    <row r="723" spans="2:8">
      <c r="B723" t="s">
        <v>596</v>
      </c>
      <c r="C723" t="s">
        <v>597</v>
      </c>
      <c r="D723">
        <v>3.1391328643246198E-4</v>
      </c>
      <c r="E723" t="s">
        <v>598</v>
      </c>
      <c r="H723" t="s">
        <v>588</v>
      </c>
    </row>
    <row r="724" spans="2:8">
      <c r="B724" t="s">
        <v>596</v>
      </c>
      <c r="C724" t="s">
        <v>597</v>
      </c>
      <c r="D724">
        <v>2.5922066276849501E-3</v>
      </c>
      <c r="E724" t="s">
        <v>598</v>
      </c>
      <c r="H724" t="s">
        <v>1733</v>
      </c>
    </row>
    <row r="725" spans="2:8">
      <c r="B725" t="s">
        <v>596</v>
      </c>
      <c r="C725" t="s">
        <v>597</v>
      </c>
      <c r="D725">
        <v>1.32019729123108E-3</v>
      </c>
      <c r="E725" t="s">
        <v>598</v>
      </c>
      <c r="H725" t="s">
        <v>588</v>
      </c>
    </row>
    <row r="726" spans="2:8">
      <c r="B726" t="s">
        <v>596</v>
      </c>
      <c r="C726" t="s">
        <v>597</v>
      </c>
      <c r="D726">
        <v>7.1819423582904999E-3</v>
      </c>
      <c r="E726" t="s">
        <v>598</v>
      </c>
      <c r="H726" t="s">
        <v>588</v>
      </c>
    </row>
    <row r="727" spans="2:8">
      <c r="B727" t="s">
        <v>596</v>
      </c>
      <c r="C727" t="s">
        <v>597</v>
      </c>
      <c r="D727">
        <v>2.5772779194076001E-4</v>
      </c>
      <c r="E727" t="s">
        <v>598</v>
      </c>
      <c r="H727" t="s">
        <v>588</v>
      </c>
    </row>
    <row r="728" spans="2:8">
      <c r="B728" t="s">
        <v>596</v>
      </c>
      <c r="C728" t="s">
        <v>597</v>
      </c>
      <c r="D728">
        <v>1.5455462450558201E-7</v>
      </c>
      <c r="E728" t="s">
        <v>598</v>
      </c>
      <c r="H728" t="s">
        <v>588</v>
      </c>
    </row>
    <row r="729" spans="2:8">
      <c r="B729" t="s">
        <v>596</v>
      </c>
      <c r="C729" t="s">
        <v>597</v>
      </c>
      <c r="D729">
        <v>1.10466512118377E-5</v>
      </c>
      <c r="E729" t="s">
        <v>598</v>
      </c>
      <c r="H729" t="s">
        <v>588</v>
      </c>
    </row>
    <row r="730" spans="2:8">
      <c r="B730" t="s">
        <v>596</v>
      </c>
      <c r="C730" t="s">
        <v>597</v>
      </c>
      <c r="D730">
        <v>3.5541968728600402E-2</v>
      </c>
      <c r="E730" t="s">
        <v>598</v>
      </c>
      <c r="H730" t="s">
        <v>588</v>
      </c>
    </row>
    <row r="731" spans="2:8">
      <c r="B731" t="s">
        <v>596</v>
      </c>
      <c r="C731" t="s">
        <v>597</v>
      </c>
      <c r="D731">
        <v>2.9631386151024297E-7</v>
      </c>
      <c r="E731" t="s">
        <v>598</v>
      </c>
      <c r="H731" t="s">
        <v>588</v>
      </c>
    </row>
    <row r="732" spans="2:8">
      <c r="B732" t="s">
        <v>596</v>
      </c>
      <c r="C732" t="s">
        <v>597</v>
      </c>
      <c r="D732">
        <v>2.3005146612768701E-4</v>
      </c>
      <c r="E732" t="s">
        <v>598</v>
      </c>
      <c r="H732" t="s">
        <v>588</v>
      </c>
    </row>
    <row r="733" spans="2:8">
      <c r="B733" t="s">
        <v>596</v>
      </c>
      <c r="C733" t="s">
        <v>597</v>
      </c>
      <c r="D733">
        <v>4.2857744548687501E-2</v>
      </c>
      <c r="E733" t="s">
        <v>598</v>
      </c>
      <c r="H733" t="s">
        <v>588</v>
      </c>
    </row>
    <row r="734" spans="2:8">
      <c r="B734" t="s">
        <v>596</v>
      </c>
      <c r="C734" t="s">
        <v>597</v>
      </c>
      <c r="D734">
        <v>2.6340604144875101E-9</v>
      </c>
      <c r="E734" t="s">
        <v>598</v>
      </c>
      <c r="H734" t="s">
        <v>588</v>
      </c>
    </row>
    <row r="735" spans="2:8">
      <c r="B735" t="s">
        <v>596</v>
      </c>
      <c r="C735" t="s">
        <v>597</v>
      </c>
      <c r="D735">
        <v>9.8666934624695096E-7</v>
      </c>
      <c r="E735" t="s">
        <v>598</v>
      </c>
      <c r="H735" t="s">
        <v>1733</v>
      </c>
    </row>
    <row r="736" spans="2:8">
      <c r="B736" t="s">
        <v>596</v>
      </c>
      <c r="C736" t="s">
        <v>597</v>
      </c>
      <c r="D736">
        <v>4.4916694264753402E-5</v>
      </c>
      <c r="E736" t="s">
        <v>598</v>
      </c>
      <c r="H736" t="s">
        <v>588</v>
      </c>
    </row>
    <row r="737" spans="2:8">
      <c r="B737" t="s">
        <v>596</v>
      </c>
      <c r="C737" t="s">
        <v>597</v>
      </c>
      <c r="D737">
        <v>5.4687490503974902E-4</v>
      </c>
      <c r="E737" t="s">
        <v>598</v>
      </c>
      <c r="H737" t="s">
        <v>588</v>
      </c>
    </row>
    <row r="738" spans="2:8">
      <c r="B738" t="s">
        <v>596</v>
      </c>
      <c r="C738" t="s">
        <v>597</v>
      </c>
      <c r="D738">
        <v>3.0907316382230399E-5</v>
      </c>
      <c r="E738" t="s">
        <v>598</v>
      </c>
      <c r="H738" t="s">
        <v>588</v>
      </c>
    </row>
    <row r="739" spans="2:8">
      <c r="B739" t="s">
        <v>596</v>
      </c>
      <c r="C739" t="s">
        <v>597</v>
      </c>
      <c r="D739">
        <v>9.8087826115827599E-5</v>
      </c>
      <c r="E739" t="s">
        <v>598</v>
      </c>
      <c r="H739" t="s">
        <v>588</v>
      </c>
    </row>
    <row r="740" spans="2:8">
      <c r="B740" t="s">
        <v>596</v>
      </c>
      <c r="C740" t="s">
        <v>597</v>
      </c>
      <c r="D740">
        <v>1.3890344765155099E-7</v>
      </c>
      <c r="E740" t="s">
        <v>598</v>
      </c>
      <c r="H740" t="s">
        <v>588</v>
      </c>
    </row>
    <row r="741" spans="2:8">
      <c r="B741" t="s">
        <v>596</v>
      </c>
      <c r="C741" t="s">
        <v>597</v>
      </c>
      <c r="D741">
        <v>1.5278446724869801E-2</v>
      </c>
      <c r="E741" t="s">
        <v>598</v>
      </c>
      <c r="H741" t="s">
        <v>588</v>
      </c>
    </row>
    <row r="742" spans="2:8">
      <c r="B742" t="s">
        <v>596</v>
      </c>
      <c r="C742" t="s">
        <v>597</v>
      </c>
      <c r="D742">
        <v>2.1319319188124401E-2</v>
      </c>
      <c r="E742" t="s">
        <v>598</v>
      </c>
      <c r="H742" t="s">
        <v>588</v>
      </c>
    </row>
    <row r="743" spans="2:8">
      <c r="B743" t="s">
        <v>596</v>
      </c>
      <c r="C743" t="s">
        <v>597</v>
      </c>
      <c r="D743">
        <v>2.1099705053157999E-6</v>
      </c>
      <c r="E743" t="s">
        <v>598</v>
      </c>
      <c r="H743" t="s">
        <v>588</v>
      </c>
    </row>
    <row r="744" spans="2:8">
      <c r="B744" t="s">
        <v>596</v>
      </c>
      <c r="C744" t="s">
        <v>597</v>
      </c>
      <c r="D744">
        <v>2.1243693452917701E-8</v>
      </c>
      <c r="E744" t="s">
        <v>598</v>
      </c>
      <c r="H744" t="s">
        <v>588</v>
      </c>
    </row>
    <row r="745" spans="2:8">
      <c r="B745" t="s">
        <v>596</v>
      </c>
      <c r="C745" t="s">
        <v>597</v>
      </c>
      <c r="D745">
        <v>3.0776028792644197E-5</v>
      </c>
      <c r="E745" t="s">
        <v>598</v>
      </c>
      <c r="H745" t="s">
        <v>588</v>
      </c>
    </row>
    <row r="746" spans="2:8">
      <c r="B746" t="s">
        <v>596</v>
      </c>
      <c r="C746" t="s">
        <v>597</v>
      </c>
      <c r="D746">
        <v>1.2330933139862899E-6</v>
      </c>
      <c r="E746" t="s">
        <v>598</v>
      </c>
      <c r="H746" t="s">
        <v>1733</v>
      </c>
    </row>
    <row r="747" spans="2:8">
      <c r="B747" t="s">
        <v>596</v>
      </c>
      <c r="C747" t="s">
        <v>597</v>
      </c>
      <c r="D747">
        <v>3.8513575649198301E-2</v>
      </c>
      <c r="E747" t="s">
        <v>598</v>
      </c>
      <c r="H747" t="s">
        <v>588</v>
      </c>
    </row>
    <row r="748" spans="2:8">
      <c r="B748" t="s">
        <v>596</v>
      </c>
      <c r="C748" t="s">
        <v>597</v>
      </c>
      <c r="D748">
        <v>1.5384623380195401E-3</v>
      </c>
      <c r="E748" t="s">
        <v>598</v>
      </c>
      <c r="H748" t="s">
        <v>588</v>
      </c>
    </row>
    <row r="749" spans="2:8">
      <c r="B749" t="s">
        <v>596</v>
      </c>
      <c r="C749" t="s">
        <v>597</v>
      </c>
      <c r="D749">
        <v>2.48928911906677E-6</v>
      </c>
      <c r="E749" t="s">
        <v>598</v>
      </c>
      <c r="H749" t="s">
        <v>588</v>
      </c>
    </row>
    <row r="750" spans="2:8">
      <c r="B750" t="s">
        <v>596</v>
      </c>
      <c r="C750" t="s">
        <v>597</v>
      </c>
      <c r="D750">
        <v>2.3861357841118E-3</v>
      </c>
      <c r="E750" t="s">
        <v>598</v>
      </c>
      <c r="H750" t="s">
        <v>588</v>
      </c>
    </row>
    <row r="751" spans="2:8">
      <c r="B751" t="s">
        <v>596</v>
      </c>
      <c r="C751" t="s">
        <v>597</v>
      </c>
      <c r="D751">
        <v>8.0275702829372205E-4</v>
      </c>
      <c r="E751" t="s">
        <v>598</v>
      </c>
      <c r="H751" t="s">
        <v>588</v>
      </c>
    </row>
    <row r="752" spans="2:8">
      <c r="B752" t="s">
        <v>596</v>
      </c>
      <c r="C752" t="s">
        <v>597</v>
      </c>
      <c r="D752">
        <v>9.24365723559166E-7</v>
      </c>
      <c r="E752" t="s">
        <v>598</v>
      </c>
      <c r="H752" t="s">
        <v>588</v>
      </c>
    </row>
    <row r="753" spans="2:8">
      <c r="B753" t="s">
        <v>596</v>
      </c>
      <c r="C753" t="s">
        <v>597</v>
      </c>
      <c r="D753">
        <v>1.9762635077916399E-6</v>
      </c>
      <c r="E753" t="s">
        <v>598</v>
      </c>
      <c r="H753" t="s">
        <v>1733</v>
      </c>
    </row>
    <row r="754" spans="2:8">
      <c r="B754" t="s">
        <v>596</v>
      </c>
      <c r="C754" t="s">
        <v>597</v>
      </c>
      <c r="D754">
        <v>2.0732724314312399E-6</v>
      </c>
      <c r="E754" t="s">
        <v>598</v>
      </c>
      <c r="H754" t="s">
        <v>1733</v>
      </c>
    </row>
    <row r="755" spans="2:8">
      <c r="B755" t="s">
        <v>596</v>
      </c>
      <c r="C755" t="s">
        <v>597</v>
      </c>
      <c r="D755">
        <v>3.5554139801441901E-3</v>
      </c>
      <c r="E755" t="s">
        <v>598</v>
      </c>
      <c r="H755" t="s">
        <v>588</v>
      </c>
    </row>
    <row r="756" spans="2:8">
      <c r="B756" t="s">
        <v>596</v>
      </c>
      <c r="C756" t="s">
        <v>597</v>
      </c>
      <c r="D756">
        <v>3.6786307988590698E-4</v>
      </c>
      <c r="E756" t="s">
        <v>598</v>
      </c>
      <c r="H756" t="s">
        <v>588</v>
      </c>
    </row>
    <row r="757" spans="2:8">
      <c r="B757" t="s">
        <v>596</v>
      </c>
      <c r="C757" t="s">
        <v>597</v>
      </c>
      <c r="D757">
        <v>6.1508242906113903E-4</v>
      </c>
      <c r="E757" t="s">
        <v>598</v>
      </c>
      <c r="H757" t="s">
        <v>588</v>
      </c>
    </row>
    <row r="758" spans="2:8">
      <c r="B758" t="s">
        <v>596</v>
      </c>
      <c r="C758" t="s">
        <v>597</v>
      </c>
      <c r="D758">
        <v>1.32647068425776E-5</v>
      </c>
      <c r="E758" t="s">
        <v>598</v>
      </c>
      <c r="H758" t="s">
        <v>588</v>
      </c>
    </row>
    <row r="759" spans="2:8">
      <c r="B759" t="s">
        <v>596</v>
      </c>
      <c r="C759" t="s">
        <v>597</v>
      </c>
      <c r="D759">
        <v>5.57749792705951E-7</v>
      </c>
      <c r="E759" t="s">
        <v>598</v>
      </c>
      <c r="H759" t="s">
        <v>588</v>
      </c>
    </row>
    <row r="760" spans="2:8">
      <c r="B760" t="s">
        <v>596</v>
      </c>
      <c r="C760" t="s">
        <v>597</v>
      </c>
      <c r="D760">
        <v>2.4129986487874499E-3</v>
      </c>
      <c r="E760" t="s">
        <v>598</v>
      </c>
      <c r="H760" t="s">
        <v>588</v>
      </c>
    </row>
    <row r="761" spans="2:8">
      <c r="B761" t="s">
        <v>596</v>
      </c>
      <c r="C761" t="s">
        <v>597</v>
      </c>
      <c r="D761">
        <v>2.5843217236260998E-4</v>
      </c>
      <c r="E761" t="s">
        <v>598</v>
      </c>
      <c r="H761" t="s">
        <v>588</v>
      </c>
    </row>
    <row r="762" spans="2:8">
      <c r="B762" t="s">
        <v>596</v>
      </c>
      <c r="C762" t="s">
        <v>597</v>
      </c>
      <c r="D762">
        <v>6.2549468700017895E-4</v>
      </c>
      <c r="E762" t="s">
        <v>598</v>
      </c>
      <c r="H762" t="s">
        <v>588</v>
      </c>
    </row>
    <row r="763" spans="2:8">
      <c r="B763" t="s">
        <v>596</v>
      </c>
      <c r="C763" t="s">
        <v>597</v>
      </c>
      <c r="D763">
        <v>2.0496434901251901E-5</v>
      </c>
      <c r="E763" t="s">
        <v>598</v>
      </c>
      <c r="H763" t="s">
        <v>588</v>
      </c>
    </row>
    <row r="764" spans="2:8">
      <c r="B764" t="s">
        <v>596</v>
      </c>
      <c r="C764" t="s">
        <v>597</v>
      </c>
      <c r="D764">
        <v>9.2543936330207103E-8</v>
      </c>
      <c r="E764" t="s">
        <v>598</v>
      </c>
      <c r="H764" t="s">
        <v>1733</v>
      </c>
    </row>
    <row r="765" spans="2:8">
      <c r="B765" t="s">
        <v>596</v>
      </c>
      <c r="C765" t="s">
        <v>597</v>
      </c>
      <c r="D765">
        <v>1.5508162016808101E-2</v>
      </c>
      <c r="E765" t="s">
        <v>598</v>
      </c>
      <c r="H765" t="s">
        <v>588</v>
      </c>
    </row>
    <row r="766" spans="2:8">
      <c r="B766" t="s">
        <v>596</v>
      </c>
      <c r="C766" t="s">
        <v>597</v>
      </c>
      <c r="D766">
        <v>1.86705671640261E-6</v>
      </c>
      <c r="E766" t="s">
        <v>598</v>
      </c>
      <c r="H766" t="s">
        <v>588</v>
      </c>
    </row>
    <row r="767" spans="2:8">
      <c r="B767" t="s">
        <v>596</v>
      </c>
      <c r="C767" t="s">
        <v>597</v>
      </c>
      <c r="D767">
        <v>1.68306973561946E-6</v>
      </c>
      <c r="E767" t="s">
        <v>598</v>
      </c>
      <c r="H767" t="s">
        <v>1733</v>
      </c>
    </row>
    <row r="768" spans="2:8">
      <c r="B768" t="s">
        <v>596</v>
      </c>
      <c r="C768" t="s">
        <v>597</v>
      </c>
      <c r="D768">
        <v>8.9219418550167406E-3</v>
      </c>
      <c r="E768" t="s">
        <v>598</v>
      </c>
      <c r="H768" t="s">
        <v>588</v>
      </c>
    </row>
    <row r="769" spans="2:8">
      <c r="B769" t="s">
        <v>596</v>
      </c>
      <c r="C769" t="s">
        <v>597</v>
      </c>
      <c r="D769">
        <v>3.9313971494050999E-3</v>
      </c>
      <c r="E769" t="s">
        <v>598</v>
      </c>
      <c r="H769" t="s">
        <v>588</v>
      </c>
    </row>
    <row r="770" spans="2:8">
      <c r="B770" t="s">
        <v>596</v>
      </c>
      <c r="C770" t="s">
        <v>597</v>
      </c>
      <c r="D770">
        <v>1.66150439768617E-6</v>
      </c>
      <c r="E770" t="s">
        <v>598</v>
      </c>
      <c r="H770" t="s">
        <v>588</v>
      </c>
    </row>
    <row r="771" spans="2:8">
      <c r="B771" t="s">
        <v>2444</v>
      </c>
      <c r="C771" t="s">
        <v>597</v>
      </c>
      <c r="D771">
        <v>2.4340547104389799E-3</v>
      </c>
      <c r="E771" t="s">
        <v>598</v>
      </c>
      <c r="H771" t="s">
        <v>588</v>
      </c>
    </row>
    <row r="772" spans="2:8">
      <c r="B772" t="s">
        <v>2447</v>
      </c>
      <c r="C772" t="s">
        <v>1862</v>
      </c>
      <c r="D772">
        <v>1.6356436880580501E-6</v>
      </c>
      <c r="E772" t="s">
        <v>94</v>
      </c>
    </row>
    <row r="773" spans="2:8">
      <c r="B773" t="s">
        <v>2450</v>
      </c>
      <c r="C773" t="s">
        <v>615</v>
      </c>
      <c r="D773">
        <v>2.1504016211557499E-12</v>
      </c>
      <c r="E773" t="s">
        <v>616</v>
      </c>
      <c r="H773" t="s">
        <v>588</v>
      </c>
    </row>
    <row r="774" spans="2:8">
      <c r="B774" t="s">
        <v>2453</v>
      </c>
      <c r="C774" t="s">
        <v>2454</v>
      </c>
      <c r="D774">
        <v>4.5745131954843502E-8</v>
      </c>
      <c r="E774" t="s">
        <v>616</v>
      </c>
      <c r="H774" t="s">
        <v>588</v>
      </c>
    </row>
    <row r="775" spans="2:8">
      <c r="B775" t="s">
        <v>2458</v>
      </c>
      <c r="C775" t="s">
        <v>1170</v>
      </c>
      <c r="D775">
        <v>9.4075659067207004E-8</v>
      </c>
      <c r="E775" t="s">
        <v>94</v>
      </c>
      <c r="H775" t="s">
        <v>588</v>
      </c>
    </row>
    <row r="776" spans="2:8">
      <c r="B776" t="s">
        <v>2460</v>
      </c>
      <c r="C776" t="s">
        <v>1170</v>
      </c>
      <c r="D776">
        <v>4.4591126164667601E-5</v>
      </c>
      <c r="E776" t="s">
        <v>94</v>
      </c>
      <c r="H776" t="s">
        <v>588</v>
      </c>
    </row>
    <row r="777" spans="2:8">
      <c r="B777" t="s">
        <v>2463</v>
      </c>
      <c r="C777" t="s">
        <v>1489</v>
      </c>
      <c r="D777">
        <v>4.1145209739614999E-5</v>
      </c>
      <c r="E777" t="s">
        <v>94</v>
      </c>
      <c r="H777" t="s">
        <v>588</v>
      </c>
    </row>
    <row r="778" spans="2:8">
      <c r="B778" t="s">
        <v>2466</v>
      </c>
      <c r="C778" t="s">
        <v>2243</v>
      </c>
      <c r="D778">
        <v>1.6738518829865701E-8</v>
      </c>
      <c r="E778" t="s">
        <v>616</v>
      </c>
      <c r="H778" t="s">
        <v>588</v>
      </c>
    </row>
    <row r="779" spans="2:8">
      <c r="B779" t="s">
        <v>2469</v>
      </c>
      <c r="C779" t="s">
        <v>1305</v>
      </c>
      <c r="D779">
        <v>5.4533672217069698E-13</v>
      </c>
      <c r="E779" t="s">
        <v>94</v>
      </c>
      <c r="H779" t="s">
        <v>588</v>
      </c>
    </row>
    <row r="780" spans="2:8">
      <c r="B780" t="s">
        <v>2469</v>
      </c>
      <c r="C780" t="s">
        <v>1305</v>
      </c>
      <c r="D780">
        <v>1.2160891057980199E-13</v>
      </c>
      <c r="E780" t="s">
        <v>94</v>
      </c>
      <c r="H780" t="s">
        <v>588</v>
      </c>
    </row>
    <row r="781" spans="2:8">
      <c r="B781" t="s">
        <v>2472</v>
      </c>
      <c r="C781" t="s">
        <v>1502</v>
      </c>
      <c r="D781">
        <v>9.0363644721419608E-3</v>
      </c>
      <c r="E781" t="s">
        <v>475</v>
      </c>
      <c r="H781" t="s">
        <v>588</v>
      </c>
    </row>
    <row r="782" spans="2:8">
      <c r="B782" t="s">
        <v>2472</v>
      </c>
      <c r="C782" t="s">
        <v>1502</v>
      </c>
      <c r="D782">
        <v>9.0363644721419608E-3</v>
      </c>
      <c r="E782" t="s">
        <v>475</v>
      </c>
      <c r="H782" t="s">
        <v>588</v>
      </c>
    </row>
    <row r="783" spans="2:8">
      <c r="B783" t="s">
        <v>2477</v>
      </c>
      <c r="C783" t="s">
        <v>1502</v>
      </c>
      <c r="D783">
        <v>9.0583601906208903E-3</v>
      </c>
      <c r="E783" t="s">
        <v>475</v>
      </c>
      <c r="H783" t="s">
        <v>588</v>
      </c>
    </row>
    <row r="784" spans="2:8">
      <c r="B784" t="s">
        <v>2477</v>
      </c>
      <c r="C784" t="s">
        <v>1502</v>
      </c>
      <c r="D784">
        <v>9.0583601906208903E-3</v>
      </c>
      <c r="E784" t="s">
        <v>475</v>
      </c>
      <c r="H784" t="s">
        <v>588</v>
      </c>
    </row>
    <row r="785" spans="2:8">
      <c r="B785" t="s">
        <v>2480</v>
      </c>
      <c r="C785" t="s">
        <v>2481</v>
      </c>
      <c r="D785">
        <v>0.411754116555411</v>
      </c>
      <c r="E785" t="s">
        <v>607</v>
      </c>
      <c r="H785" t="s">
        <v>588</v>
      </c>
    </row>
    <row r="786" spans="2:8">
      <c r="B786" t="s">
        <v>2482</v>
      </c>
      <c r="C786" t="s">
        <v>639</v>
      </c>
      <c r="D786">
        <v>5.1526679228964201E-2</v>
      </c>
      <c r="E786" t="s">
        <v>607</v>
      </c>
    </row>
    <row r="787" spans="2:8">
      <c r="B787" t="s">
        <v>2483</v>
      </c>
      <c r="C787" t="s">
        <v>673</v>
      </c>
      <c r="D787">
        <v>1.1994642600465699E-6</v>
      </c>
      <c r="E787" t="s">
        <v>94</v>
      </c>
      <c r="H787" t="s">
        <v>588</v>
      </c>
    </row>
    <row r="788" spans="2:8">
      <c r="B788" t="s">
        <v>1224</v>
      </c>
      <c r="C788" t="s">
        <v>673</v>
      </c>
      <c r="D788">
        <v>3.7826220617923799E-4</v>
      </c>
      <c r="E788" t="s">
        <v>94</v>
      </c>
      <c r="H788" t="s">
        <v>588</v>
      </c>
    </row>
    <row r="789" spans="2:8">
      <c r="B789" t="s">
        <v>1224</v>
      </c>
      <c r="C789" t="s">
        <v>673</v>
      </c>
      <c r="D789">
        <v>7.7997936801988907E-5</v>
      </c>
      <c r="E789" t="s">
        <v>94</v>
      </c>
      <c r="H789" t="s">
        <v>588</v>
      </c>
    </row>
    <row r="790" spans="2:8">
      <c r="B790" t="s">
        <v>2487</v>
      </c>
      <c r="C790" t="s">
        <v>1810</v>
      </c>
      <c r="D790">
        <v>1.21172693464518E-3</v>
      </c>
      <c r="E790" t="s">
        <v>616</v>
      </c>
    </row>
    <row r="791" spans="2:8">
      <c r="B791" t="s">
        <v>2490</v>
      </c>
      <c r="C791" t="s">
        <v>708</v>
      </c>
      <c r="D791">
        <v>6.6087480664200296E-10</v>
      </c>
      <c r="E791" t="s">
        <v>94</v>
      </c>
      <c r="H791" t="s">
        <v>588</v>
      </c>
    </row>
    <row r="792" spans="2:8">
      <c r="B792" t="s">
        <v>2490</v>
      </c>
      <c r="C792" t="s">
        <v>708</v>
      </c>
      <c r="D792">
        <v>3.3198875263236698E-10</v>
      </c>
      <c r="E792" t="s">
        <v>94</v>
      </c>
      <c r="H792" t="s">
        <v>588</v>
      </c>
    </row>
    <row r="793" spans="2:8">
      <c r="B793" t="s">
        <v>2492</v>
      </c>
      <c r="C793" t="s">
        <v>673</v>
      </c>
      <c r="D793">
        <v>3.5596478725166302E-6</v>
      </c>
      <c r="E793" t="s">
        <v>94</v>
      </c>
      <c r="H793" t="s">
        <v>588</v>
      </c>
    </row>
    <row r="794" spans="2:8">
      <c r="B794" t="s">
        <v>2495</v>
      </c>
      <c r="C794" t="s">
        <v>615</v>
      </c>
      <c r="D794">
        <v>1.8799842727535401E-12</v>
      </c>
      <c r="E794" t="s">
        <v>616</v>
      </c>
      <c r="H794" t="s">
        <v>588</v>
      </c>
    </row>
    <row r="795" spans="2:8">
      <c r="B795" t="s">
        <v>2495</v>
      </c>
      <c r="C795" t="s">
        <v>615</v>
      </c>
      <c r="D795">
        <v>4.8231243683688596E-12</v>
      </c>
      <c r="E795" t="s">
        <v>616</v>
      </c>
      <c r="H795" t="s">
        <v>588</v>
      </c>
    </row>
    <row r="796" spans="2:8">
      <c r="B796" t="s">
        <v>2500</v>
      </c>
      <c r="C796" t="s">
        <v>673</v>
      </c>
      <c r="D796">
        <v>3.8099687967736098E-6</v>
      </c>
      <c r="E796" t="s">
        <v>94</v>
      </c>
      <c r="H796" t="s">
        <v>588</v>
      </c>
    </row>
    <row r="797" spans="2:8">
      <c r="B797" t="s">
        <v>2500</v>
      </c>
      <c r="C797" t="s">
        <v>673</v>
      </c>
      <c r="D797">
        <v>8.4799212549823695E-6</v>
      </c>
      <c r="E797" t="s">
        <v>94</v>
      </c>
      <c r="H797" t="s">
        <v>588</v>
      </c>
    </row>
    <row r="798" spans="2:8">
      <c r="B798" t="s">
        <v>2502</v>
      </c>
      <c r="C798" t="s">
        <v>673</v>
      </c>
      <c r="D798">
        <v>3.1152781756081001E-3</v>
      </c>
      <c r="E798" t="s">
        <v>94</v>
      </c>
    </row>
    <row r="799" spans="2:8">
      <c r="B799" t="s">
        <v>2502</v>
      </c>
      <c r="C799" t="s">
        <v>673</v>
      </c>
      <c r="D799">
        <v>3.1152828476421102E-3</v>
      </c>
      <c r="E799" t="s">
        <v>94</v>
      </c>
    </row>
    <row r="800" spans="2:8">
      <c r="B800" t="s">
        <v>2502</v>
      </c>
      <c r="C800" t="s">
        <v>673</v>
      </c>
      <c r="D800">
        <v>1.7804174340448799E-6</v>
      </c>
      <c r="E800" t="s">
        <v>94</v>
      </c>
    </row>
    <row r="801" spans="2:8">
      <c r="B801" t="s">
        <v>2502</v>
      </c>
      <c r="C801" t="s">
        <v>673</v>
      </c>
      <c r="D801">
        <v>1.7804147639275301E-6</v>
      </c>
      <c r="E801" t="s">
        <v>94</v>
      </c>
    </row>
    <row r="802" spans="2:8">
      <c r="B802" t="s">
        <v>2506</v>
      </c>
      <c r="C802" t="s">
        <v>708</v>
      </c>
      <c r="D802">
        <v>5.3865333374024899E-9</v>
      </c>
      <c r="E802" t="s">
        <v>94</v>
      </c>
      <c r="H802" t="s">
        <v>588</v>
      </c>
    </row>
    <row r="803" spans="2:8">
      <c r="B803" t="s">
        <v>2508</v>
      </c>
      <c r="C803" t="s">
        <v>708</v>
      </c>
      <c r="D803">
        <v>3.3925574141408102E-6</v>
      </c>
      <c r="E803" t="s">
        <v>94</v>
      </c>
      <c r="H803" t="s">
        <v>588</v>
      </c>
    </row>
    <row r="804" spans="2:8">
      <c r="B804" t="s">
        <v>2508</v>
      </c>
      <c r="C804" t="s">
        <v>708</v>
      </c>
      <c r="D804">
        <v>9.0291672697448601E-6</v>
      </c>
      <c r="E804" t="s">
        <v>94</v>
      </c>
      <c r="H804" t="s">
        <v>588</v>
      </c>
    </row>
    <row r="805" spans="2:8">
      <c r="B805" t="s">
        <v>1226</v>
      </c>
      <c r="C805" t="s">
        <v>708</v>
      </c>
      <c r="D805">
        <v>1.8643283096538701E-5</v>
      </c>
      <c r="E805" t="s">
        <v>94</v>
      </c>
      <c r="H805" t="s">
        <v>588</v>
      </c>
    </row>
    <row r="806" spans="2:8">
      <c r="B806" t="s">
        <v>1226</v>
      </c>
      <c r="C806" t="s">
        <v>708</v>
      </c>
      <c r="D806">
        <v>7.9187943337874896E-5</v>
      </c>
      <c r="E806" t="s">
        <v>94</v>
      </c>
      <c r="H806" t="s">
        <v>588</v>
      </c>
    </row>
    <row r="807" spans="2:8">
      <c r="B807" t="s">
        <v>2512</v>
      </c>
      <c r="C807" t="s">
        <v>673</v>
      </c>
      <c r="D807">
        <v>8.1148017356947301E-7</v>
      </c>
      <c r="E807" t="s">
        <v>94</v>
      </c>
      <c r="H807" t="s">
        <v>588</v>
      </c>
    </row>
    <row r="808" spans="2:8">
      <c r="B808" t="s">
        <v>2514</v>
      </c>
      <c r="C808" t="s">
        <v>673</v>
      </c>
      <c r="D808">
        <v>9.1831446584425699E-5</v>
      </c>
      <c r="E808" t="s">
        <v>94</v>
      </c>
      <c r="H808" t="s">
        <v>588</v>
      </c>
    </row>
    <row r="809" spans="2:8">
      <c r="B809" t="s">
        <v>1229</v>
      </c>
      <c r="C809" t="s">
        <v>664</v>
      </c>
      <c r="D809">
        <v>3.9362168888484002E-5</v>
      </c>
      <c r="E809" t="s">
        <v>94</v>
      </c>
      <c r="H809" t="s">
        <v>588</v>
      </c>
    </row>
    <row r="810" spans="2:8">
      <c r="B810" t="s">
        <v>1229</v>
      </c>
      <c r="C810" t="s">
        <v>664</v>
      </c>
      <c r="D810">
        <v>2.45327373140214E-3</v>
      </c>
      <c r="E810" t="s">
        <v>94</v>
      </c>
      <c r="H810" t="s">
        <v>588</v>
      </c>
    </row>
    <row r="811" spans="2:8">
      <c r="B811" t="s">
        <v>1229</v>
      </c>
      <c r="C811" t="s">
        <v>664</v>
      </c>
      <c r="D811">
        <v>4.4529879000946196E-6</v>
      </c>
      <c r="E811" t="s">
        <v>94</v>
      </c>
      <c r="H811" t="s">
        <v>588</v>
      </c>
    </row>
    <row r="812" spans="2:8">
      <c r="B812" t="s">
        <v>2517</v>
      </c>
      <c r="C812" t="s">
        <v>673</v>
      </c>
      <c r="D812">
        <v>4.5724323402047199E-5</v>
      </c>
      <c r="E812" t="s">
        <v>94</v>
      </c>
      <c r="H812" t="s">
        <v>588</v>
      </c>
    </row>
    <row r="813" spans="2:8">
      <c r="B813" t="s">
        <v>2519</v>
      </c>
      <c r="C813" t="s">
        <v>673</v>
      </c>
      <c r="D813">
        <v>2.1344622778392201E-9</v>
      </c>
      <c r="E813" t="s">
        <v>94</v>
      </c>
      <c r="H813" t="s">
        <v>588</v>
      </c>
    </row>
    <row r="814" spans="2:8">
      <c r="B814" t="s">
        <v>1231</v>
      </c>
      <c r="C814" t="s">
        <v>673</v>
      </c>
      <c r="D814">
        <v>4.66224066393494E-4</v>
      </c>
      <c r="E814" t="s">
        <v>94</v>
      </c>
      <c r="H814" t="s">
        <v>588</v>
      </c>
    </row>
    <row r="815" spans="2:8">
      <c r="B815" t="s">
        <v>2521</v>
      </c>
      <c r="C815" t="s">
        <v>673</v>
      </c>
      <c r="D815">
        <v>5.5839556814909699E-8</v>
      </c>
      <c r="E815" t="s">
        <v>94</v>
      </c>
      <c r="H815" t="s">
        <v>588</v>
      </c>
    </row>
    <row r="816" spans="2:8">
      <c r="B816" t="s">
        <v>2521</v>
      </c>
      <c r="C816" t="s">
        <v>673</v>
      </c>
      <c r="D816">
        <v>5.8512817996284302E-8</v>
      </c>
      <c r="E816" t="s">
        <v>94</v>
      </c>
      <c r="H816" t="s">
        <v>588</v>
      </c>
    </row>
    <row r="817" spans="2:8">
      <c r="B817" t="s">
        <v>2524</v>
      </c>
      <c r="C817" t="s">
        <v>701</v>
      </c>
      <c r="D817">
        <v>3.6363170147559202E-4</v>
      </c>
      <c r="E817" t="s">
        <v>94</v>
      </c>
      <c r="H817" t="s">
        <v>588</v>
      </c>
    </row>
    <row r="818" spans="2:8">
      <c r="B818" t="s">
        <v>2524</v>
      </c>
      <c r="C818" t="s">
        <v>701</v>
      </c>
      <c r="D818">
        <v>3.7405711268557697E-4</v>
      </c>
      <c r="E818" t="s">
        <v>94</v>
      </c>
      <c r="H818" t="s">
        <v>588</v>
      </c>
    </row>
    <row r="819" spans="2:8">
      <c r="B819" t="s">
        <v>2527</v>
      </c>
      <c r="C819" t="s">
        <v>1249</v>
      </c>
      <c r="D819">
        <v>4.3528158909214401E-5</v>
      </c>
      <c r="E819" t="s">
        <v>94</v>
      </c>
      <c r="H819" t="s">
        <v>588</v>
      </c>
    </row>
    <row r="820" spans="2:8">
      <c r="B820" t="s">
        <v>2530</v>
      </c>
      <c r="C820" t="s">
        <v>2531</v>
      </c>
      <c r="D820">
        <v>3.3200236873405697E-5</v>
      </c>
      <c r="E820" t="s">
        <v>616</v>
      </c>
      <c r="H820" t="s">
        <v>588</v>
      </c>
    </row>
    <row r="821" spans="2:8">
      <c r="B821" t="s">
        <v>2530</v>
      </c>
      <c r="C821" t="s">
        <v>2531</v>
      </c>
      <c r="D821">
        <v>4.3535388822196197E-5</v>
      </c>
      <c r="E821" t="s">
        <v>616</v>
      </c>
      <c r="H821" t="s">
        <v>588</v>
      </c>
    </row>
    <row r="822" spans="2:8">
      <c r="B822" t="s">
        <v>2534</v>
      </c>
      <c r="C822" t="s">
        <v>2275</v>
      </c>
      <c r="D822">
        <v>1.1021032891257401E-4</v>
      </c>
      <c r="E822" t="s">
        <v>94</v>
      </c>
      <c r="H822" t="s">
        <v>588</v>
      </c>
    </row>
    <row r="823" spans="2:8">
      <c r="B823" t="s">
        <v>2538</v>
      </c>
      <c r="C823" t="s">
        <v>592</v>
      </c>
      <c r="D823">
        <v>6.2960282657296995E-4</v>
      </c>
      <c r="E823" t="s">
        <v>640</v>
      </c>
      <c r="H823" t="s">
        <v>588</v>
      </c>
    </row>
    <row r="824" spans="2:8">
      <c r="B824" t="s">
        <v>2538</v>
      </c>
      <c r="C824" t="s">
        <v>592</v>
      </c>
      <c r="D824">
        <v>1.7356864683459899E-4</v>
      </c>
      <c r="E824" t="s">
        <v>640</v>
      </c>
      <c r="H824" t="s">
        <v>588</v>
      </c>
    </row>
    <row r="825" spans="2:8">
      <c r="B825" t="s">
        <v>2543</v>
      </c>
      <c r="C825" t="s">
        <v>1698</v>
      </c>
      <c r="D825">
        <v>3.2097949976961097E-5</v>
      </c>
      <c r="E825" t="s">
        <v>616</v>
      </c>
      <c r="H825" t="s">
        <v>588</v>
      </c>
    </row>
    <row r="826" spans="2:8">
      <c r="B826" t="s">
        <v>2545</v>
      </c>
      <c r="C826" t="s">
        <v>1698</v>
      </c>
      <c r="D826">
        <v>2.5662602643647902E-6</v>
      </c>
      <c r="E826" t="s">
        <v>616</v>
      </c>
      <c r="H826" t="s">
        <v>588</v>
      </c>
    </row>
    <row r="827" spans="2:8">
      <c r="B827" t="s">
        <v>2547</v>
      </c>
      <c r="C827" t="s">
        <v>1698</v>
      </c>
      <c r="D827">
        <v>9.4339609724007902E-5</v>
      </c>
      <c r="E827" t="s">
        <v>616</v>
      </c>
      <c r="H827" t="s">
        <v>588</v>
      </c>
    </row>
    <row r="828" spans="2:8">
      <c r="B828" t="s">
        <v>2549</v>
      </c>
      <c r="C828" t="s">
        <v>1892</v>
      </c>
      <c r="D828">
        <v>6.3560243193686496E-3</v>
      </c>
      <c r="E828" t="s">
        <v>94</v>
      </c>
      <c r="H828" t="s">
        <v>588</v>
      </c>
    </row>
    <row r="829" spans="2:8">
      <c r="B829" t="s">
        <v>2551</v>
      </c>
      <c r="C829" t="s">
        <v>1892</v>
      </c>
      <c r="D829">
        <v>1.67700282578047E-3</v>
      </c>
      <c r="E829" t="s">
        <v>94</v>
      </c>
      <c r="H829" t="s">
        <v>588</v>
      </c>
    </row>
    <row r="830" spans="2:8">
      <c r="B830" t="s">
        <v>2553</v>
      </c>
      <c r="C830" t="s">
        <v>1892</v>
      </c>
      <c r="D830">
        <v>3.4657087718498E-2</v>
      </c>
      <c r="E830" t="s">
        <v>94</v>
      </c>
      <c r="H830" t="s">
        <v>588</v>
      </c>
    </row>
    <row r="831" spans="2:8">
      <c r="B831" t="s">
        <v>2555</v>
      </c>
      <c r="C831" t="s">
        <v>615</v>
      </c>
      <c r="D831">
        <v>1.0319537630465501E-11</v>
      </c>
      <c r="E831" t="s">
        <v>616</v>
      </c>
      <c r="H831" t="s">
        <v>588</v>
      </c>
    </row>
    <row r="832" spans="2:8">
      <c r="B832" t="s">
        <v>2555</v>
      </c>
      <c r="C832" t="s">
        <v>615</v>
      </c>
      <c r="D832">
        <v>1.0324102120763401E-11</v>
      </c>
      <c r="E832" t="s">
        <v>616</v>
      </c>
      <c r="H832" t="s">
        <v>588</v>
      </c>
    </row>
    <row r="833" spans="2:8">
      <c r="B833" t="s">
        <v>2559</v>
      </c>
      <c r="C833" t="s">
        <v>1249</v>
      </c>
      <c r="D833">
        <v>1.6649365664631301E-6</v>
      </c>
      <c r="E833" t="s">
        <v>94</v>
      </c>
      <c r="H833" t="s">
        <v>588</v>
      </c>
    </row>
    <row r="834" spans="2:8">
      <c r="B834" t="s">
        <v>2562</v>
      </c>
      <c r="C834" t="s">
        <v>1249</v>
      </c>
      <c r="D834">
        <v>1.9534865699830299E-3</v>
      </c>
      <c r="E834" t="s">
        <v>94</v>
      </c>
      <c r="H834" t="s">
        <v>588</v>
      </c>
    </row>
    <row r="835" spans="2:8">
      <c r="B835" t="s">
        <v>2562</v>
      </c>
      <c r="C835" t="s">
        <v>1249</v>
      </c>
      <c r="D835">
        <v>5.51890314069253E-4</v>
      </c>
      <c r="E835" t="s">
        <v>94</v>
      </c>
      <c r="H835" t="s">
        <v>588</v>
      </c>
    </row>
    <row r="836" spans="2:8">
      <c r="B836" t="s">
        <v>2566</v>
      </c>
      <c r="C836" t="s">
        <v>1249</v>
      </c>
      <c r="D836">
        <v>3.6111450355632402E-4</v>
      </c>
      <c r="E836" t="s">
        <v>94</v>
      </c>
      <c r="H836" t="s">
        <v>588</v>
      </c>
    </row>
    <row r="837" spans="2:8">
      <c r="B837" t="s">
        <v>2566</v>
      </c>
      <c r="C837" t="s">
        <v>1249</v>
      </c>
      <c r="D837">
        <v>2.1452643933557E-4</v>
      </c>
      <c r="E837" t="s">
        <v>94</v>
      </c>
      <c r="H837" t="s">
        <v>588</v>
      </c>
    </row>
    <row r="838" spans="2:8">
      <c r="B838" t="s">
        <v>1234</v>
      </c>
      <c r="C838" t="s">
        <v>1170</v>
      </c>
      <c r="D838">
        <v>3.6299428903362303E-8</v>
      </c>
      <c r="E838" t="s">
        <v>94</v>
      </c>
      <c r="H838" t="s">
        <v>588</v>
      </c>
    </row>
    <row r="839" spans="2:8">
      <c r="B839" t="s">
        <v>2572</v>
      </c>
      <c r="C839" t="s">
        <v>673</v>
      </c>
      <c r="D839">
        <v>1.16824842625068E-5</v>
      </c>
      <c r="E839" t="s">
        <v>94</v>
      </c>
      <c r="H839" t="s">
        <v>588</v>
      </c>
    </row>
    <row r="840" spans="2:8">
      <c r="B840" t="s">
        <v>2574</v>
      </c>
      <c r="C840" t="s">
        <v>673</v>
      </c>
      <c r="D840">
        <v>8.9327518406728796E-6</v>
      </c>
      <c r="E840" t="s">
        <v>94</v>
      </c>
      <c r="H840" t="s">
        <v>588</v>
      </c>
    </row>
    <row r="841" spans="2:8">
      <c r="B841" t="s">
        <v>2576</v>
      </c>
      <c r="C841" t="s">
        <v>676</v>
      </c>
      <c r="D841">
        <v>2.07278472875592E-3</v>
      </c>
      <c r="E841" t="s">
        <v>94</v>
      </c>
      <c r="H841" t="s">
        <v>588</v>
      </c>
    </row>
    <row r="842" spans="2:8">
      <c r="B842" t="s">
        <v>2578</v>
      </c>
      <c r="C842" t="s">
        <v>587</v>
      </c>
      <c r="D842">
        <v>8.9300063921961802E-7</v>
      </c>
      <c r="E842" t="s">
        <v>94</v>
      </c>
    </row>
    <row r="843" spans="2:8">
      <c r="B843" t="s">
        <v>2579</v>
      </c>
      <c r="C843" t="s">
        <v>1830</v>
      </c>
      <c r="D843">
        <v>5.8965812731771904E-4</v>
      </c>
      <c r="E843" t="s">
        <v>94</v>
      </c>
      <c r="H843" t="s">
        <v>588</v>
      </c>
    </row>
    <row r="844" spans="2:8">
      <c r="B844" t="s">
        <v>2579</v>
      </c>
      <c r="C844" t="s">
        <v>1830</v>
      </c>
      <c r="D844">
        <v>4.91381772764766E-3</v>
      </c>
      <c r="E844" t="s">
        <v>94</v>
      </c>
    </row>
    <row r="845" spans="2:8">
      <c r="B845" t="s">
        <v>1236</v>
      </c>
      <c r="C845" t="s">
        <v>1237</v>
      </c>
      <c r="D845">
        <v>5.0946594939839398E-6</v>
      </c>
      <c r="E845" t="s">
        <v>94</v>
      </c>
      <c r="H845" t="s">
        <v>588</v>
      </c>
    </row>
    <row r="846" spans="2:8">
      <c r="B846" t="s">
        <v>2583</v>
      </c>
      <c r="C846" t="s">
        <v>1810</v>
      </c>
      <c r="D846">
        <v>4.1622889448859701E-7</v>
      </c>
      <c r="E846" t="s">
        <v>1811</v>
      </c>
      <c r="H846" t="s">
        <v>588</v>
      </c>
    </row>
    <row r="847" spans="2:8">
      <c r="B847" t="s">
        <v>2583</v>
      </c>
      <c r="C847" t="s">
        <v>1810</v>
      </c>
      <c r="D847">
        <v>1.7291509708609401E-6</v>
      </c>
      <c r="E847" t="s">
        <v>1811</v>
      </c>
      <c r="H847" t="s">
        <v>588</v>
      </c>
    </row>
    <row r="848" spans="2:8">
      <c r="B848" t="s">
        <v>2583</v>
      </c>
      <c r="C848" t="s">
        <v>1810</v>
      </c>
      <c r="D848">
        <v>3.2535048089838101E-6</v>
      </c>
      <c r="E848" t="s">
        <v>1811</v>
      </c>
      <c r="H848" t="s">
        <v>588</v>
      </c>
    </row>
    <row r="849" spans="2:8">
      <c r="B849" t="s">
        <v>1239</v>
      </c>
      <c r="C849" t="s">
        <v>1240</v>
      </c>
      <c r="D849">
        <v>2.2893717253102702E-6</v>
      </c>
      <c r="E849" t="s">
        <v>94</v>
      </c>
      <c r="H849" t="s">
        <v>588</v>
      </c>
    </row>
    <row r="850" spans="2:8">
      <c r="B850" t="s">
        <v>2588</v>
      </c>
      <c r="C850" t="s">
        <v>2589</v>
      </c>
      <c r="D850">
        <v>3.2365892578134199E-7</v>
      </c>
      <c r="E850" t="s">
        <v>640</v>
      </c>
      <c r="H850" t="s">
        <v>588</v>
      </c>
    </row>
    <row r="851" spans="2:8">
      <c r="B851" t="s">
        <v>2591</v>
      </c>
      <c r="C851" t="s">
        <v>615</v>
      </c>
      <c r="D851">
        <v>1.35755106644842E-12</v>
      </c>
      <c r="E851" t="s">
        <v>616</v>
      </c>
    </row>
    <row r="852" spans="2:8">
      <c r="B852" t="s">
        <v>2594</v>
      </c>
      <c r="C852" t="s">
        <v>615</v>
      </c>
      <c r="D852">
        <v>4.7768811512291002E-11</v>
      </c>
      <c r="E852" t="s">
        <v>616</v>
      </c>
    </row>
    <row r="853" spans="2:8">
      <c r="B853" t="s">
        <v>2594</v>
      </c>
      <c r="C853" t="s">
        <v>615</v>
      </c>
      <c r="D853">
        <v>4.7769753897513298E-11</v>
      </c>
      <c r="E853" t="s">
        <v>616</v>
      </c>
    </row>
    <row r="854" spans="2:8">
      <c r="B854" t="s">
        <v>2598</v>
      </c>
      <c r="C854" t="s">
        <v>615</v>
      </c>
      <c r="D854">
        <v>1.2458560392196999E-11</v>
      </c>
      <c r="E854" t="s">
        <v>616</v>
      </c>
    </row>
    <row r="855" spans="2:8">
      <c r="B855" t="s">
        <v>2600</v>
      </c>
      <c r="C855" t="s">
        <v>615</v>
      </c>
      <c r="D855">
        <v>4.79727559400257E-13</v>
      </c>
      <c r="E855" t="s">
        <v>616</v>
      </c>
      <c r="H855" t="s">
        <v>588</v>
      </c>
    </row>
    <row r="856" spans="2:8">
      <c r="B856" t="s">
        <v>2603</v>
      </c>
      <c r="C856" t="s">
        <v>1243</v>
      </c>
      <c r="D856">
        <v>1.3534145455889601E-4</v>
      </c>
      <c r="E856" t="s">
        <v>94</v>
      </c>
      <c r="H856" t="s">
        <v>588</v>
      </c>
    </row>
    <row r="857" spans="2:8">
      <c r="B857" t="s">
        <v>2603</v>
      </c>
      <c r="C857" t="s">
        <v>1243</v>
      </c>
      <c r="D857">
        <v>7.8713289738489907E-6</v>
      </c>
      <c r="E857" t="s">
        <v>94</v>
      </c>
      <c r="H857" t="s">
        <v>588</v>
      </c>
    </row>
    <row r="858" spans="2:8">
      <c r="B858" t="s">
        <v>1242</v>
      </c>
      <c r="C858" t="s">
        <v>1243</v>
      </c>
      <c r="D858">
        <v>1.1759830290507601E-3</v>
      </c>
      <c r="E858" t="s">
        <v>94</v>
      </c>
      <c r="H858" t="s">
        <v>588</v>
      </c>
    </row>
    <row r="859" spans="2:8">
      <c r="B859" t="s">
        <v>1242</v>
      </c>
      <c r="C859" t="s">
        <v>1243</v>
      </c>
      <c r="D859">
        <v>5.5632990433413605E-4</v>
      </c>
      <c r="E859" t="s">
        <v>94</v>
      </c>
      <c r="H859" t="s">
        <v>588</v>
      </c>
    </row>
    <row r="860" spans="2:8">
      <c r="B860" t="s">
        <v>2605</v>
      </c>
      <c r="C860" t="s">
        <v>2606</v>
      </c>
      <c r="D860">
        <v>1.2245702064990499E-4</v>
      </c>
      <c r="E860" t="s">
        <v>94</v>
      </c>
      <c r="H860" t="s">
        <v>588</v>
      </c>
    </row>
    <row r="861" spans="2:8">
      <c r="B861" t="s">
        <v>2608</v>
      </c>
      <c r="C861" t="s">
        <v>1698</v>
      </c>
      <c r="D861">
        <v>9.6639952164075403E-5</v>
      </c>
      <c r="E861" t="s">
        <v>1171</v>
      </c>
      <c r="H861" t="s">
        <v>588</v>
      </c>
    </row>
    <row r="862" spans="2:8">
      <c r="B862" t="s">
        <v>908</v>
      </c>
      <c r="C862" t="s">
        <v>667</v>
      </c>
      <c r="D862">
        <v>5.5621817262154403E-5</v>
      </c>
      <c r="E862" t="s">
        <v>94</v>
      </c>
      <c r="H862" t="s">
        <v>588</v>
      </c>
    </row>
    <row r="863" spans="2:8">
      <c r="B863" t="s">
        <v>908</v>
      </c>
      <c r="C863" t="s">
        <v>667</v>
      </c>
      <c r="D863">
        <v>1.0762325235522399E-4</v>
      </c>
      <c r="E863" t="s">
        <v>94</v>
      </c>
      <c r="H863" t="s">
        <v>588</v>
      </c>
    </row>
    <row r="864" spans="2:8">
      <c r="B864" t="s">
        <v>2611</v>
      </c>
      <c r="C864" t="s">
        <v>587</v>
      </c>
      <c r="D864">
        <v>3.52990735351365E-7</v>
      </c>
      <c r="E864" t="s">
        <v>94</v>
      </c>
    </row>
    <row r="865" spans="2:8">
      <c r="B865" t="s">
        <v>888</v>
      </c>
      <c r="C865" t="s">
        <v>809</v>
      </c>
      <c r="D865">
        <v>1.4427266452508801E-5</v>
      </c>
      <c r="E865" t="s">
        <v>94</v>
      </c>
      <c r="H865" t="s">
        <v>588</v>
      </c>
    </row>
    <row r="866" spans="2:8">
      <c r="B866" t="s">
        <v>2614</v>
      </c>
      <c r="C866" t="s">
        <v>1892</v>
      </c>
      <c r="D866">
        <v>8.2206589739843794E-6</v>
      </c>
      <c r="E866" t="s">
        <v>94</v>
      </c>
    </row>
    <row r="867" spans="2:8">
      <c r="B867" t="s">
        <v>1245</v>
      </c>
      <c r="C867" t="s">
        <v>708</v>
      </c>
      <c r="D867">
        <v>9.3605630750301893E-13</v>
      </c>
      <c r="E867" t="s">
        <v>94</v>
      </c>
      <c r="H867" t="s">
        <v>588</v>
      </c>
    </row>
    <row r="868" spans="2:8">
      <c r="B868" t="s">
        <v>2616</v>
      </c>
      <c r="C868" t="s">
        <v>1810</v>
      </c>
      <c r="D868">
        <v>8.7741242480503803E-7</v>
      </c>
      <c r="E868" t="s">
        <v>640</v>
      </c>
      <c r="H868" t="s">
        <v>588</v>
      </c>
    </row>
    <row r="869" spans="2:8">
      <c r="B869" t="s">
        <v>2616</v>
      </c>
      <c r="C869" t="s">
        <v>1810</v>
      </c>
      <c r="D869">
        <v>8.7710902579365998E-7</v>
      </c>
      <c r="E869" t="s">
        <v>640</v>
      </c>
      <c r="H869" t="s">
        <v>588</v>
      </c>
    </row>
    <row r="870" spans="2:8">
      <c r="B870" t="s">
        <v>2621</v>
      </c>
      <c r="C870" t="s">
        <v>673</v>
      </c>
      <c r="D870">
        <v>1.072441375886E-3</v>
      </c>
      <c r="E870" t="s">
        <v>94</v>
      </c>
      <c r="H870" t="s">
        <v>588</v>
      </c>
    </row>
    <row r="871" spans="2:8">
      <c r="B871" t="s">
        <v>2621</v>
      </c>
      <c r="C871" t="s">
        <v>673</v>
      </c>
      <c r="D871">
        <v>2.31398595197869E-4</v>
      </c>
      <c r="E871" t="s">
        <v>94</v>
      </c>
      <c r="H871" t="s">
        <v>588</v>
      </c>
    </row>
    <row r="872" spans="2:8">
      <c r="B872" t="s">
        <v>2623</v>
      </c>
      <c r="C872" t="s">
        <v>673</v>
      </c>
      <c r="D872">
        <v>2.4593412313168799E-5</v>
      </c>
      <c r="E872" t="s">
        <v>94</v>
      </c>
      <c r="H872" t="s">
        <v>588</v>
      </c>
    </row>
    <row r="873" spans="2:8">
      <c r="B873" t="s">
        <v>2625</v>
      </c>
      <c r="C873" t="s">
        <v>2626</v>
      </c>
      <c r="D873">
        <v>1.21172693464518E-3</v>
      </c>
      <c r="E873" t="s">
        <v>616</v>
      </c>
    </row>
    <row r="874" spans="2:8">
      <c r="B874" t="s">
        <v>2628</v>
      </c>
      <c r="C874" t="s">
        <v>2629</v>
      </c>
      <c r="D874">
        <v>2.01539226154643E-12</v>
      </c>
      <c r="E874" t="s">
        <v>616</v>
      </c>
      <c r="H874" t="s">
        <v>588</v>
      </c>
    </row>
    <row r="875" spans="2:8">
      <c r="B875" t="s">
        <v>2631</v>
      </c>
      <c r="C875" t="s">
        <v>2629</v>
      </c>
      <c r="D875">
        <v>2.3884080155376001E-10</v>
      </c>
      <c r="E875" t="s">
        <v>616</v>
      </c>
      <c r="H875" t="s">
        <v>588</v>
      </c>
    </row>
    <row r="876" spans="2:8">
      <c r="B876" t="s">
        <v>2633</v>
      </c>
      <c r="C876" t="s">
        <v>2629</v>
      </c>
      <c r="D876">
        <v>3.6395783552246901E-10</v>
      </c>
      <c r="E876" t="s">
        <v>616</v>
      </c>
      <c r="H876" t="s">
        <v>588</v>
      </c>
    </row>
    <row r="877" spans="2:8">
      <c r="B877" t="s">
        <v>2633</v>
      </c>
      <c r="C877" t="s">
        <v>2629</v>
      </c>
      <c r="D877">
        <v>6.46502338398998E-10</v>
      </c>
      <c r="E877" t="s">
        <v>616</v>
      </c>
      <c r="H877" t="s">
        <v>588</v>
      </c>
    </row>
    <row r="878" spans="2:8">
      <c r="B878" t="s">
        <v>2639</v>
      </c>
      <c r="C878" t="s">
        <v>2629</v>
      </c>
      <c r="D878">
        <v>6.7513348648349103E-11</v>
      </c>
      <c r="E878" t="s">
        <v>616</v>
      </c>
      <c r="H878" t="s">
        <v>588</v>
      </c>
    </row>
    <row r="879" spans="2:8">
      <c r="B879" t="s">
        <v>2642</v>
      </c>
      <c r="C879" t="s">
        <v>2629</v>
      </c>
      <c r="D879">
        <v>7.72927945286022E-9</v>
      </c>
      <c r="E879" t="s">
        <v>616</v>
      </c>
      <c r="H879" t="s">
        <v>588</v>
      </c>
    </row>
    <row r="880" spans="2:8">
      <c r="B880" t="s">
        <v>2642</v>
      </c>
      <c r="C880" t="s">
        <v>2629</v>
      </c>
      <c r="D880">
        <v>2.62359224637305E-10</v>
      </c>
      <c r="E880" t="s">
        <v>616</v>
      </c>
    </row>
    <row r="881" spans="2:8">
      <c r="B881" t="s">
        <v>2646</v>
      </c>
      <c r="C881" t="s">
        <v>2647</v>
      </c>
      <c r="D881">
        <v>7.1636941395194196E-5</v>
      </c>
      <c r="E881" t="s">
        <v>94</v>
      </c>
      <c r="H881" t="s">
        <v>588</v>
      </c>
    </row>
    <row r="882" spans="2:8">
      <c r="B882" t="s">
        <v>2650</v>
      </c>
      <c r="C882" t="s">
        <v>587</v>
      </c>
      <c r="D882">
        <v>5.3912990112752003E-2</v>
      </c>
      <c r="E882" t="s">
        <v>94</v>
      </c>
      <c r="H882" t="s">
        <v>588</v>
      </c>
    </row>
    <row r="883" spans="2:8">
      <c r="B883" t="s">
        <v>2651</v>
      </c>
      <c r="C883" t="s">
        <v>1489</v>
      </c>
      <c r="D883">
        <v>4.8448765560026997E-12</v>
      </c>
      <c r="E883" t="s">
        <v>616</v>
      </c>
      <c r="H883" t="s">
        <v>588</v>
      </c>
    </row>
    <row r="884" spans="2:8">
      <c r="B884" t="s">
        <v>2654</v>
      </c>
      <c r="C884" t="s">
        <v>2234</v>
      </c>
      <c r="D884">
        <v>1.25770765532972E-9</v>
      </c>
      <c r="E884" t="s">
        <v>616</v>
      </c>
      <c r="H884" t="s">
        <v>588</v>
      </c>
    </row>
    <row r="885" spans="2:8">
      <c r="B885" t="s">
        <v>2658</v>
      </c>
      <c r="C885" t="s">
        <v>587</v>
      </c>
      <c r="D885">
        <v>0.16491511435343001</v>
      </c>
      <c r="E885" t="s">
        <v>640</v>
      </c>
      <c r="H885" t="s">
        <v>588</v>
      </c>
    </row>
    <row r="886" spans="2:8">
      <c r="B886" t="s">
        <v>2660</v>
      </c>
      <c r="C886" t="s">
        <v>2661</v>
      </c>
      <c r="D886">
        <v>1.1775567851350401E-3</v>
      </c>
      <c r="E886" t="s">
        <v>94</v>
      </c>
      <c r="H886" t="s">
        <v>588</v>
      </c>
    </row>
    <row r="887" spans="2:8">
      <c r="B887" t="s">
        <v>2663</v>
      </c>
      <c r="C887" t="s">
        <v>670</v>
      </c>
      <c r="D887">
        <v>7.2472995720547096E-3</v>
      </c>
      <c r="E887" t="s">
        <v>94</v>
      </c>
    </row>
    <row r="888" spans="2:8">
      <c r="B888" t="s">
        <v>2663</v>
      </c>
      <c r="C888" t="s">
        <v>670</v>
      </c>
      <c r="D888">
        <v>2.3637819044755901E-2</v>
      </c>
      <c r="E888" t="s">
        <v>94</v>
      </c>
    </row>
    <row r="889" spans="2:8">
      <c r="B889" t="s">
        <v>2665</v>
      </c>
      <c r="C889" t="s">
        <v>1243</v>
      </c>
      <c r="D889">
        <v>1.3642628891404599E-4</v>
      </c>
      <c r="E889" t="s">
        <v>94</v>
      </c>
      <c r="H889" t="s">
        <v>588</v>
      </c>
    </row>
    <row r="890" spans="2:8">
      <c r="B890" t="s">
        <v>1248</v>
      </c>
      <c r="C890" t="s">
        <v>1249</v>
      </c>
      <c r="D890">
        <v>2.8891378893414898E-4</v>
      </c>
      <c r="E890" t="s">
        <v>94</v>
      </c>
      <c r="H890" t="s">
        <v>588</v>
      </c>
    </row>
    <row r="891" spans="2:8">
      <c r="B891" t="s">
        <v>1252</v>
      </c>
      <c r="C891" t="s">
        <v>1249</v>
      </c>
      <c r="D891">
        <v>6.3750278094662797E-4</v>
      </c>
      <c r="E891" t="s">
        <v>94</v>
      </c>
      <c r="H891" t="s">
        <v>588</v>
      </c>
    </row>
    <row r="892" spans="2:8">
      <c r="B892" t="s">
        <v>2668</v>
      </c>
      <c r="C892" t="s">
        <v>857</v>
      </c>
      <c r="D892">
        <v>4.7215125578546502E-12</v>
      </c>
      <c r="E892" t="s">
        <v>616</v>
      </c>
      <c r="H892" t="s">
        <v>588</v>
      </c>
    </row>
    <row r="893" spans="2:8">
      <c r="B893" t="s">
        <v>2668</v>
      </c>
      <c r="C893" t="s">
        <v>857</v>
      </c>
      <c r="D893">
        <v>4.7218300762678998E-12</v>
      </c>
      <c r="E893" t="s">
        <v>616</v>
      </c>
      <c r="H893" t="s">
        <v>588</v>
      </c>
    </row>
    <row r="894" spans="2:8">
      <c r="B894" t="s">
        <v>2672</v>
      </c>
      <c r="C894" t="s">
        <v>1243</v>
      </c>
      <c r="D894">
        <v>1.07837750354933E-3</v>
      </c>
      <c r="E894" t="s">
        <v>94</v>
      </c>
      <c r="H894" t="s">
        <v>588</v>
      </c>
    </row>
    <row r="895" spans="2:8">
      <c r="B895" t="s">
        <v>2674</v>
      </c>
      <c r="C895" t="s">
        <v>1892</v>
      </c>
      <c r="D895">
        <v>2.3678607961101199E-4</v>
      </c>
      <c r="E895" t="s">
        <v>94</v>
      </c>
      <c r="H895" t="s">
        <v>588</v>
      </c>
    </row>
    <row r="896" spans="2:8">
      <c r="B896" t="s">
        <v>2677</v>
      </c>
      <c r="C896" t="s">
        <v>1243</v>
      </c>
      <c r="D896">
        <v>1.94119969590386E-5</v>
      </c>
      <c r="E896" t="s">
        <v>626</v>
      </c>
      <c r="H896" t="s">
        <v>588</v>
      </c>
    </row>
    <row r="897" spans="2:8">
      <c r="B897" t="s">
        <v>2679</v>
      </c>
      <c r="C897" t="s">
        <v>1243</v>
      </c>
      <c r="D897">
        <v>7.98930650130762E-6</v>
      </c>
      <c r="E897" t="s">
        <v>626</v>
      </c>
      <c r="H897" t="s">
        <v>588</v>
      </c>
    </row>
    <row r="898" spans="2:8">
      <c r="B898" t="s">
        <v>2681</v>
      </c>
      <c r="C898" t="s">
        <v>2682</v>
      </c>
      <c r="D898">
        <v>6.1450163044973001E-6</v>
      </c>
      <c r="E898" t="s">
        <v>94</v>
      </c>
      <c r="H898" t="s">
        <v>588</v>
      </c>
    </row>
    <row r="899" spans="2:8">
      <c r="B899" t="s">
        <v>2684</v>
      </c>
      <c r="C899" t="s">
        <v>2589</v>
      </c>
      <c r="D899">
        <v>1.8735495500652101E-7</v>
      </c>
      <c r="E899" t="s">
        <v>640</v>
      </c>
      <c r="H899" t="s">
        <v>588</v>
      </c>
    </row>
    <row r="900" spans="2:8">
      <c r="B900" t="s">
        <v>2684</v>
      </c>
      <c r="C900" t="s">
        <v>2589</v>
      </c>
      <c r="D900">
        <v>8.62916039791628E-8</v>
      </c>
      <c r="E900" t="s">
        <v>640</v>
      </c>
      <c r="H900" t="s">
        <v>588</v>
      </c>
    </row>
    <row r="901" spans="2:8">
      <c r="B901" t="s">
        <v>2687</v>
      </c>
      <c r="C901" t="s">
        <v>673</v>
      </c>
      <c r="D901">
        <v>1.3361210225470601E-6</v>
      </c>
      <c r="E901" t="s">
        <v>94</v>
      </c>
      <c r="H901" t="s">
        <v>588</v>
      </c>
    </row>
    <row r="902" spans="2:8">
      <c r="B902" t="s">
        <v>2687</v>
      </c>
      <c r="C902" t="s">
        <v>673</v>
      </c>
      <c r="D902">
        <v>9.4179996164146196E-7</v>
      </c>
      <c r="E902" t="s">
        <v>94</v>
      </c>
      <c r="H902" t="s">
        <v>588</v>
      </c>
    </row>
    <row r="903" spans="2:8">
      <c r="B903" t="s">
        <v>2689</v>
      </c>
      <c r="C903" t="s">
        <v>1635</v>
      </c>
      <c r="D903">
        <v>2.3588828162859701E-6</v>
      </c>
      <c r="E903" t="s">
        <v>94</v>
      </c>
      <c r="H903" t="s">
        <v>588</v>
      </c>
    </row>
    <row r="904" spans="2:8">
      <c r="B904" t="s">
        <v>2692</v>
      </c>
      <c r="C904" t="s">
        <v>569</v>
      </c>
      <c r="D904">
        <v>6.2202970954088997E-10</v>
      </c>
      <c r="E904" t="s">
        <v>94</v>
      </c>
      <c r="H904" t="s">
        <v>588</v>
      </c>
    </row>
    <row r="905" spans="2:8">
      <c r="B905" t="s">
        <v>2694</v>
      </c>
      <c r="C905" t="s">
        <v>587</v>
      </c>
      <c r="D905">
        <v>1.0071483222579E-7</v>
      </c>
      <c r="E905" t="s">
        <v>94</v>
      </c>
      <c r="H905" t="s">
        <v>588</v>
      </c>
    </row>
    <row r="906" spans="2:8">
      <c r="B906" t="s">
        <v>2695</v>
      </c>
      <c r="C906" t="s">
        <v>587</v>
      </c>
      <c r="D906">
        <v>7.5290143389540197E-10</v>
      </c>
      <c r="E906" t="s">
        <v>94</v>
      </c>
    </row>
    <row r="907" spans="2:8">
      <c r="B907" t="s">
        <v>2696</v>
      </c>
      <c r="C907" t="s">
        <v>2697</v>
      </c>
      <c r="D907">
        <v>1.8541096941368899E-3</v>
      </c>
      <c r="E907" t="s">
        <v>94</v>
      </c>
    </row>
    <row r="908" spans="2:8">
      <c r="B908" t="s">
        <v>2696</v>
      </c>
      <c r="C908" t="s">
        <v>2697</v>
      </c>
      <c r="D908">
        <v>6.7219701516430606E-5</v>
      </c>
      <c r="E908" t="s">
        <v>94</v>
      </c>
    </row>
    <row r="909" spans="2:8">
      <c r="B909" t="s">
        <v>2696</v>
      </c>
      <c r="C909" t="s">
        <v>2697</v>
      </c>
      <c r="D909">
        <v>2.3055952747839801E-4</v>
      </c>
      <c r="E909" t="s">
        <v>94</v>
      </c>
      <c r="H909" t="s">
        <v>588</v>
      </c>
    </row>
    <row r="910" spans="2:8">
      <c r="B910" t="s">
        <v>2700</v>
      </c>
      <c r="C910" t="s">
        <v>1825</v>
      </c>
      <c r="D910">
        <v>3.9367442316651402E-6</v>
      </c>
      <c r="E910" t="s">
        <v>94</v>
      </c>
      <c r="H910" t="s">
        <v>588</v>
      </c>
    </row>
    <row r="911" spans="2:8">
      <c r="B911" t="s">
        <v>2702</v>
      </c>
      <c r="C911" t="s">
        <v>676</v>
      </c>
      <c r="D911">
        <v>4.3836658212923902E-5</v>
      </c>
      <c r="E911" t="s">
        <v>94</v>
      </c>
      <c r="H911" t="s">
        <v>588</v>
      </c>
    </row>
    <row r="912" spans="2:8">
      <c r="B912" t="s">
        <v>2702</v>
      </c>
      <c r="C912" t="s">
        <v>676</v>
      </c>
      <c r="D912">
        <v>1.68261281820511E-4</v>
      </c>
      <c r="E912" t="s">
        <v>94</v>
      </c>
      <c r="H912" t="s">
        <v>588</v>
      </c>
    </row>
    <row r="913" spans="2:8">
      <c r="B913" t="s">
        <v>2702</v>
      </c>
      <c r="C913" t="s">
        <v>676</v>
      </c>
      <c r="D913">
        <v>5.7079537738329398E-8</v>
      </c>
      <c r="E913" t="s">
        <v>94</v>
      </c>
      <c r="H913" t="s">
        <v>588</v>
      </c>
    </row>
    <row r="914" spans="2:8">
      <c r="B914" t="s">
        <v>2702</v>
      </c>
      <c r="C914" t="s">
        <v>676</v>
      </c>
      <c r="D914">
        <v>9.5755700283855596E-6</v>
      </c>
      <c r="E914" t="s">
        <v>94</v>
      </c>
      <c r="H914" t="s">
        <v>588</v>
      </c>
    </row>
    <row r="915" spans="2:8">
      <c r="B915" t="s">
        <v>2702</v>
      </c>
      <c r="C915" t="s">
        <v>676</v>
      </c>
      <c r="D915">
        <v>6.93617587949346E-4</v>
      </c>
      <c r="E915" t="s">
        <v>94</v>
      </c>
      <c r="H915" t="s">
        <v>588</v>
      </c>
    </row>
    <row r="916" spans="2:8">
      <c r="B916" t="s">
        <v>2705</v>
      </c>
      <c r="C916" t="s">
        <v>587</v>
      </c>
      <c r="D916">
        <v>1.4717468854344899</v>
      </c>
      <c r="E916" t="s">
        <v>94</v>
      </c>
    </row>
    <row r="917" spans="2:8">
      <c r="B917" t="s">
        <v>2706</v>
      </c>
      <c r="C917" t="s">
        <v>676</v>
      </c>
      <c r="D917">
        <v>2.1123931046845699E-2</v>
      </c>
      <c r="E917" t="s">
        <v>94</v>
      </c>
      <c r="H917" t="s">
        <v>588</v>
      </c>
    </row>
    <row r="918" spans="2:8">
      <c r="B918" t="s">
        <v>2706</v>
      </c>
      <c r="C918" t="s">
        <v>676</v>
      </c>
      <c r="D918">
        <v>0.118300021784826</v>
      </c>
      <c r="E918" t="s">
        <v>94</v>
      </c>
      <c r="H918" t="s">
        <v>588</v>
      </c>
    </row>
    <row r="919" spans="2:8">
      <c r="B919" t="s">
        <v>2709</v>
      </c>
      <c r="C919" t="s">
        <v>615</v>
      </c>
      <c r="D919">
        <v>3.3609903979853503E-11</v>
      </c>
      <c r="E919" t="s">
        <v>616</v>
      </c>
      <c r="H919" t="s">
        <v>588</v>
      </c>
    </row>
    <row r="920" spans="2:8">
      <c r="B920" t="s">
        <v>2709</v>
      </c>
      <c r="C920" t="s">
        <v>615</v>
      </c>
      <c r="D920">
        <v>3.3608873535494902E-11</v>
      </c>
      <c r="E920" t="s">
        <v>616</v>
      </c>
      <c r="H920" t="s">
        <v>588</v>
      </c>
    </row>
    <row r="921" spans="2:8">
      <c r="B921" t="s">
        <v>2714</v>
      </c>
      <c r="C921" t="s">
        <v>1830</v>
      </c>
      <c r="D921">
        <v>6.9632529819920995E-5</v>
      </c>
      <c r="E921" t="s">
        <v>94</v>
      </c>
      <c r="H921" t="s">
        <v>588</v>
      </c>
    </row>
    <row r="922" spans="2:8">
      <c r="B922" t="s">
        <v>2714</v>
      </c>
      <c r="C922" t="s">
        <v>1830</v>
      </c>
      <c r="D922">
        <v>5.8027108183267501E-4</v>
      </c>
      <c r="E922" t="s">
        <v>94</v>
      </c>
    </row>
    <row r="923" spans="2:8">
      <c r="B923" t="s">
        <v>2717</v>
      </c>
      <c r="C923" t="s">
        <v>1810</v>
      </c>
      <c r="D923">
        <v>4.32438953217754E-7</v>
      </c>
      <c r="E923" t="s">
        <v>1811</v>
      </c>
      <c r="H923" t="s">
        <v>588</v>
      </c>
    </row>
    <row r="924" spans="2:8">
      <c r="B924" t="s">
        <v>2719</v>
      </c>
      <c r="C924" t="s">
        <v>1810</v>
      </c>
      <c r="D924">
        <v>4.3228942085739701E-7</v>
      </c>
      <c r="E924" t="s">
        <v>1811</v>
      </c>
      <c r="H924" t="s">
        <v>588</v>
      </c>
    </row>
    <row r="925" spans="2:8">
      <c r="B925" t="s">
        <v>2722</v>
      </c>
      <c r="C925" t="s">
        <v>650</v>
      </c>
      <c r="D925">
        <v>1.4231201269737401E-4</v>
      </c>
      <c r="E925" t="s">
        <v>94</v>
      </c>
      <c r="H925" t="s">
        <v>588</v>
      </c>
    </row>
    <row r="926" spans="2:8">
      <c r="B926" t="s">
        <v>2725</v>
      </c>
      <c r="C926" t="s">
        <v>676</v>
      </c>
      <c r="D926">
        <v>5.9933293795349001E-5</v>
      </c>
      <c r="E926" t="s">
        <v>94</v>
      </c>
      <c r="H926" t="s">
        <v>588</v>
      </c>
    </row>
    <row r="927" spans="2:8">
      <c r="B927" t="s">
        <v>2725</v>
      </c>
      <c r="C927" t="s">
        <v>676</v>
      </c>
      <c r="D927">
        <v>1.23653635917117E-4</v>
      </c>
      <c r="E927" t="s">
        <v>94</v>
      </c>
      <c r="H927" t="s">
        <v>588</v>
      </c>
    </row>
    <row r="928" spans="2:8">
      <c r="B928" t="s">
        <v>2725</v>
      </c>
      <c r="C928" t="s">
        <v>676</v>
      </c>
      <c r="D928">
        <v>2.6900042098451098E-5</v>
      </c>
      <c r="E928" t="s">
        <v>94</v>
      </c>
      <c r="H928" t="s">
        <v>588</v>
      </c>
    </row>
    <row r="929" spans="2:8">
      <c r="B929" t="s">
        <v>2728</v>
      </c>
      <c r="C929" t="s">
        <v>2173</v>
      </c>
      <c r="D929">
        <v>6.5107077819929805E-7</v>
      </c>
      <c r="E929" t="s">
        <v>616</v>
      </c>
      <c r="H929" t="s">
        <v>588</v>
      </c>
    </row>
    <row r="930" spans="2:8">
      <c r="B930" t="s">
        <v>799</v>
      </c>
      <c r="C930" t="s">
        <v>800</v>
      </c>
      <c r="D930">
        <v>3.0068709154631699E-6</v>
      </c>
      <c r="E930" t="s">
        <v>94</v>
      </c>
      <c r="H930" t="s">
        <v>588</v>
      </c>
    </row>
    <row r="931" spans="2:8">
      <c r="B931" t="s">
        <v>799</v>
      </c>
      <c r="C931" t="s">
        <v>800</v>
      </c>
      <c r="D931">
        <v>1.7648080443809001E-5</v>
      </c>
      <c r="E931" t="s">
        <v>94</v>
      </c>
      <c r="H931" t="s">
        <v>588</v>
      </c>
    </row>
    <row r="932" spans="2:8">
      <c r="B932" t="s">
        <v>799</v>
      </c>
      <c r="C932" t="s">
        <v>800</v>
      </c>
      <c r="D932">
        <v>1.1359186714385401E-3</v>
      </c>
      <c r="E932" t="s">
        <v>94</v>
      </c>
      <c r="H932" t="s">
        <v>588</v>
      </c>
    </row>
    <row r="933" spans="2:8">
      <c r="B933" t="s">
        <v>799</v>
      </c>
      <c r="C933" t="s">
        <v>800</v>
      </c>
      <c r="D933">
        <v>4.3875489323268702E-5</v>
      </c>
      <c r="E933" t="s">
        <v>94</v>
      </c>
      <c r="H933" t="s">
        <v>588</v>
      </c>
    </row>
    <row r="934" spans="2:8">
      <c r="B934" t="s">
        <v>799</v>
      </c>
      <c r="C934" t="s">
        <v>800</v>
      </c>
      <c r="D934">
        <v>2.93325413648183E-5</v>
      </c>
      <c r="E934" t="s">
        <v>94</v>
      </c>
      <c r="H934" t="s">
        <v>588</v>
      </c>
    </row>
    <row r="935" spans="2:8">
      <c r="B935" t="s">
        <v>799</v>
      </c>
      <c r="C935" t="s">
        <v>800</v>
      </c>
      <c r="D935">
        <v>3.7221107601344699E-5</v>
      </c>
      <c r="E935" t="s">
        <v>94</v>
      </c>
      <c r="H935" t="s">
        <v>588</v>
      </c>
    </row>
    <row r="936" spans="2:8">
      <c r="B936" t="s">
        <v>799</v>
      </c>
      <c r="C936" t="s">
        <v>800</v>
      </c>
      <c r="D936">
        <v>1.8009450279640701E-5</v>
      </c>
      <c r="E936" t="s">
        <v>94</v>
      </c>
      <c r="H936" t="s">
        <v>588</v>
      </c>
    </row>
    <row r="937" spans="2:8">
      <c r="B937" t="s">
        <v>799</v>
      </c>
      <c r="C937" t="s">
        <v>800</v>
      </c>
      <c r="D937">
        <v>4.6968977792064904E-3</v>
      </c>
      <c r="E937" t="s">
        <v>94</v>
      </c>
      <c r="H937" t="s">
        <v>588</v>
      </c>
    </row>
    <row r="938" spans="2:8">
      <c r="B938" t="s">
        <v>799</v>
      </c>
      <c r="C938" t="s">
        <v>800</v>
      </c>
      <c r="D938">
        <v>7.0031595078480901E-3</v>
      </c>
      <c r="E938" t="s">
        <v>94</v>
      </c>
      <c r="H938" t="s">
        <v>588</v>
      </c>
    </row>
    <row r="939" spans="2:8">
      <c r="B939" t="s">
        <v>799</v>
      </c>
      <c r="C939" t="s">
        <v>800</v>
      </c>
      <c r="D939">
        <v>7.6587116171626406E-6</v>
      </c>
      <c r="E939" t="s">
        <v>94</v>
      </c>
      <c r="H939" t="s">
        <v>588</v>
      </c>
    </row>
    <row r="940" spans="2:8">
      <c r="B940" t="s">
        <v>2733</v>
      </c>
      <c r="C940" t="s">
        <v>2198</v>
      </c>
      <c r="D940">
        <v>2.85868626018492E-6</v>
      </c>
      <c r="E940" t="s">
        <v>616</v>
      </c>
      <c r="H940" t="s">
        <v>588</v>
      </c>
    </row>
    <row r="941" spans="2:8">
      <c r="B941" t="s">
        <v>2735</v>
      </c>
      <c r="C941" t="s">
        <v>1810</v>
      </c>
      <c r="D941">
        <v>4.3228942085739701E-7</v>
      </c>
      <c r="E941" t="s">
        <v>1811</v>
      </c>
      <c r="H941" t="s">
        <v>588</v>
      </c>
    </row>
    <row r="942" spans="2:8">
      <c r="B942" t="s">
        <v>2735</v>
      </c>
      <c r="C942" t="s">
        <v>1810</v>
      </c>
      <c r="D942">
        <v>4.32438953217754E-7</v>
      </c>
      <c r="E942" t="s">
        <v>1811</v>
      </c>
      <c r="H942" t="s">
        <v>588</v>
      </c>
    </row>
    <row r="943" spans="2:8">
      <c r="B943" t="s">
        <v>2738</v>
      </c>
      <c r="C943" t="s">
        <v>2739</v>
      </c>
      <c r="D943">
        <v>2.4035056551312502E-12</v>
      </c>
      <c r="E943" t="s">
        <v>616</v>
      </c>
      <c r="H943" t="s">
        <v>588</v>
      </c>
    </row>
    <row r="944" spans="2:8">
      <c r="B944" t="s">
        <v>2738</v>
      </c>
      <c r="C944" t="s">
        <v>2739</v>
      </c>
      <c r="D944">
        <v>2.44137090087145E-12</v>
      </c>
      <c r="E944" t="s">
        <v>616</v>
      </c>
      <c r="H944" t="s">
        <v>588</v>
      </c>
    </row>
    <row r="945" spans="1:8">
      <c r="B945" t="s">
        <v>2742</v>
      </c>
      <c r="C945" t="s">
        <v>2739</v>
      </c>
      <c r="D945">
        <v>6.9097135328537198E-11</v>
      </c>
      <c r="E945" t="s">
        <v>616</v>
      </c>
      <c r="H945" t="s">
        <v>588</v>
      </c>
    </row>
    <row r="946" spans="1:8">
      <c r="B946" t="s">
        <v>2742</v>
      </c>
      <c r="C946" t="s">
        <v>2739</v>
      </c>
      <c r="D946">
        <v>1.9531149198812001E-11</v>
      </c>
      <c r="E946" t="s">
        <v>616</v>
      </c>
      <c r="H946" t="s">
        <v>588</v>
      </c>
    </row>
    <row r="947" spans="1:8">
      <c r="B947" t="s">
        <v>2748</v>
      </c>
      <c r="C947" t="s">
        <v>2739</v>
      </c>
      <c r="D947">
        <v>7.8125858212188803E-11</v>
      </c>
      <c r="E947" t="s">
        <v>616</v>
      </c>
      <c r="H947" t="s">
        <v>588</v>
      </c>
    </row>
    <row r="948" spans="1:8">
      <c r="B948" t="s">
        <v>2748</v>
      </c>
      <c r="C948" t="s">
        <v>2739</v>
      </c>
      <c r="D948">
        <v>2.7650404682178501E-10</v>
      </c>
      <c r="E948" t="s">
        <v>616</v>
      </c>
      <c r="H948" t="s">
        <v>588</v>
      </c>
    </row>
    <row r="949" spans="1:8">
      <c r="B949" t="s">
        <v>2751</v>
      </c>
      <c r="C949" t="s">
        <v>2739</v>
      </c>
      <c r="D949">
        <v>2.7650404682178501E-10</v>
      </c>
      <c r="E949" t="s">
        <v>616</v>
      </c>
      <c r="H949" t="s">
        <v>588</v>
      </c>
    </row>
    <row r="950" spans="1:8">
      <c r="B950" t="s">
        <v>2751</v>
      </c>
      <c r="C950" t="s">
        <v>2739</v>
      </c>
      <c r="D950">
        <v>7.8125858212188803E-11</v>
      </c>
      <c r="E950" t="s">
        <v>616</v>
      </c>
      <c r="H950" t="s">
        <v>588</v>
      </c>
    </row>
    <row r="951" spans="1:8">
      <c r="B951" t="s">
        <v>2754</v>
      </c>
      <c r="C951" t="s">
        <v>2739</v>
      </c>
      <c r="D951">
        <v>5.8003380831925602E-9</v>
      </c>
      <c r="E951" t="s">
        <v>616</v>
      </c>
    </row>
    <row r="952" spans="1:8">
      <c r="B952" t="s">
        <v>2756</v>
      </c>
      <c r="C952" t="s">
        <v>2739</v>
      </c>
      <c r="D952">
        <v>6.46502338398998E-10</v>
      </c>
      <c r="E952" t="s">
        <v>616</v>
      </c>
      <c r="H952" t="s">
        <v>588</v>
      </c>
    </row>
    <row r="953" spans="1:8">
      <c r="A953" t="s">
        <v>645</v>
      </c>
      <c r="B953" t="s">
        <v>2758</v>
      </c>
      <c r="C953" t="s">
        <v>606</v>
      </c>
      <c r="D953">
        <v>1.2409300165212399E-10</v>
      </c>
      <c r="E953" t="s">
        <v>607</v>
      </c>
      <c r="H953" t="s">
        <v>588</v>
      </c>
    </row>
    <row r="954" spans="1:8">
      <c r="A954" t="s">
        <v>645</v>
      </c>
      <c r="B954" t="s">
        <v>2758</v>
      </c>
      <c r="C954" t="s">
        <v>606</v>
      </c>
      <c r="D954">
        <v>1.1893340454479E-3</v>
      </c>
      <c r="E954" t="s">
        <v>607</v>
      </c>
      <c r="H954" t="s">
        <v>588</v>
      </c>
    </row>
    <row r="955" spans="1:8">
      <c r="A955" t="s">
        <v>645</v>
      </c>
      <c r="B955" t="s">
        <v>2758</v>
      </c>
      <c r="C955" t="s">
        <v>606</v>
      </c>
      <c r="D955">
        <v>2.5567776739005899E-4</v>
      </c>
      <c r="E955" t="s">
        <v>607</v>
      </c>
      <c r="H955" t="s">
        <v>588</v>
      </c>
    </row>
    <row r="956" spans="1:8">
      <c r="A956" t="s">
        <v>645</v>
      </c>
      <c r="B956" t="s">
        <v>2758</v>
      </c>
      <c r="C956" t="s">
        <v>606</v>
      </c>
      <c r="D956">
        <v>1.14779162979423E-3</v>
      </c>
      <c r="E956" t="s">
        <v>607</v>
      </c>
      <c r="H956" t="s">
        <v>588</v>
      </c>
    </row>
    <row r="957" spans="1:8">
      <c r="B957" t="s">
        <v>1254</v>
      </c>
      <c r="C957" t="s">
        <v>606</v>
      </c>
      <c r="D957">
        <v>1.26283435377454E-3</v>
      </c>
      <c r="E957" t="s">
        <v>607</v>
      </c>
      <c r="H957" t="s">
        <v>588</v>
      </c>
    </row>
    <row r="958" spans="1:8">
      <c r="B958" t="s">
        <v>1254</v>
      </c>
      <c r="C958" t="s">
        <v>606</v>
      </c>
      <c r="D958">
        <v>6.6954604492113897E-3</v>
      </c>
      <c r="E958" t="s">
        <v>607</v>
      </c>
      <c r="H958" t="s">
        <v>588</v>
      </c>
    </row>
    <row r="959" spans="1:8">
      <c r="B959" t="s">
        <v>1254</v>
      </c>
      <c r="C959" t="s">
        <v>606</v>
      </c>
      <c r="D959">
        <v>1.70535188440282E-3</v>
      </c>
      <c r="E959" t="s">
        <v>607</v>
      </c>
      <c r="H959" t="s">
        <v>588</v>
      </c>
    </row>
    <row r="960" spans="1:8">
      <c r="B960" t="s">
        <v>1254</v>
      </c>
      <c r="C960" t="s">
        <v>606</v>
      </c>
      <c r="D960">
        <v>1.7213875219897399E-2</v>
      </c>
      <c r="E960" t="s">
        <v>607</v>
      </c>
      <c r="H960" t="s">
        <v>588</v>
      </c>
    </row>
    <row r="961" spans="1:8">
      <c r="B961" t="s">
        <v>1254</v>
      </c>
      <c r="C961" t="s">
        <v>606</v>
      </c>
      <c r="D961">
        <v>1.05304121232947E-3</v>
      </c>
      <c r="E961" t="s">
        <v>607</v>
      </c>
      <c r="H961" t="s">
        <v>588</v>
      </c>
    </row>
    <row r="962" spans="1:8">
      <c r="B962" t="s">
        <v>1254</v>
      </c>
      <c r="C962" t="s">
        <v>606</v>
      </c>
      <c r="D962">
        <v>1.6876740553065098E-2</v>
      </c>
      <c r="E962" t="s">
        <v>607</v>
      </c>
      <c r="H962" t="s">
        <v>588</v>
      </c>
    </row>
    <row r="963" spans="1:8">
      <c r="B963" t="s">
        <v>1254</v>
      </c>
      <c r="C963" t="s">
        <v>606</v>
      </c>
      <c r="D963">
        <v>3.9348893734274203E-12</v>
      </c>
      <c r="E963" t="s">
        <v>607</v>
      </c>
      <c r="H963" t="s">
        <v>588</v>
      </c>
    </row>
    <row r="964" spans="1:8">
      <c r="B964" t="s">
        <v>1254</v>
      </c>
      <c r="C964" t="s">
        <v>606</v>
      </c>
      <c r="D964">
        <v>4.9380281145070103E-3</v>
      </c>
      <c r="E964" t="s">
        <v>607</v>
      </c>
      <c r="H964" t="s">
        <v>588</v>
      </c>
    </row>
    <row r="965" spans="1:8">
      <c r="A965" t="s">
        <v>645</v>
      </c>
      <c r="B965" t="s">
        <v>845</v>
      </c>
      <c r="C965" t="s">
        <v>597</v>
      </c>
      <c r="D965">
        <v>3.6727846764997799E-3</v>
      </c>
      <c r="E965" t="s">
        <v>607</v>
      </c>
      <c r="H965" t="s">
        <v>588</v>
      </c>
    </row>
    <row r="966" spans="1:8">
      <c r="A966" t="s">
        <v>645</v>
      </c>
      <c r="B966" t="s">
        <v>845</v>
      </c>
      <c r="C966" t="s">
        <v>597</v>
      </c>
      <c r="D966">
        <v>2.9861533259976598E-2</v>
      </c>
      <c r="E966" t="s">
        <v>607</v>
      </c>
      <c r="H966" t="s">
        <v>588</v>
      </c>
    </row>
    <row r="967" spans="1:8">
      <c r="A967" t="s">
        <v>645</v>
      </c>
      <c r="B967" t="s">
        <v>845</v>
      </c>
      <c r="C967" t="s">
        <v>597</v>
      </c>
      <c r="D967">
        <v>0.137953861041652</v>
      </c>
      <c r="E967" t="s">
        <v>607</v>
      </c>
      <c r="H967" t="s">
        <v>588</v>
      </c>
    </row>
    <row r="968" spans="1:8">
      <c r="A968" t="s">
        <v>645</v>
      </c>
      <c r="B968" t="s">
        <v>845</v>
      </c>
      <c r="C968" t="s">
        <v>597</v>
      </c>
      <c r="D968">
        <v>8.5695067828108103E-3</v>
      </c>
      <c r="E968" t="s">
        <v>607</v>
      </c>
      <c r="H968" t="s">
        <v>588</v>
      </c>
    </row>
    <row r="969" spans="1:8">
      <c r="A969" t="s">
        <v>645</v>
      </c>
      <c r="B969" t="s">
        <v>845</v>
      </c>
      <c r="C969" t="s">
        <v>597</v>
      </c>
      <c r="D969">
        <v>8.9127456342627601E-2</v>
      </c>
      <c r="E969" t="s">
        <v>607</v>
      </c>
      <c r="H969" t="s">
        <v>588</v>
      </c>
    </row>
    <row r="970" spans="1:8">
      <c r="A970" t="s">
        <v>645</v>
      </c>
      <c r="B970" t="s">
        <v>845</v>
      </c>
      <c r="C970" t="s">
        <v>597</v>
      </c>
      <c r="D970">
        <v>0.46731448002377601</v>
      </c>
      <c r="E970" t="s">
        <v>607</v>
      </c>
      <c r="H970" t="s">
        <v>588</v>
      </c>
    </row>
    <row r="971" spans="1:8">
      <c r="A971" t="s">
        <v>645</v>
      </c>
      <c r="B971" t="s">
        <v>845</v>
      </c>
      <c r="C971" t="s">
        <v>597</v>
      </c>
      <c r="D971">
        <v>8.5864403976444199E-3</v>
      </c>
      <c r="E971" t="s">
        <v>607</v>
      </c>
      <c r="H971" t="s">
        <v>588</v>
      </c>
    </row>
    <row r="972" spans="1:8">
      <c r="A972" t="s">
        <v>645</v>
      </c>
      <c r="B972" t="s">
        <v>845</v>
      </c>
      <c r="C972" t="s">
        <v>597</v>
      </c>
      <c r="D972">
        <v>0.374860656801836</v>
      </c>
      <c r="E972" t="s">
        <v>607</v>
      </c>
      <c r="H972" t="s">
        <v>588</v>
      </c>
    </row>
    <row r="973" spans="1:8">
      <c r="A973" t="s">
        <v>645</v>
      </c>
      <c r="B973" t="s">
        <v>845</v>
      </c>
      <c r="C973" t="s">
        <v>597</v>
      </c>
      <c r="D973">
        <v>8.0932487131686201E-2</v>
      </c>
      <c r="E973" t="s">
        <v>607</v>
      </c>
      <c r="H973" t="s">
        <v>588</v>
      </c>
    </row>
    <row r="974" spans="1:8">
      <c r="A974" t="s">
        <v>645</v>
      </c>
      <c r="B974" t="s">
        <v>845</v>
      </c>
      <c r="C974" t="s">
        <v>597</v>
      </c>
      <c r="D974">
        <v>0.10133078917556999</v>
      </c>
      <c r="E974" t="s">
        <v>607</v>
      </c>
    </row>
    <row r="975" spans="1:8">
      <c r="A975" t="s">
        <v>645</v>
      </c>
      <c r="B975" t="s">
        <v>845</v>
      </c>
      <c r="C975" t="s">
        <v>597</v>
      </c>
      <c r="D975">
        <v>9.2701115182361807E-3</v>
      </c>
      <c r="E975" t="s">
        <v>607</v>
      </c>
      <c r="H975" t="s">
        <v>588</v>
      </c>
    </row>
    <row r="976" spans="1:8">
      <c r="B976" t="s">
        <v>605</v>
      </c>
      <c r="C976" t="s">
        <v>606</v>
      </c>
      <c r="D976">
        <v>3.9230127103039797E-3</v>
      </c>
      <c r="E976" t="s">
        <v>607</v>
      </c>
      <c r="H976" t="s">
        <v>588</v>
      </c>
    </row>
    <row r="977" spans="2:8">
      <c r="B977" t="s">
        <v>605</v>
      </c>
      <c r="C977" t="s">
        <v>606</v>
      </c>
      <c r="D977">
        <v>7.3096657526495198E-9</v>
      </c>
      <c r="E977" t="s">
        <v>607</v>
      </c>
      <c r="H977" t="s">
        <v>588</v>
      </c>
    </row>
    <row r="978" spans="2:8">
      <c r="B978" t="s">
        <v>605</v>
      </c>
      <c r="C978" t="s">
        <v>606</v>
      </c>
      <c r="D978">
        <v>1.4802999826618301E-2</v>
      </c>
      <c r="E978" t="s">
        <v>607</v>
      </c>
      <c r="H978" t="s">
        <v>588</v>
      </c>
    </row>
    <row r="979" spans="2:8">
      <c r="B979" t="s">
        <v>605</v>
      </c>
      <c r="C979" t="s">
        <v>606</v>
      </c>
      <c r="D979">
        <v>4.0469017771671799E-3</v>
      </c>
      <c r="E979" t="s">
        <v>607</v>
      </c>
      <c r="H979" t="s">
        <v>588</v>
      </c>
    </row>
    <row r="980" spans="2:8">
      <c r="B980" t="s">
        <v>605</v>
      </c>
      <c r="C980" t="s">
        <v>606</v>
      </c>
      <c r="D980">
        <v>6.4185357922959404E-4</v>
      </c>
      <c r="E980" t="s">
        <v>607</v>
      </c>
      <c r="H980" t="s">
        <v>588</v>
      </c>
    </row>
    <row r="981" spans="2:8">
      <c r="B981" t="s">
        <v>605</v>
      </c>
      <c r="C981" t="s">
        <v>606</v>
      </c>
      <c r="D981">
        <v>1.77838742911723E-2</v>
      </c>
      <c r="E981" t="s">
        <v>607</v>
      </c>
      <c r="H981" t="s">
        <v>588</v>
      </c>
    </row>
    <row r="982" spans="2:8">
      <c r="B982" t="s">
        <v>605</v>
      </c>
      <c r="C982" t="s">
        <v>606</v>
      </c>
      <c r="D982">
        <v>4.5034458918603998E-3</v>
      </c>
      <c r="E982" t="s">
        <v>607</v>
      </c>
      <c r="H982" t="s">
        <v>588</v>
      </c>
    </row>
    <row r="983" spans="2:8">
      <c r="B983" t="s">
        <v>605</v>
      </c>
      <c r="C983" t="s">
        <v>606</v>
      </c>
      <c r="D983">
        <v>2.5932571175619698E-4</v>
      </c>
      <c r="E983" t="s">
        <v>607</v>
      </c>
      <c r="H983" t="s">
        <v>588</v>
      </c>
    </row>
    <row r="984" spans="2:8">
      <c r="B984" t="s">
        <v>605</v>
      </c>
      <c r="C984" t="s">
        <v>606</v>
      </c>
      <c r="D984">
        <v>4.54831925196106E-3</v>
      </c>
      <c r="E984" t="s">
        <v>607</v>
      </c>
    </row>
    <row r="985" spans="2:8">
      <c r="B985" t="s">
        <v>605</v>
      </c>
      <c r="C985" t="s">
        <v>606</v>
      </c>
      <c r="D985">
        <v>1.3688611880484299E-4</v>
      </c>
      <c r="E985" t="s">
        <v>607</v>
      </c>
      <c r="H985" t="s">
        <v>588</v>
      </c>
    </row>
    <row r="986" spans="2:8">
      <c r="B986" t="s">
        <v>605</v>
      </c>
      <c r="C986" t="s">
        <v>606</v>
      </c>
      <c r="D986">
        <v>2.5538492326681598E-10</v>
      </c>
      <c r="E986" t="s">
        <v>607</v>
      </c>
      <c r="H986" t="s">
        <v>588</v>
      </c>
    </row>
    <row r="987" spans="2:8">
      <c r="B987" t="s">
        <v>605</v>
      </c>
      <c r="C987" t="s">
        <v>606</v>
      </c>
      <c r="D987">
        <v>0.118689707153951</v>
      </c>
      <c r="E987" t="s">
        <v>607</v>
      </c>
      <c r="H987" t="s">
        <v>588</v>
      </c>
    </row>
    <row r="988" spans="2:8">
      <c r="B988" t="s">
        <v>605</v>
      </c>
      <c r="C988" t="s">
        <v>606</v>
      </c>
      <c r="D988">
        <v>0.42424625394339199</v>
      </c>
      <c r="E988" t="s">
        <v>607</v>
      </c>
      <c r="H988" t="s">
        <v>588</v>
      </c>
    </row>
    <row r="989" spans="2:8">
      <c r="B989" t="s">
        <v>605</v>
      </c>
      <c r="C989" t="s">
        <v>606</v>
      </c>
      <c r="D989">
        <v>1.0020331957299601E-3</v>
      </c>
      <c r="E989" t="s">
        <v>607</v>
      </c>
      <c r="H989" t="s">
        <v>588</v>
      </c>
    </row>
    <row r="990" spans="2:8">
      <c r="B990" t="s">
        <v>605</v>
      </c>
      <c r="C990" t="s">
        <v>606</v>
      </c>
      <c r="D990">
        <v>5.9601275976860997E-2</v>
      </c>
      <c r="E990" t="s">
        <v>607</v>
      </c>
      <c r="H990" t="s">
        <v>588</v>
      </c>
    </row>
    <row r="991" spans="2:8">
      <c r="B991" t="s">
        <v>605</v>
      </c>
      <c r="C991" t="s">
        <v>606</v>
      </c>
      <c r="D991">
        <v>5.2004809898373996E-6</v>
      </c>
      <c r="E991" t="s">
        <v>607</v>
      </c>
      <c r="H991" t="s">
        <v>588</v>
      </c>
    </row>
    <row r="992" spans="2:8">
      <c r="B992" t="s">
        <v>605</v>
      </c>
      <c r="C992" t="s">
        <v>606</v>
      </c>
      <c r="D992">
        <v>1.04754701872129E-2</v>
      </c>
      <c r="E992" t="s">
        <v>607</v>
      </c>
      <c r="H992" t="s">
        <v>588</v>
      </c>
    </row>
    <row r="993" spans="2:8">
      <c r="B993" t="s">
        <v>605</v>
      </c>
      <c r="C993" t="s">
        <v>606</v>
      </c>
      <c r="D993">
        <v>1.2364625462853499E-2</v>
      </c>
      <c r="E993" t="s">
        <v>607</v>
      </c>
      <c r="H993" t="s">
        <v>588</v>
      </c>
    </row>
    <row r="994" spans="2:8">
      <c r="B994" t="s">
        <v>605</v>
      </c>
      <c r="C994" t="s">
        <v>606</v>
      </c>
      <c r="D994">
        <v>3.0229829149238802E-2</v>
      </c>
      <c r="E994" t="s">
        <v>607</v>
      </c>
      <c r="H994" t="s">
        <v>588</v>
      </c>
    </row>
    <row r="995" spans="2:8">
      <c r="B995" t="s">
        <v>605</v>
      </c>
      <c r="C995" t="s">
        <v>606</v>
      </c>
      <c r="D995">
        <v>5.9058514127556597E-3</v>
      </c>
      <c r="E995" t="s">
        <v>607</v>
      </c>
      <c r="H995" t="s">
        <v>588</v>
      </c>
    </row>
    <row r="996" spans="2:8">
      <c r="B996" t="s">
        <v>605</v>
      </c>
      <c r="C996" t="s">
        <v>606</v>
      </c>
      <c r="D996">
        <v>1.47935370136681E-2</v>
      </c>
      <c r="E996" t="s">
        <v>607</v>
      </c>
      <c r="H996" t="s">
        <v>588</v>
      </c>
    </row>
    <row r="997" spans="2:8">
      <c r="B997" t="s">
        <v>2797</v>
      </c>
      <c r="C997" t="s">
        <v>606</v>
      </c>
      <c r="D997">
        <v>1.8350656392009002E-2</v>
      </c>
      <c r="E997" t="s">
        <v>607</v>
      </c>
      <c r="H997" t="s">
        <v>588</v>
      </c>
    </row>
    <row r="998" spans="2:8">
      <c r="B998" t="s">
        <v>2797</v>
      </c>
      <c r="C998" t="s">
        <v>606</v>
      </c>
      <c r="D998">
        <v>2.7090847386414801E-2</v>
      </c>
      <c r="E998" t="s">
        <v>607</v>
      </c>
      <c r="H998" t="s">
        <v>588</v>
      </c>
    </row>
    <row r="999" spans="2:8">
      <c r="B999" t="s">
        <v>2800</v>
      </c>
      <c r="C999" t="s">
        <v>664</v>
      </c>
      <c r="D999">
        <v>1.93920561959675E-2</v>
      </c>
      <c r="E999" t="s">
        <v>94</v>
      </c>
      <c r="H999" t="s">
        <v>588</v>
      </c>
    </row>
    <row r="1000" spans="2:8">
      <c r="B1000" t="s">
        <v>2800</v>
      </c>
      <c r="C1000" t="s">
        <v>664</v>
      </c>
      <c r="D1000">
        <v>2.6799261258058401E-4</v>
      </c>
      <c r="E1000" t="s">
        <v>94</v>
      </c>
    </row>
    <row r="1001" spans="2:8">
      <c r="B1001" t="s">
        <v>2800</v>
      </c>
      <c r="C1001" t="s">
        <v>664</v>
      </c>
      <c r="D1001">
        <v>1.89129154444855E-5</v>
      </c>
      <c r="E1001" t="s">
        <v>94</v>
      </c>
    </row>
    <row r="1002" spans="2:8">
      <c r="B1002" t="s">
        <v>2800</v>
      </c>
      <c r="C1002" t="s">
        <v>664</v>
      </c>
      <c r="D1002">
        <v>0.17949447075293801</v>
      </c>
      <c r="E1002" t="s">
        <v>94</v>
      </c>
      <c r="H1002" t="s">
        <v>588</v>
      </c>
    </row>
    <row r="1003" spans="2:8">
      <c r="B1003" t="s">
        <v>2800</v>
      </c>
      <c r="C1003" t="s">
        <v>664</v>
      </c>
      <c r="D1003">
        <v>1.0545449926351501E-2</v>
      </c>
      <c r="E1003" t="s">
        <v>94</v>
      </c>
    </row>
    <row r="1004" spans="2:8">
      <c r="B1004" t="s">
        <v>2800</v>
      </c>
      <c r="C1004" t="s">
        <v>664</v>
      </c>
      <c r="D1004">
        <v>1.08133947272853E-2</v>
      </c>
      <c r="E1004" t="s">
        <v>94</v>
      </c>
    </row>
    <row r="1005" spans="2:8">
      <c r="B1005" t="s">
        <v>2800</v>
      </c>
      <c r="C1005" t="s">
        <v>664</v>
      </c>
      <c r="D1005">
        <v>4.6729694397978803E-3</v>
      </c>
      <c r="E1005" t="s">
        <v>94</v>
      </c>
      <c r="H1005" t="s">
        <v>588</v>
      </c>
    </row>
    <row r="1006" spans="2:8">
      <c r="B1006" t="s">
        <v>2800</v>
      </c>
      <c r="C1006" t="s">
        <v>664</v>
      </c>
      <c r="D1006">
        <v>3.9527174543600397E-3</v>
      </c>
      <c r="E1006" t="s">
        <v>94</v>
      </c>
      <c r="H1006" t="s">
        <v>588</v>
      </c>
    </row>
    <row r="1007" spans="2:8">
      <c r="B1007" t="s">
        <v>2800</v>
      </c>
      <c r="C1007" t="s">
        <v>664</v>
      </c>
      <c r="D1007">
        <v>2.74547961579926E-3</v>
      </c>
      <c r="E1007" t="s">
        <v>94</v>
      </c>
    </row>
    <row r="1008" spans="2:8">
      <c r="B1008" t="s">
        <v>2800</v>
      </c>
      <c r="C1008" t="s">
        <v>664</v>
      </c>
      <c r="D1008">
        <v>1.0813442538931999E-2</v>
      </c>
      <c r="E1008" t="s">
        <v>94</v>
      </c>
    </row>
    <row r="1009" spans="2:8">
      <c r="B1009" t="s">
        <v>2800</v>
      </c>
      <c r="C1009" t="s">
        <v>664</v>
      </c>
      <c r="D1009">
        <v>7.26518054272156E-4</v>
      </c>
      <c r="E1009" t="s">
        <v>94</v>
      </c>
    </row>
    <row r="1010" spans="2:8">
      <c r="B1010" t="s">
        <v>2800</v>
      </c>
      <c r="C1010" t="s">
        <v>664</v>
      </c>
      <c r="D1010">
        <v>2.0696058038922801E-4</v>
      </c>
      <c r="E1010" t="s">
        <v>94</v>
      </c>
      <c r="H1010" t="s">
        <v>588</v>
      </c>
    </row>
    <row r="1011" spans="2:8">
      <c r="B1011" t="s">
        <v>2800</v>
      </c>
      <c r="C1011" t="s">
        <v>664</v>
      </c>
      <c r="D1011">
        <v>1.0794529623487601E-2</v>
      </c>
      <c r="E1011" t="s">
        <v>94</v>
      </c>
    </row>
    <row r="1012" spans="2:8">
      <c r="B1012" t="s">
        <v>2800</v>
      </c>
      <c r="C1012" t="s">
        <v>664</v>
      </c>
      <c r="D1012">
        <v>5.4847982417342497E-3</v>
      </c>
      <c r="E1012" t="s">
        <v>94</v>
      </c>
      <c r="H1012" t="s">
        <v>588</v>
      </c>
    </row>
    <row r="1013" spans="2:8">
      <c r="B1013" t="s">
        <v>2800</v>
      </c>
      <c r="C1013" t="s">
        <v>664</v>
      </c>
      <c r="D1013">
        <v>1.0209959308914601E-3</v>
      </c>
      <c r="E1013" t="s">
        <v>94</v>
      </c>
      <c r="H1013" t="s">
        <v>588</v>
      </c>
    </row>
    <row r="1014" spans="2:8">
      <c r="B1014" t="s">
        <v>2800</v>
      </c>
      <c r="C1014" t="s">
        <v>664</v>
      </c>
      <c r="D1014">
        <v>1.51640144396209E-4</v>
      </c>
      <c r="E1014" t="s">
        <v>94</v>
      </c>
      <c r="H1014" t="s">
        <v>588</v>
      </c>
    </row>
    <row r="1015" spans="2:8">
      <c r="B1015" t="s">
        <v>2800</v>
      </c>
      <c r="C1015" t="s">
        <v>664</v>
      </c>
      <c r="D1015">
        <v>0.347621773319511</v>
      </c>
      <c r="E1015" t="s">
        <v>94</v>
      </c>
      <c r="H1015" t="s">
        <v>588</v>
      </c>
    </row>
    <row r="1016" spans="2:8">
      <c r="B1016" t="s">
        <v>2800</v>
      </c>
      <c r="C1016" t="s">
        <v>664</v>
      </c>
      <c r="D1016">
        <v>7.3414448688606197E-3</v>
      </c>
      <c r="E1016" t="s">
        <v>94</v>
      </c>
    </row>
    <row r="1017" spans="2:8">
      <c r="B1017" t="s">
        <v>2809</v>
      </c>
      <c r="C1017" t="s">
        <v>1138</v>
      </c>
      <c r="D1017">
        <v>1.3589611450951801E-7</v>
      </c>
      <c r="E1017" t="s">
        <v>94</v>
      </c>
      <c r="H1017" t="s">
        <v>588</v>
      </c>
    </row>
    <row r="1018" spans="2:8">
      <c r="B1018" t="s">
        <v>2811</v>
      </c>
      <c r="C1018" t="s">
        <v>673</v>
      </c>
      <c r="D1018">
        <v>5.6836487134294996E-7</v>
      </c>
      <c r="E1018" t="s">
        <v>94</v>
      </c>
      <c r="H1018" t="s">
        <v>588</v>
      </c>
    </row>
    <row r="1019" spans="2:8">
      <c r="B1019" t="s">
        <v>2813</v>
      </c>
      <c r="C1019" t="s">
        <v>664</v>
      </c>
      <c r="D1019">
        <v>8.6348129351120005E-6</v>
      </c>
      <c r="E1019" t="s">
        <v>94</v>
      </c>
      <c r="H1019" t="s">
        <v>588</v>
      </c>
    </row>
    <row r="1020" spans="2:8">
      <c r="B1020" t="s">
        <v>2815</v>
      </c>
      <c r="C1020" t="s">
        <v>673</v>
      </c>
      <c r="D1020">
        <v>4.9673388425260797E-5</v>
      </c>
      <c r="E1020" t="s">
        <v>94</v>
      </c>
      <c r="H1020" t="s">
        <v>588</v>
      </c>
    </row>
    <row r="1021" spans="2:8">
      <c r="B1021" t="s">
        <v>2818</v>
      </c>
      <c r="C1021" t="s">
        <v>673</v>
      </c>
      <c r="D1021">
        <v>9.7803940684255892E-7</v>
      </c>
      <c r="E1021" t="s">
        <v>94</v>
      </c>
      <c r="H1021" t="s">
        <v>588</v>
      </c>
    </row>
    <row r="1022" spans="2:8">
      <c r="B1022" t="s">
        <v>2820</v>
      </c>
      <c r="C1022" t="s">
        <v>664</v>
      </c>
      <c r="D1022">
        <v>1.24122064876789E-5</v>
      </c>
      <c r="E1022" t="s">
        <v>94</v>
      </c>
      <c r="H1022" t="s">
        <v>588</v>
      </c>
    </row>
    <row r="1023" spans="2:8">
      <c r="B1023" t="s">
        <v>2823</v>
      </c>
      <c r="C1023" t="s">
        <v>1810</v>
      </c>
      <c r="D1023">
        <v>8.6457548543047099E-7</v>
      </c>
      <c r="E1023" t="s">
        <v>1811</v>
      </c>
      <c r="H1023" t="s">
        <v>588</v>
      </c>
    </row>
    <row r="1024" spans="2:8">
      <c r="B1024" t="s">
        <v>2823</v>
      </c>
      <c r="C1024" t="s">
        <v>1810</v>
      </c>
      <c r="D1024">
        <v>1.45320509068544E-6</v>
      </c>
      <c r="E1024" t="s">
        <v>1811</v>
      </c>
      <c r="H1024" t="s">
        <v>588</v>
      </c>
    </row>
    <row r="1025" spans="2:8">
      <c r="B1025" t="s">
        <v>1265</v>
      </c>
      <c r="C1025" t="s">
        <v>821</v>
      </c>
      <c r="D1025">
        <v>5.4098103627464696E-7</v>
      </c>
      <c r="E1025" t="s">
        <v>94</v>
      </c>
      <c r="H1025" t="s">
        <v>588</v>
      </c>
    </row>
    <row r="1026" spans="2:8">
      <c r="B1026" t="s">
        <v>2827</v>
      </c>
      <c r="C1026" t="s">
        <v>857</v>
      </c>
      <c r="D1026">
        <v>7.2568236160487804E-13</v>
      </c>
      <c r="E1026" t="s">
        <v>616</v>
      </c>
      <c r="H1026" t="s">
        <v>588</v>
      </c>
    </row>
    <row r="1027" spans="2:8">
      <c r="B1027" t="s">
        <v>2831</v>
      </c>
      <c r="C1027" t="s">
        <v>673</v>
      </c>
      <c r="D1027">
        <v>8.6522484874576402E-8</v>
      </c>
      <c r="E1027" t="s">
        <v>94</v>
      </c>
      <c r="H1027" t="s">
        <v>588</v>
      </c>
    </row>
    <row r="1028" spans="2:8">
      <c r="B1028" t="s">
        <v>2831</v>
      </c>
      <c r="C1028" t="s">
        <v>673</v>
      </c>
      <c r="D1028">
        <v>5.2224989601852897E-9</v>
      </c>
      <c r="E1028" t="s">
        <v>94</v>
      </c>
      <c r="H1028" t="s">
        <v>588</v>
      </c>
    </row>
    <row r="1029" spans="2:8">
      <c r="B1029" t="s">
        <v>672</v>
      </c>
      <c r="C1029" t="s">
        <v>673</v>
      </c>
      <c r="D1029">
        <v>3.8845346045288898E-5</v>
      </c>
      <c r="E1029" t="s">
        <v>94</v>
      </c>
      <c r="H1029" t="s">
        <v>588</v>
      </c>
    </row>
    <row r="1030" spans="2:8">
      <c r="B1030" t="s">
        <v>672</v>
      </c>
      <c r="C1030" t="s">
        <v>673</v>
      </c>
      <c r="D1030">
        <v>1.9279862554533701E-3</v>
      </c>
      <c r="E1030" t="s">
        <v>94</v>
      </c>
      <c r="H1030" t="s">
        <v>588</v>
      </c>
    </row>
    <row r="1031" spans="2:8">
      <c r="B1031" t="s">
        <v>2833</v>
      </c>
      <c r="C1031" t="s">
        <v>673</v>
      </c>
      <c r="D1031">
        <v>3.7673743197191101E-8</v>
      </c>
      <c r="E1031" t="s">
        <v>94</v>
      </c>
      <c r="H1031" t="s">
        <v>588</v>
      </c>
    </row>
    <row r="1032" spans="2:8">
      <c r="B1032" t="s">
        <v>2833</v>
      </c>
      <c r="C1032" t="s">
        <v>673</v>
      </c>
      <c r="D1032">
        <v>8.2882235033820496E-8</v>
      </c>
      <c r="E1032" t="s">
        <v>94</v>
      </c>
      <c r="H1032" t="s">
        <v>588</v>
      </c>
    </row>
    <row r="1033" spans="2:8">
      <c r="B1033" t="s">
        <v>912</v>
      </c>
      <c r="C1033" t="s">
        <v>569</v>
      </c>
      <c r="D1033">
        <v>5.9402125666701002E-5</v>
      </c>
      <c r="E1033" t="s">
        <v>94</v>
      </c>
      <c r="H1033" t="s">
        <v>588</v>
      </c>
    </row>
    <row r="1034" spans="2:8">
      <c r="B1034" t="s">
        <v>1268</v>
      </c>
      <c r="C1034" t="s">
        <v>673</v>
      </c>
      <c r="D1034">
        <v>3.7115869947609999E-4</v>
      </c>
      <c r="E1034" t="s">
        <v>94</v>
      </c>
      <c r="H1034" t="s">
        <v>588</v>
      </c>
    </row>
    <row r="1035" spans="2:8">
      <c r="B1035" t="s">
        <v>1268</v>
      </c>
      <c r="C1035" t="s">
        <v>673</v>
      </c>
      <c r="D1035">
        <v>8.4529070330567103E-4</v>
      </c>
      <c r="E1035" t="s">
        <v>94</v>
      </c>
      <c r="H1035" t="s">
        <v>588</v>
      </c>
    </row>
    <row r="1036" spans="2:8">
      <c r="B1036" t="s">
        <v>1271</v>
      </c>
      <c r="C1036" t="s">
        <v>664</v>
      </c>
      <c r="D1036">
        <v>4.1588763888198199E-6</v>
      </c>
      <c r="E1036" t="s">
        <v>94</v>
      </c>
      <c r="H1036" t="s">
        <v>588</v>
      </c>
    </row>
    <row r="1037" spans="2:8">
      <c r="B1037" t="s">
        <v>1271</v>
      </c>
      <c r="C1037" t="s">
        <v>664</v>
      </c>
      <c r="D1037">
        <v>2.2550323499782499E-4</v>
      </c>
      <c r="E1037" t="s">
        <v>94</v>
      </c>
      <c r="H1037" t="s">
        <v>588</v>
      </c>
    </row>
    <row r="1038" spans="2:8">
      <c r="B1038" t="s">
        <v>2835</v>
      </c>
      <c r="C1038" t="s">
        <v>1830</v>
      </c>
      <c r="D1038">
        <v>1.49017866515522E-4</v>
      </c>
      <c r="E1038" t="s">
        <v>94</v>
      </c>
      <c r="H1038" t="s">
        <v>588</v>
      </c>
    </row>
    <row r="1039" spans="2:8">
      <c r="B1039" t="s">
        <v>2835</v>
      </c>
      <c r="C1039" t="s">
        <v>1830</v>
      </c>
      <c r="D1039">
        <v>1.24181555429602E-3</v>
      </c>
      <c r="E1039" t="s">
        <v>94</v>
      </c>
    </row>
    <row r="1040" spans="2:8">
      <c r="B1040" t="s">
        <v>2838</v>
      </c>
      <c r="C1040" t="s">
        <v>673</v>
      </c>
      <c r="D1040">
        <v>4.7793268352020599E-9</v>
      </c>
      <c r="E1040" t="s">
        <v>94</v>
      </c>
      <c r="H1040" t="s">
        <v>588</v>
      </c>
    </row>
    <row r="1041" spans="2:8">
      <c r="B1041" t="s">
        <v>1276</v>
      </c>
      <c r="C1041" t="s">
        <v>1170</v>
      </c>
      <c r="D1041">
        <v>3.0896048538224099E-9</v>
      </c>
      <c r="E1041" t="s">
        <v>94</v>
      </c>
      <c r="H1041" t="s">
        <v>588</v>
      </c>
    </row>
    <row r="1042" spans="2:8">
      <c r="B1042" t="s">
        <v>1278</v>
      </c>
      <c r="C1042" t="s">
        <v>1170</v>
      </c>
      <c r="D1042">
        <v>2.0642839616092801E-5</v>
      </c>
      <c r="E1042" t="s">
        <v>94</v>
      </c>
      <c r="H1042" t="s">
        <v>588</v>
      </c>
    </row>
    <row r="1043" spans="2:8">
      <c r="B1043" t="s">
        <v>2842</v>
      </c>
      <c r="C1043" t="s">
        <v>2629</v>
      </c>
      <c r="D1043">
        <v>3.94617060865335E-10</v>
      </c>
      <c r="E1043" t="s">
        <v>616</v>
      </c>
      <c r="H1043" t="s">
        <v>588</v>
      </c>
    </row>
    <row r="1044" spans="2:8">
      <c r="B1044" t="s">
        <v>2844</v>
      </c>
      <c r="C1044" t="s">
        <v>2629</v>
      </c>
      <c r="D1044">
        <v>2.19716622543881E-9</v>
      </c>
      <c r="E1044" t="s">
        <v>616</v>
      </c>
      <c r="H1044" t="s">
        <v>588</v>
      </c>
    </row>
    <row r="1045" spans="2:8">
      <c r="B1045" t="s">
        <v>2846</v>
      </c>
      <c r="C1045" t="s">
        <v>2847</v>
      </c>
      <c r="D1045">
        <v>3.7462219060947897E-5</v>
      </c>
      <c r="E1045" t="s">
        <v>94</v>
      </c>
      <c r="H1045" t="s">
        <v>588</v>
      </c>
    </row>
    <row r="1046" spans="2:8">
      <c r="B1046" t="s">
        <v>2846</v>
      </c>
      <c r="C1046" t="s">
        <v>2847</v>
      </c>
      <c r="D1046">
        <v>4.1042267131529297E-5</v>
      </c>
      <c r="E1046" t="s">
        <v>94</v>
      </c>
      <c r="H1046" t="s">
        <v>588</v>
      </c>
    </row>
    <row r="1047" spans="2:8">
      <c r="B1047" t="s">
        <v>2851</v>
      </c>
      <c r="C1047" t="s">
        <v>615</v>
      </c>
      <c r="D1047">
        <v>9.5837025097816602E-12</v>
      </c>
      <c r="E1047" t="s">
        <v>616</v>
      </c>
      <c r="H1047" t="s">
        <v>588</v>
      </c>
    </row>
    <row r="1048" spans="2:8">
      <c r="B1048" t="s">
        <v>2851</v>
      </c>
      <c r="C1048" t="s">
        <v>615</v>
      </c>
      <c r="D1048">
        <v>2.8629210026683902E-11</v>
      </c>
      <c r="E1048" t="s">
        <v>616</v>
      </c>
      <c r="H1048" t="s">
        <v>588</v>
      </c>
    </row>
    <row r="1049" spans="2:8">
      <c r="B1049" t="s">
        <v>1280</v>
      </c>
      <c r="C1049" t="s">
        <v>1249</v>
      </c>
      <c r="D1049">
        <v>1.59540163996272E-4</v>
      </c>
      <c r="E1049" t="s">
        <v>94</v>
      </c>
      <c r="H1049" t="s">
        <v>588</v>
      </c>
    </row>
    <row r="1050" spans="2:8">
      <c r="B1050" t="s">
        <v>1280</v>
      </c>
      <c r="C1050" t="s">
        <v>1249</v>
      </c>
      <c r="D1050">
        <v>5.7831021074346604E-4</v>
      </c>
      <c r="E1050" t="s">
        <v>94</v>
      </c>
      <c r="H1050" t="s">
        <v>588</v>
      </c>
    </row>
    <row r="1051" spans="2:8">
      <c r="B1051" t="s">
        <v>2858</v>
      </c>
      <c r="C1051" t="s">
        <v>1810</v>
      </c>
      <c r="D1051">
        <v>7.6673901461297207E-6</v>
      </c>
      <c r="E1051" t="s">
        <v>94</v>
      </c>
      <c r="H1051" t="s">
        <v>588</v>
      </c>
    </row>
    <row r="1052" spans="2:8">
      <c r="B1052" t="s">
        <v>2858</v>
      </c>
      <c r="C1052" t="s">
        <v>1810</v>
      </c>
      <c r="D1052">
        <v>5.5467307886958697E-8</v>
      </c>
      <c r="E1052" t="s">
        <v>94</v>
      </c>
      <c r="H1052" t="s">
        <v>588</v>
      </c>
    </row>
    <row r="1053" spans="2:8">
      <c r="B1053" t="s">
        <v>2858</v>
      </c>
      <c r="C1053" t="s">
        <v>1810</v>
      </c>
      <c r="D1053">
        <v>4.03740125535751E-7</v>
      </c>
      <c r="E1053" t="s">
        <v>94</v>
      </c>
      <c r="H1053" t="s">
        <v>588</v>
      </c>
    </row>
    <row r="1054" spans="2:8">
      <c r="B1054" t="s">
        <v>2858</v>
      </c>
      <c r="C1054" t="s">
        <v>1810</v>
      </c>
      <c r="D1054">
        <v>1.0716681657283099E-6</v>
      </c>
      <c r="E1054" t="s">
        <v>94</v>
      </c>
      <c r="H1054" t="s">
        <v>588</v>
      </c>
    </row>
    <row r="1055" spans="2:8">
      <c r="B1055" t="s">
        <v>2858</v>
      </c>
      <c r="C1055" t="s">
        <v>1810</v>
      </c>
      <c r="D1055">
        <v>1.5171476164451E-7</v>
      </c>
      <c r="E1055" t="s">
        <v>94</v>
      </c>
      <c r="H1055" t="s">
        <v>588</v>
      </c>
    </row>
    <row r="1056" spans="2:8">
      <c r="B1056" t="s">
        <v>2858</v>
      </c>
      <c r="C1056" t="s">
        <v>1810</v>
      </c>
      <c r="D1056">
        <v>7.4030072279407102E-9</v>
      </c>
      <c r="E1056" t="s">
        <v>94</v>
      </c>
      <c r="H1056" t="s">
        <v>588</v>
      </c>
    </row>
    <row r="1057" spans="2:8">
      <c r="B1057" t="s">
        <v>2858</v>
      </c>
      <c r="C1057" t="s">
        <v>1810</v>
      </c>
      <c r="D1057">
        <v>6.9799758890014296E-8</v>
      </c>
      <c r="E1057" t="s">
        <v>94</v>
      </c>
      <c r="H1057" t="s">
        <v>588</v>
      </c>
    </row>
    <row r="1058" spans="2:8">
      <c r="B1058" t="s">
        <v>2858</v>
      </c>
      <c r="C1058" t="s">
        <v>1810</v>
      </c>
      <c r="D1058">
        <v>1.0699305898426499E-8</v>
      </c>
      <c r="E1058" t="s">
        <v>94</v>
      </c>
      <c r="H1058" t="s">
        <v>588</v>
      </c>
    </row>
    <row r="1059" spans="2:8">
      <c r="B1059" t="s">
        <v>2858</v>
      </c>
      <c r="C1059" t="s">
        <v>1810</v>
      </c>
      <c r="D1059">
        <v>1.7888681064097901E-7</v>
      </c>
      <c r="E1059" t="s">
        <v>94</v>
      </c>
      <c r="H1059" t="s">
        <v>588</v>
      </c>
    </row>
    <row r="1060" spans="2:8">
      <c r="B1060" t="s">
        <v>2858</v>
      </c>
      <c r="C1060" t="s">
        <v>1810</v>
      </c>
      <c r="D1060">
        <v>2.72717629377413E-8</v>
      </c>
      <c r="E1060" t="s">
        <v>94</v>
      </c>
      <c r="H1060" t="s">
        <v>588</v>
      </c>
    </row>
    <row r="1061" spans="2:8">
      <c r="B1061" t="s">
        <v>2858</v>
      </c>
      <c r="C1061" t="s">
        <v>1810</v>
      </c>
      <c r="D1061">
        <v>1.8551715127929E-7</v>
      </c>
      <c r="E1061" t="s">
        <v>94</v>
      </c>
      <c r="H1061" t="s">
        <v>588</v>
      </c>
    </row>
    <row r="1062" spans="2:8">
      <c r="B1062" t="s">
        <v>2858</v>
      </c>
      <c r="C1062" t="s">
        <v>1810</v>
      </c>
      <c r="D1062">
        <v>1.9738374674683299E-7</v>
      </c>
      <c r="E1062" t="s">
        <v>94</v>
      </c>
      <c r="H1062" t="s">
        <v>588</v>
      </c>
    </row>
    <row r="1063" spans="2:8">
      <c r="B1063" t="s">
        <v>2858</v>
      </c>
      <c r="C1063" t="s">
        <v>1810</v>
      </c>
      <c r="D1063">
        <v>2.1574167457897599E-6</v>
      </c>
      <c r="E1063" t="s">
        <v>94</v>
      </c>
      <c r="H1063" t="s">
        <v>588</v>
      </c>
    </row>
    <row r="1064" spans="2:8">
      <c r="B1064" t="s">
        <v>2858</v>
      </c>
      <c r="C1064" t="s">
        <v>1810</v>
      </c>
      <c r="D1064">
        <v>9.1736825969732998E-8</v>
      </c>
      <c r="E1064" t="s">
        <v>94</v>
      </c>
      <c r="H1064" t="s">
        <v>588</v>
      </c>
    </row>
    <row r="1065" spans="2:8">
      <c r="B1065" t="s">
        <v>2858</v>
      </c>
      <c r="C1065" t="s">
        <v>1810</v>
      </c>
      <c r="D1065">
        <v>4.3197410189077203E-5</v>
      </c>
      <c r="E1065" t="s">
        <v>94</v>
      </c>
    </row>
    <row r="1066" spans="2:8">
      <c r="B1066" t="s">
        <v>2858</v>
      </c>
      <c r="C1066" t="s">
        <v>1810</v>
      </c>
      <c r="D1066">
        <v>1.2778341573936201E-7</v>
      </c>
      <c r="E1066" t="s">
        <v>94</v>
      </c>
      <c r="H1066" t="s">
        <v>588</v>
      </c>
    </row>
    <row r="1067" spans="2:8">
      <c r="B1067" t="s">
        <v>2858</v>
      </c>
      <c r="C1067" t="s">
        <v>1810</v>
      </c>
      <c r="D1067">
        <v>4.8859831223009898E-9</v>
      </c>
      <c r="E1067" t="s">
        <v>94</v>
      </c>
      <c r="H1067" t="s">
        <v>588</v>
      </c>
    </row>
    <row r="1068" spans="2:8">
      <c r="B1068" t="s">
        <v>2858</v>
      </c>
      <c r="C1068" t="s">
        <v>1810</v>
      </c>
      <c r="D1068">
        <v>1.1816102040666699E-8</v>
      </c>
      <c r="E1068" t="s">
        <v>94</v>
      </c>
      <c r="H1068" t="s">
        <v>588</v>
      </c>
    </row>
    <row r="1069" spans="2:8">
      <c r="B1069" t="s">
        <v>2858</v>
      </c>
      <c r="C1069" t="s">
        <v>1810</v>
      </c>
      <c r="D1069">
        <v>3.4066996369197701E-5</v>
      </c>
      <c r="E1069" t="s">
        <v>94</v>
      </c>
      <c r="H1069" t="s">
        <v>588</v>
      </c>
    </row>
    <row r="1070" spans="2:8">
      <c r="B1070" t="s">
        <v>2858</v>
      </c>
      <c r="C1070" t="s">
        <v>1810</v>
      </c>
      <c r="D1070">
        <v>4.8417877123636097E-7</v>
      </c>
      <c r="E1070" t="s">
        <v>94</v>
      </c>
      <c r="H1070" t="s">
        <v>588</v>
      </c>
    </row>
    <row r="1071" spans="2:8">
      <c r="B1071" t="s">
        <v>2858</v>
      </c>
      <c r="C1071" t="s">
        <v>1810</v>
      </c>
      <c r="D1071">
        <v>1.9756084960534301E-6</v>
      </c>
      <c r="E1071" t="s">
        <v>94</v>
      </c>
      <c r="H1071" t="s">
        <v>588</v>
      </c>
    </row>
    <row r="1072" spans="2:8">
      <c r="B1072" t="s">
        <v>2858</v>
      </c>
      <c r="C1072" t="s">
        <v>1810</v>
      </c>
      <c r="D1072">
        <v>1.7371653677266199E-6</v>
      </c>
      <c r="E1072" t="s">
        <v>94</v>
      </c>
      <c r="H1072" t="s">
        <v>588</v>
      </c>
    </row>
    <row r="1073" spans="2:8">
      <c r="B1073" t="s">
        <v>2858</v>
      </c>
      <c r="C1073" t="s">
        <v>1810</v>
      </c>
      <c r="D1073">
        <v>2.06068783285215E-7</v>
      </c>
      <c r="E1073" t="s">
        <v>94</v>
      </c>
      <c r="H1073" t="s">
        <v>588</v>
      </c>
    </row>
    <row r="1074" spans="2:8">
      <c r="B1074" t="s">
        <v>2858</v>
      </c>
      <c r="C1074" t="s">
        <v>1810</v>
      </c>
      <c r="D1074">
        <v>6.1324073881941095E-8</v>
      </c>
      <c r="E1074" t="s">
        <v>94</v>
      </c>
      <c r="H1074" t="s">
        <v>588</v>
      </c>
    </row>
    <row r="1075" spans="2:8">
      <c r="B1075" t="s">
        <v>2858</v>
      </c>
      <c r="C1075" t="s">
        <v>1810</v>
      </c>
      <c r="D1075">
        <v>2.8249089251095501E-6</v>
      </c>
      <c r="E1075" t="s">
        <v>94</v>
      </c>
      <c r="H1075" t="s">
        <v>588</v>
      </c>
    </row>
    <row r="1076" spans="2:8">
      <c r="B1076" t="s">
        <v>2858</v>
      </c>
      <c r="C1076" t="s">
        <v>1810</v>
      </c>
      <c r="D1076">
        <v>1.7599510634410699E-8</v>
      </c>
      <c r="E1076" t="s">
        <v>94</v>
      </c>
      <c r="H1076" t="s">
        <v>588</v>
      </c>
    </row>
    <row r="1077" spans="2:8">
      <c r="B1077" t="s">
        <v>2858</v>
      </c>
      <c r="C1077" t="s">
        <v>1810</v>
      </c>
      <c r="D1077">
        <v>5.2599104020689303E-8</v>
      </c>
      <c r="E1077" t="s">
        <v>94</v>
      </c>
      <c r="H1077" t="s">
        <v>588</v>
      </c>
    </row>
    <row r="1078" spans="2:8">
      <c r="B1078" t="s">
        <v>2858</v>
      </c>
      <c r="C1078" t="s">
        <v>1810</v>
      </c>
      <c r="D1078">
        <v>5.1931543240778095E-7</v>
      </c>
      <c r="E1078" t="s">
        <v>94</v>
      </c>
      <c r="H1078" t="s">
        <v>588</v>
      </c>
    </row>
    <row r="1079" spans="2:8">
      <c r="B1079" t="s">
        <v>2858</v>
      </c>
      <c r="C1079" t="s">
        <v>1810</v>
      </c>
      <c r="D1079">
        <v>6.22214993533841E-8</v>
      </c>
      <c r="E1079" t="s">
        <v>94</v>
      </c>
      <c r="H1079" t="s">
        <v>588</v>
      </c>
    </row>
    <row r="1080" spans="2:8">
      <c r="B1080" t="s">
        <v>2858</v>
      </c>
      <c r="C1080" t="s">
        <v>1810</v>
      </c>
      <c r="D1080">
        <v>1.9543932489204001E-7</v>
      </c>
      <c r="E1080" t="s">
        <v>94</v>
      </c>
      <c r="H1080" t="s">
        <v>588</v>
      </c>
    </row>
    <row r="1081" spans="2:8">
      <c r="B1081" t="s">
        <v>2858</v>
      </c>
      <c r="C1081" t="s">
        <v>1810</v>
      </c>
      <c r="D1081">
        <v>5.0616680762979705E-7</v>
      </c>
      <c r="E1081" t="s">
        <v>94</v>
      </c>
      <c r="H1081" t="s">
        <v>588</v>
      </c>
    </row>
    <row r="1082" spans="2:8">
      <c r="B1082" t="s">
        <v>2858</v>
      </c>
      <c r="C1082" t="s">
        <v>1810</v>
      </c>
      <c r="D1082">
        <v>1.0219681840910801E-6</v>
      </c>
      <c r="E1082" t="s">
        <v>94</v>
      </c>
      <c r="H1082" t="s">
        <v>588</v>
      </c>
    </row>
    <row r="1083" spans="2:8">
      <c r="B1083" t="s">
        <v>2858</v>
      </c>
      <c r="C1083" t="s">
        <v>1810</v>
      </c>
      <c r="D1083">
        <v>1.18955829351714E-4</v>
      </c>
      <c r="E1083" t="s">
        <v>94</v>
      </c>
      <c r="H1083" t="s">
        <v>588</v>
      </c>
    </row>
    <row r="1084" spans="2:8">
      <c r="B1084" t="s">
        <v>2858</v>
      </c>
      <c r="C1084" t="s">
        <v>1810</v>
      </c>
      <c r="D1084">
        <v>3.6351464025878402E-5</v>
      </c>
      <c r="E1084" t="s">
        <v>94</v>
      </c>
      <c r="H1084" t="s">
        <v>588</v>
      </c>
    </row>
    <row r="1085" spans="2:8">
      <c r="B1085" t="s">
        <v>2858</v>
      </c>
      <c r="C1085" t="s">
        <v>1810</v>
      </c>
      <c r="D1085">
        <v>9.0739686557018501E-9</v>
      </c>
      <c r="E1085" t="s">
        <v>94</v>
      </c>
      <c r="H1085" t="s">
        <v>588</v>
      </c>
    </row>
    <row r="1086" spans="2:8">
      <c r="B1086" t="s">
        <v>2858</v>
      </c>
      <c r="C1086" t="s">
        <v>1810</v>
      </c>
      <c r="D1086">
        <v>7.04697860799144E-7</v>
      </c>
      <c r="E1086" t="s">
        <v>94</v>
      </c>
      <c r="H1086" t="s">
        <v>588</v>
      </c>
    </row>
    <row r="1087" spans="2:8">
      <c r="B1087" t="s">
        <v>2858</v>
      </c>
      <c r="C1087" t="s">
        <v>1810</v>
      </c>
      <c r="D1087">
        <v>1.37673835910658E-6</v>
      </c>
      <c r="E1087" t="s">
        <v>94</v>
      </c>
      <c r="H1087" t="s">
        <v>588</v>
      </c>
    </row>
    <row r="1088" spans="2:8">
      <c r="B1088" t="s">
        <v>2858</v>
      </c>
      <c r="C1088" t="s">
        <v>1810</v>
      </c>
      <c r="D1088">
        <v>5.1103394901617502E-8</v>
      </c>
      <c r="E1088" t="s">
        <v>94</v>
      </c>
      <c r="H1088" t="s">
        <v>588</v>
      </c>
    </row>
    <row r="1089" spans="2:8">
      <c r="B1089" t="s">
        <v>2858</v>
      </c>
      <c r="C1089" t="s">
        <v>1810</v>
      </c>
      <c r="D1089">
        <v>1.10991056046582E-3</v>
      </c>
      <c r="E1089" t="s">
        <v>94</v>
      </c>
      <c r="H1089" t="s">
        <v>588</v>
      </c>
    </row>
    <row r="1090" spans="2:8">
      <c r="B1090" t="s">
        <v>2858</v>
      </c>
      <c r="C1090" t="s">
        <v>1810</v>
      </c>
      <c r="D1090">
        <v>2.1435573167470099E-7</v>
      </c>
      <c r="E1090" t="s">
        <v>94</v>
      </c>
      <c r="H1090" t="s">
        <v>588</v>
      </c>
    </row>
    <row r="1091" spans="2:8">
      <c r="B1091" t="s">
        <v>2858</v>
      </c>
      <c r="C1091" t="s">
        <v>1810</v>
      </c>
      <c r="D1091">
        <v>3.58970188577216E-9</v>
      </c>
      <c r="E1091" t="s">
        <v>94</v>
      </c>
      <c r="H1091" t="s">
        <v>588</v>
      </c>
    </row>
    <row r="1092" spans="2:8">
      <c r="B1092" t="s">
        <v>2858</v>
      </c>
      <c r="C1092" t="s">
        <v>1810</v>
      </c>
      <c r="D1092">
        <v>8.1536089777663703E-8</v>
      </c>
      <c r="E1092" t="s">
        <v>94</v>
      </c>
      <c r="H1092" t="s">
        <v>588</v>
      </c>
    </row>
    <row r="1093" spans="2:8">
      <c r="B1093" t="s">
        <v>2858</v>
      </c>
      <c r="C1093" t="s">
        <v>1810</v>
      </c>
      <c r="D1093">
        <v>3.4401309738649802E-8</v>
      </c>
      <c r="E1093" t="s">
        <v>94</v>
      </c>
      <c r="H1093" t="s">
        <v>588</v>
      </c>
    </row>
    <row r="1094" spans="2:8">
      <c r="B1094" t="s">
        <v>2858</v>
      </c>
      <c r="C1094" t="s">
        <v>1810</v>
      </c>
      <c r="D1094">
        <v>6.0626076293040896E-8</v>
      </c>
      <c r="E1094" t="s">
        <v>94</v>
      </c>
      <c r="H1094" t="s">
        <v>588</v>
      </c>
    </row>
    <row r="1095" spans="2:8">
      <c r="B1095" t="s">
        <v>2858</v>
      </c>
      <c r="C1095" t="s">
        <v>1810</v>
      </c>
      <c r="D1095">
        <v>7.8350334706459099E-7</v>
      </c>
      <c r="E1095" t="s">
        <v>94</v>
      </c>
      <c r="H1095" t="s">
        <v>588</v>
      </c>
    </row>
    <row r="1096" spans="2:8">
      <c r="B1096" t="s">
        <v>2858</v>
      </c>
      <c r="C1096" t="s">
        <v>1810</v>
      </c>
      <c r="D1096">
        <v>3.5799617042579E-8</v>
      </c>
      <c r="E1096" t="s">
        <v>94</v>
      </c>
      <c r="H1096" t="s">
        <v>588</v>
      </c>
    </row>
    <row r="1097" spans="2:8">
      <c r="B1097" t="s">
        <v>2858</v>
      </c>
      <c r="C1097" t="s">
        <v>1810</v>
      </c>
      <c r="D1097">
        <v>1.5403779666376299E-6</v>
      </c>
      <c r="E1097" t="s">
        <v>94</v>
      </c>
      <c r="H1097" t="s">
        <v>588</v>
      </c>
    </row>
    <row r="1098" spans="2:8">
      <c r="B1098" t="s">
        <v>2858</v>
      </c>
      <c r="C1098" t="s">
        <v>1810</v>
      </c>
      <c r="D1098">
        <v>2.8882777453488099E-6</v>
      </c>
      <c r="E1098" t="s">
        <v>94</v>
      </c>
      <c r="H1098" t="s">
        <v>588</v>
      </c>
    </row>
    <row r="1099" spans="2:8">
      <c r="B1099" t="s">
        <v>2858</v>
      </c>
      <c r="C1099" t="s">
        <v>1810</v>
      </c>
      <c r="D1099">
        <v>2.98443826225446E-7</v>
      </c>
      <c r="E1099" t="s">
        <v>94</v>
      </c>
      <c r="H1099" t="s">
        <v>588</v>
      </c>
    </row>
    <row r="1100" spans="2:8">
      <c r="B1100" t="s">
        <v>2858</v>
      </c>
      <c r="C1100" t="s">
        <v>1810</v>
      </c>
      <c r="D1100">
        <v>8.5967440317274001E-6</v>
      </c>
      <c r="E1100" t="s">
        <v>94</v>
      </c>
      <c r="H1100" t="s">
        <v>588</v>
      </c>
    </row>
    <row r="1101" spans="2:8">
      <c r="B1101" t="s">
        <v>2858</v>
      </c>
      <c r="C1101" t="s">
        <v>1810</v>
      </c>
      <c r="D1101">
        <v>1.3014928677300501E-6</v>
      </c>
      <c r="E1101" t="s">
        <v>94</v>
      </c>
      <c r="H1101" t="s">
        <v>588</v>
      </c>
    </row>
    <row r="1102" spans="2:8">
      <c r="B1102" t="s">
        <v>2858</v>
      </c>
      <c r="C1102" t="s">
        <v>1810</v>
      </c>
      <c r="D1102">
        <v>7.6239925183269997E-8</v>
      </c>
      <c r="E1102" t="s">
        <v>94</v>
      </c>
      <c r="H1102" t="s">
        <v>588</v>
      </c>
    </row>
    <row r="1103" spans="2:8">
      <c r="B1103" t="s">
        <v>2858</v>
      </c>
      <c r="C1103" t="s">
        <v>1810</v>
      </c>
      <c r="D1103">
        <v>7.3841112803961904E-5</v>
      </c>
      <c r="E1103" t="s">
        <v>94</v>
      </c>
      <c r="H1103" t="s">
        <v>588</v>
      </c>
    </row>
    <row r="1104" spans="2:8">
      <c r="B1104" t="s">
        <v>2858</v>
      </c>
      <c r="C1104" t="s">
        <v>1810</v>
      </c>
      <c r="D1104">
        <v>7.8275443898087405E-9</v>
      </c>
      <c r="E1104" t="s">
        <v>94</v>
      </c>
      <c r="H1104" t="s">
        <v>588</v>
      </c>
    </row>
    <row r="1105" spans="2:8">
      <c r="B1105" t="s">
        <v>2858</v>
      </c>
      <c r="C1105" t="s">
        <v>1810</v>
      </c>
      <c r="D1105">
        <v>1.3894315396974901E-5</v>
      </c>
      <c r="E1105" t="s">
        <v>94</v>
      </c>
      <c r="H1105" t="s">
        <v>588</v>
      </c>
    </row>
    <row r="1106" spans="2:8">
      <c r="B1106" t="s">
        <v>2858</v>
      </c>
      <c r="C1106" t="s">
        <v>1810</v>
      </c>
      <c r="D1106">
        <v>1.0041193886034901E-7</v>
      </c>
      <c r="E1106" t="s">
        <v>94</v>
      </c>
      <c r="H1106" t="s">
        <v>588</v>
      </c>
    </row>
    <row r="1107" spans="2:8">
      <c r="B1107" t="s">
        <v>2858</v>
      </c>
      <c r="C1107" t="s">
        <v>1810</v>
      </c>
      <c r="D1107">
        <v>5.1701678549246198E-7</v>
      </c>
      <c r="E1107" t="s">
        <v>94</v>
      </c>
      <c r="H1107" t="s">
        <v>588</v>
      </c>
    </row>
    <row r="1108" spans="2:8">
      <c r="B1108" t="s">
        <v>2858</v>
      </c>
      <c r="C1108" t="s">
        <v>1810</v>
      </c>
      <c r="D1108">
        <v>5.3546386462767999E-7</v>
      </c>
      <c r="E1108" t="s">
        <v>94</v>
      </c>
      <c r="H1108" t="s">
        <v>588</v>
      </c>
    </row>
    <row r="1109" spans="2:8">
      <c r="B1109" t="s">
        <v>2858</v>
      </c>
      <c r="C1109" t="s">
        <v>1810</v>
      </c>
      <c r="D1109">
        <v>5.8731511408883401E-7</v>
      </c>
      <c r="E1109" t="s">
        <v>94</v>
      </c>
      <c r="H1109" t="s">
        <v>588</v>
      </c>
    </row>
    <row r="1110" spans="2:8">
      <c r="B1110" t="s">
        <v>2858</v>
      </c>
      <c r="C1110" t="s">
        <v>1810</v>
      </c>
      <c r="D1110">
        <v>1.05575182352936E-6</v>
      </c>
      <c r="E1110" t="s">
        <v>94</v>
      </c>
      <c r="H1110" t="s">
        <v>588</v>
      </c>
    </row>
    <row r="1111" spans="2:8">
      <c r="B1111" t="s">
        <v>2858</v>
      </c>
      <c r="C1111" t="s">
        <v>1810</v>
      </c>
      <c r="D1111">
        <v>3.4137067794280502E-7</v>
      </c>
      <c r="E1111" t="s">
        <v>94</v>
      </c>
      <c r="H1111" t="s">
        <v>588</v>
      </c>
    </row>
    <row r="1112" spans="2:8">
      <c r="B1112" t="s">
        <v>2858</v>
      </c>
      <c r="C1112" t="s">
        <v>1810</v>
      </c>
      <c r="D1112">
        <v>1.10283619046222E-7</v>
      </c>
      <c r="E1112" t="s">
        <v>94</v>
      </c>
      <c r="H1112" t="s">
        <v>588</v>
      </c>
    </row>
    <row r="1113" spans="2:8">
      <c r="B1113" t="s">
        <v>2858</v>
      </c>
      <c r="C1113" t="s">
        <v>1810</v>
      </c>
      <c r="D1113">
        <v>1.3314363745773999E-7</v>
      </c>
      <c r="E1113" t="s">
        <v>94</v>
      </c>
      <c r="H1113" t="s">
        <v>588</v>
      </c>
    </row>
    <row r="1114" spans="2:8">
      <c r="B1114" t="s">
        <v>2858</v>
      </c>
      <c r="C1114" t="s">
        <v>1810</v>
      </c>
      <c r="D1114">
        <v>1.00238844738729E-4</v>
      </c>
      <c r="E1114" t="s">
        <v>94</v>
      </c>
      <c r="H1114" t="s">
        <v>588</v>
      </c>
    </row>
    <row r="1115" spans="2:8">
      <c r="B1115" t="s">
        <v>2858</v>
      </c>
      <c r="C1115" t="s">
        <v>1810</v>
      </c>
      <c r="D1115">
        <v>8.5753989493446006E-8</v>
      </c>
      <c r="E1115" t="s">
        <v>94</v>
      </c>
      <c r="H1115" t="s">
        <v>588</v>
      </c>
    </row>
    <row r="1116" spans="2:8">
      <c r="B1116" t="s">
        <v>2865</v>
      </c>
      <c r="C1116" t="s">
        <v>1810</v>
      </c>
      <c r="D1116">
        <v>2.5253401767544699E-10</v>
      </c>
      <c r="E1116" t="s">
        <v>94</v>
      </c>
      <c r="H1116" t="s">
        <v>588</v>
      </c>
    </row>
    <row r="1117" spans="2:8">
      <c r="B1117" t="s">
        <v>2865</v>
      </c>
      <c r="C1117" t="s">
        <v>1810</v>
      </c>
      <c r="D1117">
        <v>1.1982078306772601E-5</v>
      </c>
      <c r="E1117" t="s">
        <v>94</v>
      </c>
      <c r="H1117" t="s">
        <v>588</v>
      </c>
    </row>
    <row r="1118" spans="2:8">
      <c r="B1118" t="s">
        <v>2865</v>
      </c>
      <c r="C1118" t="s">
        <v>1810</v>
      </c>
      <c r="D1118">
        <v>3.21406931586932E-10</v>
      </c>
      <c r="E1118" t="s">
        <v>94</v>
      </c>
      <c r="H1118" t="s">
        <v>588</v>
      </c>
    </row>
    <row r="1119" spans="2:8">
      <c r="B1119" t="s">
        <v>2865</v>
      </c>
      <c r="C1119" t="s">
        <v>1810</v>
      </c>
      <c r="D1119">
        <v>2.21426519697669E-7</v>
      </c>
      <c r="E1119" t="s">
        <v>94</v>
      </c>
      <c r="H1119" t="s">
        <v>588</v>
      </c>
    </row>
    <row r="1120" spans="2:8">
      <c r="B1120" t="s">
        <v>2865</v>
      </c>
      <c r="C1120" t="s">
        <v>1810</v>
      </c>
      <c r="D1120">
        <v>1.1836038605270701E-6</v>
      </c>
      <c r="E1120" t="s">
        <v>94</v>
      </c>
      <c r="H1120" t="s">
        <v>588</v>
      </c>
    </row>
    <row r="1121" spans="2:8">
      <c r="B1121" t="s">
        <v>2865</v>
      </c>
      <c r="C1121" t="s">
        <v>1810</v>
      </c>
      <c r="D1121">
        <v>5.5242492543129805E-7</v>
      </c>
      <c r="E1121" t="s">
        <v>94</v>
      </c>
      <c r="H1121" t="s">
        <v>588</v>
      </c>
    </row>
    <row r="1122" spans="2:8">
      <c r="B1122" t="s">
        <v>2865</v>
      </c>
      <c r="C1122" t="s">
        <v>1810</v>
      </c>
      <c r="D1122">
        <v>1.0855683097476999E-9</v>
      </c>
      <c r="E1122" t="s">
        <v>94</v>
      </c>
      <c r="H1122" t="s">
        <v>588</v>
      </c>
    </row>
    <row r="1123" spans="2:8">
      <c r="B1123" t="s">
        <v>2865</v>
      </c>
      <c r="C1123" t="s">
        <v>1810</v>
      </c>
      <c r="D1123">
        <v>1.08032084964016E-8</v>
      </c>
      <c r="E1123" t="s">
        <v>94</v>
      </c>
      <c r="H1123" t="s">
        <v>588</v>
      </c>
    </row>
    <row r="1124" spans="2:8">
      <c r="B1124" t="s">
        <v>2865</v>
      </c>
      <c r="C1124" t="s">
        <v>1810</v>
      </c>
      <c r="D1124">
        <v>1.65622959644286E-9</v>
      </c>
      <c r="E1124" t="s">
        <v>94</v>
      </c>
      <c r="H1124" t="s">
        <v>588</v>
      </c>
    </row>
    <row r="1125" spans="2:8">
      <c r="B1125" t="s">
        <v>2865</v>
      </c>
      <c r="C1125" t="s">
        <v>1810</v>
      </c>
      <c r="D1125">
        <v>4.3698311692912602E-7</v>
      </c>
      <c r="E1125" t="s">
        <v>94</v>
      </c>
      <c r="H1125" t="s">
        <v>588</v>
      </c>
    </row>
    <row r="1126" spans="2:8">
      <c r="B1126" t="s">
        <v>2865</v>
      </c>
      <c r="C1126" t="s">
        <v>1810</v>
      </c>
      <c r="D1126">
        <v>1.02739948498896E-6</v>
      </c>
      <c r="E1126" t="s">
        <v>94</v>
      </c>
      <c r="H1126" t="s">
        <v>588</v>
      </c>
    </row>
    <row r="1127" spans="2:8">
      <c r="B1127" t="s">
        <v>2865</v>
      </c>
      <c r="C1127" t="s">
        <v>1810</v>
      </c>
      <c r="D1127">
        <v>1.3872972659313499E-8</v>
      </c>
      <c r="E1127" t="s">
        <v>94</v>
      </c>
      <c r="H1127" t="s">
        <v>588</v>
      </c>
    </row>
    <row r="1128" spans="2:8">
      <c r="B1128" t="s">
        <v>2865</v>
      </c>
      <c r="C1128" t="s">
        <v>1810</v>
      </c>
      <c r="D1128">
        <v>1.56368212363818E-7</v>
      </c>
      <c r="E1128" t="s">
        <v>94</v>
      </c>
      <c r="H1128" t="s">
        <v>588</v>
      </c>
    </row>
    <row r="1129" spans="2:8">
      <c r="B1129" t="s">
        <v>2865</v>
      </c>
      <c r="C1129" t="s">
        <v>1810</v>
      </c>
      <c r="D1129">
        <v>1.3329615600356699E-6</v>
      </c>
      <c r="E1129" t="s">
        <v>94</v>
      </c>
      <c r="H1129" t="s">
        <v>588</v>
      </c>
    </row>
    <row r="1130" spans="2:8">
      <c r="B1130" t="s">
        <v>2865</v>
      </c>
      <c r="C1130" t="s">
        <v>1810</v>
      </c>
      <c r="D1130">
        <v>3.8806709637735799E-8</v>
      </c>
      <c r="E1130" t="s">
        <v>94</v>
      </c>
      <c r="H1130" t="s">
        <v>588</v>
      </c>
    </row>
    <row r="1131" spans="2:8">
      <c r="B1131" t="s">
        <v>2865</v>
      </c>
      <c r="C1131" t="s">
        <v>1810</v>
      </c>
      <c r="D1131">
        <v>1.54144140659039E-10</v>
      </c>
      <c r="E1131" t="s">
        <v>94</v>
      </c>
      <c r="H1131" t="s">
        <v>588</v>
      </c>
    </row>
    <row r="1132" spans="2:8">
      <c r="B1132" t="s">
        <v>2865</v>
      </c>
      <c r="C1132" t="s">
        <v>1810</v>
      </c>
      <c r="D1132">
        <v>2.7556024910829201E-7</v>
      </c>
      <c r="E1132" t="s">
        <v>94</v>
      </c>
      <c r="H1132" t="s">
        <v>588</v>
      </c>
    </row>
    <row r="1133" spans="2:8">
      <c r="B1133" t="s">
        <v>2865</v>
      </c>
      <c r="C1133" t="s">
        <v>1810</v>
      </c>
      <c r="D1133">
        <v>1.0822886471804899E-9</v>
      </c>
      <c r="E1133" t="s">
        <v>94</v>
      </c>
      <c r="H1133" t="s">
        <v>588</v>
      </c>
    </row>
    <row r="1134" spans="2:8">
      <c r="B1134" t="s">
        <v>2865</v>
      </c>
      <c r="C1134" t="s">
        <v>1810</v>
      </c>
      <c r="D1134">
        <v>1.4820795141238199E-8</v>
      </c>
      <c r="E1134" t="s">
        <v>94</v>
      </c>
      <c r="H1134" t="s">
        <v>588</v>
      </c>
    </row>
    <row r="1135" spans="2:8">
      <c r="B1135" t="s">
        <v>2865</v>
      </c>
      <c r="C1135" t="s">
        <v>1810</v>
      </c>
      <c r="D1135">
        <v>2.2480119100708901E-7</v>
      </c>
      <c r="E1135" t="s">
        <v>94</v>
      </c>
      <c r="H1135" t="s">
        <v>588</v>
      </c>
    </row>
    <row r="1136" spans="2:8">
      <c r="B1136" t="s">
        <v>2865</v>
      </c>
      <c r="C1136" t="s">
        <v>1810</v>
      </c>
      <c r="D1136">
        <v>1.1478818985247599E-9</v>
      </c>
      <c r="E1136" t="s">
        <v>94</v>
      </c>
      <c r="H1136" t="s">
        <v>588</v>
      </c>
    </row>
    <row r="1137" spans="2:8">
      <c r="B1137" t="s">
        <v>2865</v>
      </c>
      <c r="C1137" t="s">
        <v>1810</v>
      </c>
      <c r="D1137">
        <v>5.4835958123811301E-9</v>
      </c>
      <c r="E1137" t="s">
        <v>94</v>
      </c>
      <c r="H1137" t="s">
        <v>588</v>
      </c>
    </row>
    <row r="1138" spans="2:8">
      <c r="B1138" t="s">
        <v>2865</v>
      </c>
      <c r="C1138" t="s">
        <v>1810</v>
      </c>
      <c r="D1138">
        <v>2.6401283666069399E-9</v>
      </c>
      <c r="E1138" t="s">
        <v>94</v>
      </c>
      <c r="H1138" t="s">
        <v>588</v>
      </c>
    </row>
    <row r="1139" spans="2:8">
      <c r="B1139" t="s">
        <v>2865</v>
      </c>
      <c r="C1139" t="s">
        <v>1810</v>
      </c>
      <c r="D1139">
        <v>7.7072070329519403E-10</v>
      </c>
      <c r="E1139" t="s">
        <v>94</v>
      </c>
      <c r="H1139" t="s">
        <v>588</v>
      </c>
    </row>
    <row r="1140" spans="2:8">
      <c r="B1140" t="s">
        <v>2865</v>
      </c>
      <c r="C1140" t="s">
        <v>1810</v>
      </c>
      <c r="D1140">
        <v>2.7173853959037601E-6</v>
      </c>
      <c r="E1140" t="s">
        <v>94</v>
      </c>
      <c r="H1140" t="s">
        <v>588</v>
      </c>
    </row>
    <row r="1141" spans="2:8">
      <c r="B1141" t="s">
        <v>2865</v>
      </c>
      <c r="C1141" t="s">
        <v>1810</v>
      </c>
      <c r="D1141">
        <v>1.32498367715429E-9</v>
      </c>
      <c r="E1141" t="s">
        <v>94</v>
      </c>
      <c r="H1141" t="s">
        <v>588</v>
      </c>
    </row>
    <row r="1142" spans="2:8">
      <c r="B1142" t="s">
        <v>2865</v>
      </c>
      <c r="C1142" t="s">
        <v>1810</v>
      </c>
      <c r="D1142">
        <v>3.9458923245092803E-8</v>
      </c>
      <c r="E1142" t="s">
        <v>94</v>
      </c>
      <c r="H1142" t="s">
        <v>588</v>
      </c>
    </row>
    <row r="1143" spans="2:8">
      <c r="B1143" t="s">
        <v>2865</v>
      </c>
      <c r="C1143" t="s">
        <v>1810</v>
      </c>
      <c r="D1143">
        <v>1.76097673986364E-6</v>
      </c>
      <c r="E1143" t="s">
        <v>94</v>
      </c>
      <c r="H1143" t="s">
        <v>588</v>
      </c>
    </row>
    <row r="1144" spans="2:8">
      <c r="B1144" t="s">
        <v>2865</v>
      </c>
      <c r="C1144" t="s">
        <v>1810</v>
      </c>
      <c r="D1144">
        <v>6.2969521290500997E-9</v>
      </c>
      <c r="E1144" t="s">
        <v>94</v>
      </c>
      <c r="H1144" t="s">
        <v>588</v>
      </c>
    </row>
    <row r="1145" spans="2:8">
      <c r="B1145" t="s">
        <v>2865</v>
      </c>
      <c r="C1145" t="s">
        <v>1810</v>
      </c>
      <c r="D1145">
        <v>1.34302182127397E-10</v>
      </c>
      <c r="E1145" t="s">
        <v>94</v>
      </c>
      <c r="H1145" t="s">
        <v>588</v>
      </c>
    </row>
    <row r="1146" spans="2:8">
      <c r="B1146" t="s">
        <v>2865</v>
      </c>
      <c r="C1146" t="s">
        <v>1810</v>
      </c>
      <c r="D1146">
        <v>1.64967027130844E-9</v>
      </c>
      <c r="E1146" t="s">
        <v>94</v>
      </c>
      <c r="H1146" t="s">
        <v>588</v>
      </c>
    </row>
    <row r="1147" spans="2:8">
      <c r="B1147" t="s">
        <v>2865</v>
      </c>
      <c r="C1147" t="s">
        <v>1810</v>
      </c>
      <c r="D1147">
        <v>2.9516963104922301E-10</v>
      </c>
      <c r="E1147" t="s">
        <v>94</v>
      </c>
      <c r="H1147" t="s">
        <v>588</v>
      </c>
    </row>
    <row r="1148" spans="2:8">
      <c r="B1148" t="s">
        <v>2865</v>
      </c>
      <c r="C1148" t="s">
        <v>1810</v>
      </c>
      <c r="D1148">
        <v>1.9126164035741201E-7</v>
      </c>
      <c r="E1148" t="s">
        <v>94</v>
      </c>
      <c r="H1148" t="s">
        <v>588</v>
      </c>
    </row>
    <row r="1149" spans="2:8">
      <c r="B1149" t="s">
        <v>2865</v>
      </c>
      <c r="C1149" t="s">
        <v>1810</v>
      </c>
      <c r="D1149">
        <v>6.7889015141321395E-10</v>
      </c>
      <c r="E1149" t="s">
        <v>94</v>
      </c>
      <c r="H1149" t="s">
        <v>588</v>
      </c>
    </row>
    <row r="1150" spans="2:8">
      <c r="B1150" t="s">
        <v>2865</v>
      </c>
      <c r="C1150" t="s">
        <v>1810</v>
      </c>
      <c r="D1150">
        <v>6.3672353418217795E-7</v>
      </c>
      <c r="E1150" t="s">
        <v>94</v>
      </c>
      <c r="H1150" t="s">
        <v>588</v>
      </c>
    </row>
    <row r="1151" spans="2:8">
      <c r="B1151" t="s">
        <v>2865</v>
      </c>
      <c r="C1151" t="s">
        <v>1810</v>
      </c>
      <c r="D1151">
        <v>1.06734756843957E-6</v>
      </c>
      <c r="E1151" t="s">
        <v>94</v>
      </c>
      <c r="H1151" t="s">
        <v>588</v>
      </c>
    </row>
    <row r="1152" spans="2:8">
      <c r="B1152" t="s">
        <v>2865</v>
      </c>
      <c r="C1152" t="s">
        <v>1810</v>
      </c>
      <c r="D1152">
        <v>9.5995723342341907E-9</v>
      </c>
      <c r="E1152" t="s">
        <v>94</v>
      </c>
      <c r="H1152" t="s">
        <v>588</v>
      </c>
    </row>
    <row r="1153" spans="2:8">
      <c r="B1153" t="s">
        <v>2865</v>
      </c>
      <c r="C1153" t="s">
        <v>1810</v>
      </c>
      <c r="D1153">
        <v>9.18305518819806E-10</v>
      </c>
      <c r="E1153" t="s">
        <v>94</v>
      </c>
      <c r="H1153" t="s">
        <v>588</v>
      </c>
    </row>
    <row r="1154" spans="2:8">
      <c r="B1154" t="s">
        <v>2865</v>
      </c>
      <c r="C1154" t="s">
        <v>1810</v>
      </c>
      <c r="D1154">
        <v>4.2635613373776701E-10</v>
      </c>
      <c r="E1154" t="s">
        <v>94</v>
      </c>
      <c r="H1154" t="s">
        <v>588</v>
      </c>
    </row>
    <row r="1155" spans="2:8">
      <c r="B1155" t="s">
        <v>2865</v>
      </c>
      <c r="C1155" t="s">
        <v>1810</v>
      </c>
      <c r="D1155">
        <v>7.2152576478698997E-10</v>
      </c>
      <c r="E1155" t="s">
        <v>94</v>
      </c>
      <c r="H1155" t="s">
        <v>588</v>
      </c>
    </row>
    <row r="1156" spans="2:8">
      <c r="B1156" t="s">
        <v>2865</v>
      </c>
      <c r="C1156" t="s">
        <v>1810</v>
      </c>
      <c r="D1156">
        <v>8.47877689563976E-9</v>
      </c>
      <c r="E1156" t="s">
        <v>94</v>
      </c>
      <c r="H1156" t="s">
        <v>588</v>
      </c>
    </row>
    <row r="1157" spans="2:8">
      <c r="B1157" t="s">
        <v>2865</v>
      </c>
      <c r="C1157" t="s">
        <v>1810</v>
      </c>
      <c r="D1157">
        <v>1.2266507420365E-6</v>
      </c>
      <c r="E1157" t="s">
        <v>94</v>
      </c>
      <c r="H1157" t="s">
        <v>588</v>
      </c>
    </row>
    <row r="1158" spans="2:8">
      <c r="B1158" t="s">
        <v>2865</v>
      </c>
      <c r="C1158" t="s">
        <v>1810</v>
      </c>
      <c r="D1158">
        <v>7.6088171559355405E-11</v>
      </c>
      <c r="E1158" t="s">
        <v>94</v>
      </c>
      <c r="H1158" t="s">
        <v>588</v>
      </c>
    </row>
    <row r="1159" spans="2:8">
      <c r="B1159" t="s">
        <v>2865</v>
      </c>
      <c r="C1159" t="s">
        <v>1810</v>
      </c>
      <c r="D1159">
        <v>7.2558763818455705E-8</v>
      </c>
      <c r="E1159" t="s">
        <v>94</v>
      </c>
      <c r="H1159" t="s">
        <v>588</v>
      </c>
    </row>
    <row r="1160" spans="2:8">
      <c r="B1160" t="s">
        <v>2865</v>
      </c>
      <c r="C1160" t="s">
        <v>1810</v>
      </c>
      <c r="D1160">
        <v>1.8759669884461699E-9</v>
      </c>
      <c r="E1160" t="s">
        <v>94</v>
      </c>
      <c r="H1160" t="s">
        <v>588</v>
      </c>
    </row>
    <row r="1161" spans="2:8">
      <c r="B1161" t="s">
        <v>2865</v>
      </c>
      <c r="C1161" t="s">
        <v>1810</v>
      </c>
      <c r="D1161">
        <v>4.5975943215918801E-5</v>
      </c>
      <c r="E1161" t="s">
        <v>94</v>
      </c>
    </row>
    <row r="1162" spans="2:8">
      <c r="B1162" t="s">
        <v>2865</v>
      </c>
      <c r="C1162" t="s">
        <v>1810</v>
      </c>
      <c r="D1162">
        <v>8.3890975246281895E-7</v>
      </c>
      <c r="E1162" t="s">
        <v>94</v>
      </c>
      <c r="H1162" t="s">
        <v>588</v>
      </c>
    </row>
    <row r="1163" spans="2:8">
      <c r="B1163" t="s">
        <v>2865</v>
      </c>
      <c r="C1163" t="s">
        <v>1810</v>
      </c>
      <c r="D1163">
        <v>5.9563407691869396E-7</v>
      </c>
      <c r="E1163" t="s">
        <v>94</v>
      </c>
      <c r="H1163" t="s">
        <v>588</v>
      </c>
    </row>
    <row r="1164" spans="2:8">
      <c r="B1164" t="s">
        <v>2865</v>
      </c>
      <c r="C1164" t="s">
        <v>1810</v>
      </c>
      <c r="D1164">
        <v>8.0695324756722703E-6</v>
      </c>
      <c r="E1164" t="s">
        <v>94</v>
      </c>
      <c r="H1164" t="s">
        <v>588</v>
      </c>
    </row>
    <row r="1165" spans="2:8">
      <c r="B1165" t="s">
        <v>2865</v>
      </c>
      <c r="C1165" t="s">
        <v>1810</v>
      </c>
      <c r="D1165">
        <v>3.05336585007586E-9</v>
      </c>
      <c r="E1165" t="s">
        <v>94</v>
      </c>
      <c r="H1165" t="s">
        <v>588</v>
      </c>
    </row>
    <row r="1166" spans="2:8">
      <c r="B1166" t="s">
        <v>2865</v>
      </c>
      <c r="C1166" t="s">
        <v>1810</v>
      </c>
      <c r="D1166">
        <v>1.1459712672210699E-5</v>
      </c>
      <c r="E1166" t="s">
        <v>94</v>
      </c>
      <c r="H1166" t="s">
        <v>588</v>
      </c>
    </row>
    <row r="1167" spans="2:8">
      <c r="B1167" t="s">
        <v>2865</v>
      </c>
      <c r="C1167" t="s">
        <v>1810</v>
      </c>
      <c r="D1167">
        <v>4.0995782090169899E-10</v>
      </c>
      <c r="E1167" t="s">
        <v>94</v>
      </c>
      <c r="H1167" t="s">
        <v>588</v>
      </c>
    </row>
    <row r="1168" spans="2:8">
      <c r="B1168" t="s">
        <v>2865</v>
      </c>
      <c r="C1168" t="s">
        <v>1810</v>
      </c>
      <c r="D1168">
        <v>2.4941833823659399E-10</v>
      </c>
      <c r="E1168" t="s">
        <v>94</v>
      </c>
      <c r="H1168" t="s">
        <v>588</v>
      </c>
    </row>
    <row r="1169" spans="2:8">
      <c r="B1169" t="s">
        <v>2865</v>
      </c>
      <c r="C1169" t="s">
        <v>1810</v>
      </c>
      <c r="D1169">
        <v>4.00442448413256E-4</v>
      </c>
      <c r="E1169" t="s">
        <v>94</v>
      </c>
      <c r="H1169" t="s">
        <v>588</v>
      </c>
    </row>
    <row r="1170" spans="2:8">
      <c r="B1170" t="s">
        <v>2865</v>
      </c>
      <c r="C1170" t="s">
        <v>1810</v>
      </c>
      <c r="D1170">
        <v>1.01669539583621E-9</v>
      </c>
      <c r="E1170" t="s">
        <v>94</v>
      </c>
      <c r="H1170" t="s">
        <v>588</v>
      </c>
    </row>
    <row r="1171" spans="2:8">
      <c r="B1171" t="s">
        <v>2865</v>
      </c>
      <c r="C1171" t="s">
        <v>1810</v>
      </c>
      <c r="D1171">
        <v>5.3273357885467204E-6</v>
      </c>
      <c r="E1171" t="s">
        <v>94</v>
      </c>
      <c r="H1171" t="s">
        <v>588</v>
      </c>
    </row>
    <row r="1172" spans="2:8">
      <c r="B1172" t="s">
        <v>2865</v>
      </c>
      <c r="C1172" t="s">
        <v>1810</v>
      </c>
      <c r="D1172">
        <v>1.0272364315871299E-8</v>
      </c>
      <c r="E1172" t="s">
        <v>94</v>
      </c>
      <c r="H1172" t="s">
        <v>588</v>
      </c>
    </row>
    <row r="1173" spans="2:8">
      <c r="B1173" t="s">
        <v>2865</v>
      </c>
      <c r="C1173" t="s">
        <v>1810</v>
      </c>
      <c r="D1173">
        <v>7.0602122996385004E-8</v>
      </c>
      <c r="E1173" t="s">
        <v>94</v>
      </c>
      <c r="H1173" t="s">
        <v>588</v>
      </c>
    </row>
    <row r="1174" spans="2:8">
      <c r="B1174" t="s">
        <v>2865</v>
      </c>
      <c r="C1174" t="s">
        <v>1810</v>
      </c>
      <c r="D1174">
        <v>1.9729787729350001E-5</v>
      </c>
      <c r="E1174" t="s">
        <v>94</v>
      </c>
      <c r="H1174" t="s">
        <v>588</v>
      </c>
    </row>
    <row r="1175" spans="2:8">
      <c r="B1175" t="s">
        <v>2865</v>
      </c>
      <c r="C1175" t="s">
        <v>1810</v>
      </c>
      <c r="D1175">
        <v>1.8562890130428899E-9</v>
      </c>
      <c r="E1175" t="s">
        <v>94</v>
      </c>
      <c r="H1175" t="s">
        <v>588</v>
      </c>
    </row>
    <row r="1176" spans="2:8">
      <c r="B1176" t="s">
        <v>2865</v>
      </c>
      <c r="C1176" t="s">
        <v>1810</v>
      </c>
      <c r="D1176">
        <v>5.7984434188336301E-10</v>
      </c>
      <c r="E1176" t="s">
        <v>94</v>
      </c>
      <c r="H1176" t="s">
        <v>588</v>
      </c>
    </row>
    <row r="1177" spans="2:8">
      <c r="B1177" t="s">
        <v>2865</v>
      </c>
      <c r="C1177" t="s">
        <v>1810</v>
      </c>
      <c r="D1177">
        <v>2.8697047463118899E-9</v>
      </c>
      <c r="E1177" t="s">
        <v>94</v>
      </c>
      <c r="H1177" t="s">
        <v>588</v>
      </c>
    </row>
    <row r="1178" spans="2:8">
      <c r="B1178" t="s">
        <v>2865</v>
      </c>
      <c r="C1178" t="s">
        <v>1810</v>
      </c>
      <c r="D1178">
        <v>7.6998218790332298E-5</v>
      </c>
      <c r="E1178" t="s">
        <v>94</v>
      </c>
      <c r="H1178" t="s">
        <v>588</v>
      </c>
    </row>
    <row r="1179" spans="2:8">
      <c r="B1179" t="s">
        <v>2872</v>
      </c>
      <c r="C1179" t="s">
        <v>1810</v>
      </c>
      <c r="D1179">
        <v>5.6609247167313197E-8</v>
      </c>
      <c r="E1179" t="s">
        <v>94</v>
      </c>
      <c r="H1179" t="s">
        <v>588</v>
      </c>
    </row>
    <row r="1180" spans="2:8">
      <c r="B1180" t="s">
        <v>2872</v>
      </c>
      <c r="C1180" t="s">
        <v>1810</v>
      </c>
      <c r="D1180">
        <v>1.5082967294376E-6</v>
      </c>
      <c r="E1180" t="s">
        <v>94</v>
      </c>
      <c r="H1180" t="s">
        <v>588</v>
      </c>
    </row>
    <row r="1181" spans="2:8">
      <c r="B1181" t="s">
        <v>2872</v>
      </c>
      <c r="C1181" t="s">
        <v>1810</v>
      </c>
      <c r="D1181">
        <v>2.42292029742706E-8</v>
      </c>
      <c r="E1181" t="s">
        <v>94</v>
      </c>
      <c r="H1181" t="s">
        <v>588</v>
      </c>
    </row>
    <row r="1182" spans="2:8">
      <c r="B1182" t="s">
        <v>2872</v>
      </c>
      <c r="C1182" t="s">
        <v>1810</v>
      </c>
      <c r="D1182">
        <v>1.3654886533356801E-7</v>
      </c>
      <c r="E1182" t="s">
        <v>94</v>
      </c>
      <c r="H1182" t="s">
        <v>588</v>
      </c>
    </row>
    <row r="1183" spans="2:8">
      <c r="B1183" t="s">
        <v>2872</v>
      </c>
      <c r="C1183" t="s">
        <v>1810</v>
      </c>
      <c r="D1183">
        <v>5.3073492229354598E-9</v>
      </c>
      <c r="E1183" t="s">
        <v>94</v>
      </c>
      <c r="H1183" t="s">
        <v>588</v>
      </c>
    </row>
    <row r="1184" spans="2:8">
      <c r="B1184" t="s">
        <v>2872</v>
      </c>
      <c r="C1184" t="s">
        <v>1810</v>
      </c>
      <c r="D1184">
        <v>1.80663530415192E-6</v>
      </c>
      <c r="E1184" t="s">
        <v>94</v>
      </c>
      <c r="H1184" t="s">
        <v>588</v>
      </c>
    </row>
    <row r="1185" spans="2:8">
      <c r="B1185" t="s">
        <v>2872</v>
      </c>
      <c r="C1185" t="s">
        <v>1810</v>
      </c>
      <c r="D1185">
        <v>8.4225324624845298E-8</v>
      </c>
      <c r="E1185" t="s">
        <v>94</v>
      </c>
      <c r="H1185" t="s">
        <v>588</v>
      </c>
    </row>
    <row r="1186" spans="2:8">
      <c r="B1186" t="s">
        <v>2872</v>
      </c>
      <c r="C1186" t="s">
        <v>1810</v>
      </c>
      <c r="D1186">
        <v>3.6228427304385497E-8</v>
      </c>
      <c r="E1186" t="s">
        <v>94</v>
      </c>
      <c r="H1186" t="s">
        <v>588</v>
      </c>
    </row>
    <row r="1187" spans="2:8">
      <c r="B1187" t="s">
        <v>2872</v>
      </c>
      <c r="C1187" t="s">
        <v>1810</v>
      </c>
      <c r="D1187">
        <v>4.0131059640598398E-7</v>
      </c>
      <c r="E1187" t="s">
        <v>94</v>
      </c>
      <c r="H1187" t="s">
        <v>588</v>
      </c>
    </row>
    <row r="1188" spans="2:8">
      <c r="B1188" t="s">
        <v>2872</v>
      </c>
      <c r="C1188" t="s">
        <v>1810</v>
      </c>
      <c r="D1188">
        <v>2.8277787414114201E-6</v>
      </c>
      <c r="E1188" t="s">
        <v>94</v>
      </c>
      <c r="H1188" t="s">
        <v>588</v>
      </c>
    </row>
    <row r="1189" spans="2:8">
      <c r="B1189" t="s">
        <v>2872</v>
      </c>
      <c r="C1189" t="s">
        <v>1810</v>
      </c>
      <c r="D1189">
        <v>9.1897905566697606E-8</v>
      </c>
      <c r="E1189" t="s">
        <v>94</v>
      </c>
      <c r="H1189" t="s">
        <v>588</v>
      </c>
    </row>
    <row r="1190" spans="2:8">
      <c r="B1190" t="s">
        <v>2872</v>
      </c>
      <c r="C1190" t="s">
        <v>1810</v>
      </c>
      <c r="D1190">
        <v>5.0223361676511999E-5</v>
      </c>
      <c r="E1190" t="s">
        <v>94</v>
      </c>
      <c r="H1190" t="s">
        <v>588</v>
      </c>
    </row>
    <row r="1191" spans="2:8">
      <c r="B1191" t="s">
        <v>2872</v>
      </c>
      <c r="C1191" t="s">
        <v>1810</v>
      </c>
      <c r="D1191">
        <v>1.03839441318302E-8</v>
      </c>
      <c r="E1191" t="s">
        <v>94</v>
      </c>
      <c r="H1191" t="s">
        <v>588</v>
      </c>
    </row>
    <row r="1192" spans="2:8">
      <c r="B1192" t="s">
        <v>2872</v>
      </c>
      <c r="C1192" t="s">
        <v>1810</v>
      </c>
      <c r="D1192">
        <v>2.9103887858379801E-8</v>
      </c>
      <c r="E1192" t="s">
        <v>94</v>
      </c>
      <c r="H1192" t="s">
        <v>588</v>
      </c>
    </row>
    <row r="1193" spans="2:8">
      <c r="B1193" t="s">
        <v>2872</v>
      </c>
      <c r="C1193" t="s">
        <v>1810</v>
      </c>
      <c r="D1193">
        <v>4.6698904303981003E-8</v>
      </c>
      <c r="E1193" t="s">
        <v>94</v>
      </c>
      <c r="H1193" t="s">
        <v>588</v>
      </c>
    </row>
    <row r="1194" spans="2:8">
      <c r="B1194" t="s">
        <v>2872</v>
      </c>
      <c r="C1194" t="s">
        <v>1810</v>
      </c>
      <c r="D1194">
        <v>1.2085757197880201E-7</v>
      </c>
      <c r="E1194" t="s">
        <v>94</v>
      </c>
      <c r="H1194" t="s">
        <v>588</v>
      </c>
    </row>
    <row r="1195" spans="2:8">
      <c r="B1195" t="s">
        <v>2872</v>
      </c>
      <c r="C1195" t="s">
        <v>1810</v>
      </c>
      <c r="D1195">
        <v>6.7322571121366102E-8</v>
      </c>
      <c r="E1195" t="s">
        <v>94</v>
      </c>
      <c r="H1195" t="s">
        <v>588</v>
      </c>
    </row>
    <row r="1196" spans="2:8">
      <c r="B1196" t="s">
        <v>2872</v>
      </c>
      <c r="C1196" t="s">
        <v>1810</v>
      </c>
      <c r="D1196">
        <v>3.45400079381698E-5</v>
      </c>
      <c r="E1196" t="s">
        <v>94</v>
      </c>
      <c r="H1196" t="s">
        <v>588</v>
      </c>
    </row>
    <row r="1197" spans="2:8">
      <c r="B1197" t="s">
        <v>2872</v>
      </c>
      <c r="C1197" t="s">
        <v>1810</v>
      </c>
      <c r="D1197">
        <v>1.0434421638026601E-6</v>
      </c>
      <c r="E1197" t="s">
        <v>94</v>
      </c>
      <c r="H1197" t="s">
        <v>588</v>
      </c>
    </row>
    <row r="1198" spans="2:8">
      <c r="B1198" t="s">
        <v>2872</v>
      </c>
      <c r="C1198" t="s">
        <v>1810</v>
      </c>
      <c r="D1198">
        <v>1.53163175944496E-8</v>
      </c>
      <c r="E1198" t="s">
        <v>94</v>
      </c>
      <c r="H1198" t="s">
        <v>588</v>
      </c>
    </row>
    <row r="1199" spans="2:8">
      <c r="B1199" t="s">
        <v>2872</v>
      </c>
      <c r="C1199" t="s">
        <v>1810</v>
      </c>
      <c r="D1199">
        <v>1.09608299169319E-9</v>
      </c>
      <c r="E1199" t="s">
        <v>94</v>
      </c>
      <c r="H1199" t="s">
        <v>588</v>
      </c>
    </row>
    <row r="1200" spans="2:8">
      <c r="B1200" t="s">
        <v>2872</v>
      </c>
      <c r="C1200" t="s">
        <v>1810</v>
      </c>
      <c r="D1200">
        <v>3.90551676513837E-8</v>
      </c>
      <c r="E1200" t="s">
        <v>94</v>
      </c>
      <c r="H1200" t="s">
        <v>588</v>
      </c>
    </row>
    <row r="1201" spans="2:8">
      <c r="B1201" t="s">
        <v>2872</v>
      </c>
      <c r="C1201" t="s">
        <v>1810</v>
      </c>
      <c r="D1201">
        <v>3.9228233386914198E-8</v>
      </c>
      <c r="E1201" t="s">
        <v>94</v>
      </c>
      <c r="H1201" t="s">
        <v>588</v>
      </c>
    </row>
    <row r="1202" spans="2:8">
      <c r="B1202" t="s">
        <v>2872</v>
      </c>
      <c r="C1202" t="s">
        <v>1810</v>
      </c>
      <c r="D1202">
        <v>1.36231578151762E-7</v>
      </c>
      <c r="E1202" t="s">
        <v>94</v>
      </c>
      <c r="H1202" t="s">
        <v>588</v>
      </c>
    </row>
    <row r="1203" spans="2:8">
      <c r="B1203" t="s">
        <v>2872</v>
      </c>
      <c r="C1203" t="s">
        <v>1810</v>
      </c>
      <c r="D1203">
        <v>1.7479639288580902E-8</v>
      </c>
      <c r="E1203" t="s">
        <v>94</v>
      </c>
      <c r="H1203" t="s">
        <v>588</v>
      </c>
    </row>
    <row r="1204" spans="2:8">
      <c r="B1204" t="s">
        <v>2872</v>
      </c>
      <c r="C1204" t="s">
        <v>1810</v>
      </c>
      <c r="D1204">
        <v>4.4622115477615E-8</v>
      </c>
      <c r="E1204" t="s">
        <v>94</v>
      </c>
      <c r="H1204" t="s">
        <v>588</v>
      </c>
    </row>
    <row r="1205" spans="2:8">
      <c r="B1205" t="s">
        <v>2872</v>
      </c>
      <c r="C1205" t="s">
        <v>1810</v>
      </c>
      <c r="D1205">
        <v>1.35856602391446E-8</v>
      </c>
      <c r="E1205" t="s">
        <v>94</v>
      </c>
      <c r="H1205" t="s">
        <v>588</v>
      </c>
    </row>
    <row r="1206" spans="2:8">
      <c r="B1206" t="s">
        <v>2872</v>
      </c>
      <c r="C1206" t="s">
        <v>1810</v>
      </c>
      <c r="D1206">
        <v>1.0913006085346999E-5</v>
      </c>
      <c r="E1206" t="s">
        <v>94</v>
      </c>
      <c r="H1206" t="s">
        <v>588</v>
      </c>
    </row>
    <row r="1207" spans="2:8">
      <c r="B1207" t="s">
        <v>2872</v>
      </c>
      <c r="C1207" t="s">
        <v>1810</v>
      </c>
      <c r="D1207">
        <v>3.6920690246507503E-8</v>
      </c>
      <c r="E1207" t="s">
        <v>94</v>
      </c>
      <c r="H1207" t="s">
        <v>588</v>
      </c>
    </row>
    <row r="1208" spans="2:8">
      <c r="B1208" t="s">
        <v>2878</v>
      </c>
      <c r="C1208" t="s">
        <v>1698</v>
      </c>
      <c r="D1208">
        <v>7.5326643862228294E-5</v>
      </c>
      <c r="E1208" t="s">
        <v>1171</v>
      </c>
      <c r="H1208" t="s">
        <v>588</v>
      </c>
    </row>
    <row r="1209" spans="2:8">
      <c r="B1209" t="s">
        <v>1285</v>
      </c>
      <c r="C1209" t="s">
        <v>1170</v>
      </c>
      <c r="D1209">
        <v>1.5540077747380801E-6</v>
      </c>
      <c r="E1209" t="s">
        <v>94</v>
      </c>
      <c r="H1209" t="s">
        <v>588</v>
      </c>
    </row>
    <row r="1210" spans="2:8">
      <c r="B1210" t="s">
        <v>2881</v>
      </c>
      <c r="C1210" t="s">
        <v>1170</v>
      </c>
      <c r="D1210">
        <v>6.3573555035332005E-8</v>
      </c>
      <c r="E1210" t="s">
        <v>94</v>
      </c>
      <c r="H1210" t="s">
        <v>588</v>
      </c>
    </row>
    <row r="1211" spans="2:8">
      <c r="B1211" t="s">
        <v>2884</v>
      </c>
      <c r="C1211" t="s">
        <v>948</v>
      </c>
      <c r="D1211">
        <v>9.3269707247784098E-7</v>
      </c>
      <c r="E1211" t="s">
        <v>94</v>
      </c>
      <c r="H1211" t="s">
        <v>588</v>
      </c>
    </row>
    <row r="1212" spans="2:8">
      <c r="B1212" t="s">
        <v>2886</v>
      </c>
      <c r="C1212" t="s">
        <v>673</v>
      </c>
      <c r="D1212">
        <v>2.5552149366173901E-5</v>
      </c>
      <c r="E1212" t="s">
        <v>94</v>
      </c>
      <c r="H1212" t="s">
        <v>588</v>
      </c>
    </row>
    <row r="1213" spans="2:8">
      <c r="B1213" t="s">
        <v>2889</v>
      </c>
      <c r="C1213" t="s">
        <v>2890</v>
      </c>
      <c r="D1213">
        <v>2.2034792152083702E-3</v>
      </c>
      <c r="E1213" t="s">
        <v>94</v>
      </c>
      <c r="H1213" t="s">
        <v>588</v>
      </c>
    </row>
    <row r="1214" spans="2:8">
      <c r="B1214" t="s">
        <v>806</v>
      </c>
      <c r="C1214" t="s">
        <v>673</v>
      </c>
      <c r="D1214">
        <v>4.9637369369469504E-6</v>
      </c>
      <c r="E1214" t="s">
        <v>94</v>
      </c>
      <c r="H1214" t="s">
        <v>588</v>
      </c>
    </row>
    <row r="1215" spans="2:8">
      <c r="B1215" t="s">
        <v>806</v>
      </c>
      <c r="C1215" t="s">
        <v>673</v>
      </c>
      <c r="D1215">
        <v>1.1662158885551599E-5</v>
      </c>
      <c r="E1215" t="s">
        <v>94</v>
      </c>
      <c r="H1215" t="s">
        <v>588</v>
      </c>
    </row>
    <row r="1216" spans="2:8">
      <c r="B1216" t="s">
        <v>2892</v>
      </c>
      <c r="C1216" t="s">
        <v>673</v>
      </c>
      <c r="D1216">
        <v>5.3601123965180803E-8</v>
      </c>
      <c r="E1216" t="s">
        <v>94</v>
      </c>
      <c r="H1216" t="s">
        <v>588</v>
      </c>
    </row>
    <row r="1217" spans="2:8">
      <c r="B1217" t="s">
        <v>2894</v>
      </c>
      <c r="C1217" t="s">
        <v>673</v>
      </c>
      <c r="D1217">
        <v>5.8630599030495801E-12</v>
      </c>
      <c r="E1217" t="s">
        <v>94</v>
      </c>
      <c r="H1217" t="s">
        <v>588</v>
      </c>
    </row>
    <row r="1218" spans="2:8">
      <c r="B1218" t="s">
        <v>2897</v>
      </c>
      <c r="C1218" t="s">
        <v>673</v>
      </c>
      <c r="D1218">
        <v>2.2335154595382799E-7</v>
      </c>
      <c r="E1218" t="s">
        <v>94</v>
      </c>
      <c r="H1218" t="s">
        <v>588</v>
      </c>
    </row>
    <row r="1219" spans="2:8">
      <c r="B1219" t="s">
        <v>2899</v>
      </c>
      <c r="C1219" t="s">
        <v>587</v>
      </c>
      <c r="D1219">
        <v>3.1469265608285302E-4</v>
      </c>
      <c r="E1219" t="s">
        <v>94</v>
      </c>
      <c r="H1219" t="s">
        <v>588</v>
      </c>
    </row>
    <row r="1220" spans="2:8">
      <c r="B1220" t="s">
        <v>2900</v>
      </c>
      <c r="C1220" t="s">
        <v>821</v>
      </c>
      <c r="D1220">
        <v>6.8198387922026099E-5</v>
      </c>
      <c r="E1220" t="s">
        <v>94</v>
      </c>
      <c r="H1220" t="s">
        <v>588</v>
      </c>
    </row>
    <row r="1221" spans="2:8">
      <c r="B1221" t="s">
        <v>2900</v>
      </c>
      <c r="C1221" t="s">
        <v>821</v>
      </c>
      <c r="D1221">
        <v>1.12114771377751E-7</v>
      </c>
      <c r="E1221" t="s">
        <v>94</v>
      </c>
      <c r="H1221" t="s">
        <v>588</v>
      </c>
    </row>
    <row r="1222" spans="2:8">
      <c r="B1222" t="s">
        <v>2906</v>
      </c>
      <c r="C1222" t="s">
        <v>1810</v>
      </c>
      <c r="D1222">
        <v>5.5463548993684601E-6</v>
      </c>
      <c r="E1222" t="s">
        <v>640</v>
      </c>
      <c r="H1222" t="s">
        <v>588</v>
      </c>
    </row>
    <row r="1223" spans="2:8">
      <c r="B1223" t="s">
        <v>2906</v>
      </c>
      <c r="C1223" t="s">
        <v>1810</v>
      </c>
      <c r="D1223">
        <v>2.6956477575425199E-6</v>
      </c>
      <c r="E1223" t="s">
        <v>640</v>
      </c>
      <c r="H1223" t="s">
        <v>588</v>
      </c>
    </row>
    <row r="1224" spans="2:8">
      <c r="B1224" t="s">
        <v>2906</v>
      </c>
      <c r="C1224" t="s">
        <v>1810</v>
      </c>
      <c r="D1224">
        <v>1.00000411519203E-3</v>
      </c>
      <c r="E1224" t="s">
        <v>640</v>
      </c>
      <c r="H1224" t="s">
        <v>588</v>
      </c>
    </row>
    <row r="1225" spans="2:8">
      <c r="B1225" t="s">
        <v>2906</v>
      </c>
      <c r="C1225" t="s">
        <v>1810</v>
      </c>
      <c r="D1225">
        <v>3.9996763059874199E-5</v>
      </c>
      <c r="E1225" t="s">
        <v>640</v>
      </c>
      <c r="H1225" t="s">
        <v>588</v>
      </c>
    </row>
    <row r="1226" spans="2:8">
      <c r="B1226" t="s">
        <v>2906</v>
      </c>
      <c r="C1226" t="s">
        <v>1810</v>
      </c>
      <c r="D1226">
        <v>9.9348563282382402E-6</v>
      </c>
      <c r="E1226" t="s">
        <v>640</v>
      </c>
      <c r="H1226" t="s">
        <v>588</v>
      </c>
    </row>
    <row r="1227" spans="2:8">
      <c r="B1227" t="s">
        <v>2906</v>
      </c>
      <c r="C1227" t="s">
        <v>1810</v>
      </c>
      <c r="D1227">
        <v>1.0138498203146601E-6</v>
      </c>
      <c r="E1227" t="s">
        <v>640</v>
      </c>
      <c r="H1227" t="s">
        <v>588</v>
      </c>
    </row>
    <row r="1228" spans="2:8">
      <c r="B1228" t="s">
        <v>2906</v>
      </c>
      <c r="C1228" t="s">
        <v>1810</v>
      </c>
      <c r="D1228">
        <v>9.4760761422491905E-5</v>
      </c>
      <c r="E1228" t="s">
        <v>640</v>
      </c>
      <c r="H1228" t="s">
        <v>588</v>
      </c>
    </row>
    <row r="1229" spans="2:8">
      <c r="B1229" t="s">
        <v>2906</v>
      </c>
      <c r="C1229" t="s">
        <v>1810</v>
      </c>
      <c r="D1229">
        <v>1.74963045402938E-7</v>
      </c>
      <c r="E1229" t="s">
        <v>640</v>
      </c>
      <c r="H1229" t="s">
        <v>588</v>
      </c>
    </row>
    <row r="1230" spans="2:8">
      <c r="B1230" t="s">
        <v>2906</v>
      </c>
      <c r="C1230" t="s">
        <v>1810</v>
      </c>
      <c r="D1230">
        <v>1.01850669110062E-4</v>
      </c>
      <c r="E1230" t="s">
        <v>640</v>
      </c>
      <c r="H1230" t="s">
        <v>588</v>
      </c>
    </row>
    <row r="1231" spans="2:8">
      <c r="B1231" t="s">
        <v>2906</v>
      </c>
      <c r="C1231" t="s">
        <v>1810</v>
      </c>
      <c r="D1231">
        <v>5.8778288201744001E-4</v>
      </c>
      <c r="E1231" t="s">
        <v>640</v>
      </c>
      <c r="H1231" t="s">
        <v>588</v>
      </c>
    </row>
    <row r="1232" spans="2:8">
      <c r="B1232" t="s">
        <v>2906</v>
      </c>
      <c r="C1232" t="s">
        <v>1810</v>
      </c>
      <c r="D1232">
        <v>1.57683466171293E-6</v>
      </c>
      <c r="E1232" t="s">
        <v>640</v>
      </c>
      <c r="H1232" t="s">
        <v>588</v>
      </c>
    </row>
    <row r="1233" spans="2:8">
      <c r="B1233" t="s">
        <v>2906</v>
      </c>
      <c r="C1233" t="s">
        <v>1810</v>
      </c>
      <c r="D1233">
        <v>1.61707913213919E-6</v>
      </c>
      <c r="E1233" t="s">
        <v>640</v>
      </c>
      <c r="H1233" t="s">
        <v>588</v>
      </c>
    </row>
    <row r="1234" spans="2:8">
      <c r="B1234" t="s">
        <v>2906</v>
      </c>
      <c r="C1234" t="s">
        <v>1810</v>
      </c>
      <c r="D1234">
        <v>7.2275564543490596E-6</v>
      </c>
      <c r="E1234" t="s">
        <v>640</v>
      </c>
      <c r="H1234" t="s">
        <v>588</v>
      </c>
    </row>
    <row r="1235" spans="2:8">
      <c r="B1235" t="s">
        <v>2906</v>
      </c>
      <c r="C1235" t="s">
        <v>1810</v>
      </c>
      <c r="D1235">
        <v>7.8871552198008501E-6</v>
      </c>
      <c r="E1235" t="s">
        <v>640</v>
      </c>
      <c r="H1235" t="s">
        <v>588</v>
      </c>
    </row>
    <row r="1236" spans="2:8">
      <c r="B1236" t="s">
        <v>2906</v>
      </c>
      <c r="C1236" t="s">
        <v>1810</v>
      </c>
      <c r="D1236">
        <v>2.1351677215826801E-4</v>
      </c>
      <c r="E1236" t="s">
        <v>640</v>
      </c>
      <c r="H1236" t="s">
        <v>588</v>
      </c>
    </row>
    <row r="1237" spans="2:8">
      <c r="B1237" t="s">
        <v>2906</v>
      </c>
      <c r="C1237" t="s">
        <v>1810</v>
      </c>
      <c r="D1237">
        <v>7.8899856342204997E-4</v>
      </c>
      <c r="E1237" t="s">
        <v>640</v>
      </c>
      <c r="H1237" t="s">
        <v>588</v>
      </c>
    </row>
    <row r="1238" spans="2:8">
      <c r="B1238" t="s">
        <v>2906</v>
      </c>
      <c r="C1238" t="s">
        <v>1810</v>
      </c>
      <c r="D1238">
        <v>1.9374762834809201E-4</v>
      </c>
      <c r="E1238" t="s">
        <v>640</v>
      </c>
      <c r="H1238" t="s">
        <v>588</v>
      </c>
    </row>
    <row r="1239" spans="2:8">
      <c r="B1239" t="s">
        <v>1287</v>
      </c>
      <c r="C1239" t="s">
        <v>673</v>
      </c>
      <c r="D1239">
        <v>1.3249986869492201E-5</v>
      </c>
      <c r="E1239" t="s">
        <v>94</v>
      </c>
      <c r="H1239" t="s">
        <v>588</v>
      </c>
    </row>
    <row r="1240" spans="2:8">
      <c r="B1240" t="s">
        <v>1287</v>
      </c>
      <c r="C1240" t="s">
        <v>673</v>
      </c>
      <c r="D1240">
        <v>2.8256866257130899E-6</v>
      </c>
      <c r="E1240" t="s">
        <v>94</v>
      </c>
      <c r="H1240" t="s">
        <v>588</v>
      </c>
    </row>
    <row r="1241" spans="2:8">
      <c r="B1241" t="s">
        <v>675</v>
      </c>
      <c r="C1241" t="s">
        <v>676</v>
      </c>
      <c r="D1241">
        <v>3.45673537752443E-3</v>
      </c>
      <c r="E1241" t="s">
        <v>94</v>
      </c>
      <c r="H1241" t="s">
        <v>588</v>
      </c>
    </row>
    <row r="1242" spans="2:8">
      <c r="B1242" t="s">
        <v>2915</v>
      </c>
      <c r="C1242" t="s">
        <v>664</v>
      </c>
      <c r="D1242">
        <v>2.4154093957276599E-4</v>
      </c>
      <c r="E1242" t="s">
        <v>94</v>
      </c>
    </row>
    <row r="1243" spans="2:8">
      <c r="B1243" t="s">
        <v>2915</v>
      </c>
      <c r="C1243" t="s">
        <v>664</v>
      </c>
      <c r="D1243">
        <v>3.2280690738643401E-3</v>
      </c>
      <c r="E1243" t="s">
        <v>94</v>
      </c>
    </row>
    <row r="1244" spans="2:8">
      <c r="B1244" t="s">
        <v>2915</v>
      </c>
      <c r="C1244" t="s">
        <v>664</v>
      </c>
      <c r="D1244">
        <v>3.01731604446252E-3</v>
      </c>
      <c r="E1244" t="s">
        <v>94</v>
      </c>
      <c r="H1244" t="s">
        <v>588</v>
      </c>
    </row>
    <row r="1245" spans="2:8">
      <c r="B1245" t="s">
        <v>2915</v>
      </c>
      <c r="C1245" t="s">
        <v>664</v>
      </c>
      <c r="D1245">
        <v>2.0153367845250999E-4</v>
      </c>
      <c r="E1245" t="s">
        <v>94</v>
      </c>
      <c r="H1245" t="s">
        <v>588</v>
      </c>
    </row>
    <row r="1246" spans="2:8">
      <c r="B1246" t="s">
        <v>2915</v>
      </c>
      <c r="C1246" t="s">
        <v>664</v>
      </c>
      <c r="D1246">
        <v>4.7829270534365904E-3</v>
      </c>
      <c r="E1246" t="s">
        <v>94</v>
      </c>
    </row>
    <row r="1247" spans="2:8">
      <c r="B1247" t="s">
        <v>2915</v>
      </c>
      <c r="C1247" t="s">
        <v>664</v>
      </c>
      <c r="D1247">
        <v>1.1763953223116899E-3</v>
      </c>
      <c r="E1247" t="s">
        <v>94</v>
      </c>
    </row>
    <row r="1248" spans="2:8">
      <c r="B1248" t="s">
        <v>2915</v>
      </c>
      <c r="C1248" t="s">
        <v>664</v>
      </c>
      <c r="D1248">
        <v>3.8740505288542299E-3</v>
      </c>
      <c r="E1248" t="s">
        <v>94</v>
      </c>
    </row>
    <row r="1249" spans="2:8">
      <c r="B1249" t="s">
        <v>2915</v>
      </c>
      <c r="C1249" t="s">
        <v>664</v>
      </c>
      <c r="D1249">
        <v>3.8480726706976599E-3</v>
      </c>
      <c r="E1249" t="s">
        <v>94</v>
      </c>
    </row>
    <row r="1250" spans="2:8">
      <c r="B1250" t="s">
        <v>2915</v>
      </c>
      <c r="C1250" t="s">
        <v>664</v>
      </c>
      <c r="D1250">
        <v>1.58722834284231E-4</v>
      </c>
      <c r="E1250" t="s">
        <v>94</v>
      </c>
      <c r="H1250" t="s">
        <v>588</v>
      </c>
    </row>
    <row r="1251" spans="2:8">
      <c r="B1251" t="s">
        <v>2915</v>
      </c>
      <c r="C1251" t="s">
        <v>664</v>
      </c>
      <c r="D1251">
        <v>1.4254472296573099E-3</v>
      </c>
      <c r="E1251" t="s">
        <v>94</v>
      </c>
    </row>
    <row r="1252" spans="2:8">
      <c r="B1252" t="s">
        <v>2915</v>
      </c>
      <c r="C1252" t="s">
        <v>664</v>
      </c>
      <c r="D1252">
        <v>9.5106659603280295E-4</v>
      </c>
      <c r="E1252" t="s">
        <v>94</v>
      </c>
      <c r="H1252" t="s">
        <v>588</v>
      </c>
    </row>
    <row r="1253" spans="2:8">
      <c r="B1253" t="s">
        <v>2915</v>
      </c>
      <c r="C1253" t="s">
        <v>664</v>
      </c>
      <c r="D1253">
        <v>1.1504174641551201E-3</v>
      </c>
      <c r="E1253" t="s">
        <v>94</v>
      </c>
    </row>
    <row r="1254" spans="2:8">
      <c r="B1254" t="s">
        <v>2915</v>
      </c>
      <c r="C1254" t="s">
        <v>664</v>
      </c>
      <c r="D1254">
        <v>5.4945596988169899E-3</v>
      </c>
      <c r="E1254" t="s">
        <v>94</v>
      </c>
      <c r="H1254" t="s">
        <v>588</v>
      </c>
    </row>
    <row r="1255" spans="2:8">
      <c r="B1255" t="s">
        <v>2915</v>
      </c>
      <c r="C1255" t="s">
        <v>664</v>
      </c>
      <c r="D1255">
        <v>2.58513784379116E-4</v>
      </c>
      <c r="E1255" t="s">
        <v>94</v>
      </c>
      <c r="H1255" t="s">
        <v>588</v>
      </c>
    </row>
    <row r="1256" spans="2:8">
      <c r="B1256" t="s">
        <v>2915</v>
      </c>
      <c r="C1256" t="s">
        <v>664</v>
      </c>
      <c r="D1256">
        <v>2.68637839147166E-2</v>
      </c>
      <c r="E1256" t="s">
        <v>94</v>
      </c>
      <c r="H1256" t="s">
        <v>588</v>
      </c>
    </row>
    <row r="1257" spans="2:8">
      <c r="B1257" t="s">
        <v>2915</v>
      </c>
      <c r="C1257" t="s">
        <v>664</v>
      </c>
      <c r="D1257">
        <v>3.90579025550564E-4</v>
      </c>
      <c r="E1257" t="s">
        <v>94</v>
      </c>
      <c r="H1257" t="s">
        <v>588</v>
      </c>
    </row>
    <row r="1258" spans="2:8">
      <c r="B1258" t="s">
        <v>2915</v>
      </c>
      <c r="C1258" t="s">
        <v>664</v>
      </c>
      <c r="D1258">
        <v>3.5990104408032599E-3</v>
      </c>
      <c r="E1258" t="s">
        <v>94</v>
      </c>
    </row>
    <row r="1259" spans="2:8">
      <c r="B1259" t="s">
        <v>2915</v>
      </c>
      <c r="C1259" t="s">
        <v>664</v>
      </c>
      <c r="D1259">
        <v>1.7963989191450099E-3</v>
      </c>
      <c r="E1259" t="s">
        <v>94</v>
      </c>
    </row>
    <row r="1260" spans="2:8">
      <c r="B1260" t="s">
        <v>2924</v>
      </c>
      <c r="C1260" t="s">
        <v>1725</v>
      </c>
      <c r="D1260">
        <v>1.3971653058328099E-4</v>
      </c>
      <c r="E1260" t="s">
        <v>94</v>
      </c>
      <c r="H1260" t="s">
        <v>588</v>
      </c>
    </row>
    <row r="1261" spans="2:8">
      <c r="B1261" t="s">
        <v>2924</v>
      </c>
      <c r="C1261" t="s">
        <v>1725</v>
      </c>
      <c r="D1261">
        <v>1.1643044215273401E-3</v>
      </c>
      <c r="E1261" t="s">
        <v>94</v>
      </c>
    </row>
    <row r="1262" spans="2:8">
      <c r="B1262" t="s">
        <v>2927</v>
      </c>
      <c r="C1262" t="s">
        <v>1848</v>
      </c>
      <c r="D1262">
        <v>1.57955770955798E-3</v>
      </c>
      <c r="E1262" t="s">
        <v>94</v>
      </c>
      <c r="H1262" t="s">
        <v>588</v>
      </c>
    </row>
    <row r="1263" spans="2:8">
      <c r="B1263" t="s">
        <v>2927</v>
      </c>
      <c r="C1263" t="s">
        <v>1848</v>
      </c>
      <c r="D1263">
        <v>2.3392801684134598E-3</v>
      </c>
      <c r="E1263" t="s">
        <v>94</v>
      </c>
      <c r="H1263" t="s">
        <v>588</v>
      </c>
    </row>
    <row r="1264" spans="2:8">
      <c r="B1264" t="s">
        <v>2929</v>
      </c>
      <c r="C1264" t="s">
        <v>1810</v>
      </c>
      <c r="D1264">
        <v>3.0005551821888501E-7</v>
      </c>
      <c r="E1264" t="s">
        <v>1811</v>
      </c>
    </row>
    <row r="1265" spans="2:8">
      <c r="B1265" t="s">
        <v>2929</v>
      </c>
      <c r="C1265" t="s">
        <v>1810</v>
      </c>
      <c r="D1265">
        <v>6.89673848328045E-7</v>
      </c>
      <c r="E1265" t="s">
        <v>1811</v>
      </c>
    </row>
    <row r="1266" spans="2:8">
      <c r="B1266" t="s">
        <v>2929</v>
      </c>
      <c r="C1266" t="s">
        <v>1810</v>
      </c>
      <c r="D1266">
        <v>3.11497387550473E-7</v>
      </c>
      <c r="E1266" t="s">
        <v>1811</v>
      </c>
    </row>
    <row r="1267" spans="2:8">
      <c r="B1267" t="s">
        <v>2929</v>
      </c>
      <c r="C1267" t="s">
        <v>1810</v>
      </c>
      <c r="D1267">
        <v>4.1747909698756498E-7</v>
      </c>
      <c r="E1267" t="s">
        <v>1811</v>
      </c>
    </row>
    <row r="1268" spans="2:8">
      <c r="B1268" t="s">
        <v>2932</v>
      </c>
      <c r="C1268" t="s">
        <v>701</v>
      </c>
      <c r="D1268">
        <v>2.1261580564922399E-4</v>
      </c>
      <c r="E1268" t="s">
        <v>94</v>
      </c>
      <c r="H1268" t="s">
        <v>588</v>
      </c>
    </row>
    <row r="1269" spans="2:8">
      <c r="B1269" t="s">
        <v>2932</v>
      </c>
      <c r="C1269" t="s">
        <v>701</v>
      </c>
      <c r="D1269">
        <v>8.1594991308144504E-5</v>
      </c>
      <c r="E1269" t="s">
        <v>94</v>
      </c>
    </row>
    <row r="1270" spans="2:8">
      <c r="B1270" t="s">
        <v>1291</v>
      </c>
      <c r="C1270" t="s">
        <v>667</v>
      </c>
      <c r="D1270">
        <v>3.8156936213827098E-4</v>
      </c>
      <c r="E1270" t="s">
        <v>94</v>
      </c>
      <c r="H1270" t="s">
        <v>588</v>
      </c>
    </row>
    <row r="1271" spans="2:8">
      <c r="B1271" t="s">
        <v>2935</v>
      </c>
      <c r="C1271" t="s">
        <v>569</v>
      </c>
      <c r="D1271">
        <v>1.59467399617171E-5</v>
      </c>
      <c r="E1271" t="s">
        <v>94</v>
      </c>
      <c r="H1271" t="s">
        <v>588</v>
      </c>
    </row>
    <row r="1272" spans="2:8">
      <c r="B1272" t="s">
        <v>2937</v>
      </c>
      <c r="C1272" t="s">
        <v>587</v>
      </c>
      <c r="D1272">
        <v>5.2111732477267802E-4</v>
      </c>
      <c r="E1272" t="s">
        <v>94</v>
      </c>
      <c r="H1272" t="s">
        <v>588</v>
      </c>
    </row>
    <row r="1273" spans="2:8">
      <c r="B1273" t="s">
        <v>2938</v>
      </c>
      <c r="C1273" t="s">
        <v>2939</v>
      </c>
      <c r="D1273">
        <v>1.2863083530124901E-4</v>
      </c>
      <c r="E1273" t="s">
        <v>94</v>
      </c>
    </row>
    <row r="1274" spans="2:8">
      <c r="B1274" t="s">
        <v>2938</v>
      </c>
      <c r="C1274" t="s">
        <v>2939</v>
      </c>
      <c r="D1274">
        <v>1.9918182116456401E-3</v>
      </c>
      <c r="E1274" t="s">
        <v>94</v>
      </c>
    </row>
    <row r="1275" spans="2:8">
      <c r="B1275" t="s">
        <v>2938</v>
      </c>
      <c r="C1275" t="s">
        <v>2939</v>
      </c>
      <c r="D1275">
        <v>1.1119103168641999E-4</v>
      </c>
      <c r="E1275" t="s">
        <v>94</v>
      </c>
    </row>
    <row r="1276" spans="2:8">
      <c r="B1276" t="s">
        <v>2938</v>
      </c>
      <c r="C1276" t="s">
        <v>2939</v>
      </c>
      <c r="D1276">
        <v>3.0785002116842902E-4</v>
      </c>
      <c r="E1276" t="s">
        <v>94</v>
      </c>
      <c r="H1276" t="s">
        <v>588</v>
      </c>
    </row>
    <row r="1277" spans="2:8">
      <c r="B1277" t="s">
        <v>2938</v>
      </c>
      <c r="C1277" t="s">
        <v>2939</v>
      </c>
      <c r="D1277">
        <v>3.3377676443693301E-4</v>
      </c>
      <c r="E1277" t="s">
        <v>94</v>
      </c>
    </row>
    <row r="1278" spans="2:8">
      <c r="B1278" t="s">
        <v>2942</v>
      </c>
      <c r="C1278" t="s">
        <v>1830</v>
      </c>
      <c r="D1278">
        <v>6.20907777148009E-4</v>
      </c>
      <c r="E1278" t="s">
        <v>94</v>
      </c>
    </row>
    <row r="1279" spans="2:8">
      <c r="B1279" t="s">
        <v>2942</v>
      </c>
      <c r="C1279" t="s">
        <v>1830</v>
      </c>
      <c r="D1279">
        <v>6.20907777148009E-4</v>
      </c>
      <c r="E1279" t="s">
        <v>94</v>
      </c>
    </row>
    <row r="1280" spans="2:8">
      <c r="B1280" t="s">
        <v>2942</v>
      </c>
      <c r="C1280" t="s">
        <v>1830</v>
      </c>
      <c r="D1280">
        <v>1.49017866515522E-4</v>
      </c>
      <c r="E1280" t="s">
        <v>94</v>
      </c>
      <c r="H1280" t="s">
        <v>588</v>
      </c>
    </row>
    <row r="1281" spans="2:8">
      <c r="B1281" t="s">
        <v>1293</v>
      </c>
      <c r="C1281" t="s">
        <v>1170</v>
      </c>
      <c r="D1281">
        <v>1.3875610547768701E-8</v>
      </c>
      <c r="E1281" t="s">
        <v>94</v>
      </c>
      <c r="H1281" t="s">
        <v>588</v>
      </c>
    </row>
    <row r="1282" spans="2:8">
      <c r="B1282" t="s">
        <v>2946</v>
      </c>
      <c r="C1282" t="s">
        <v>664</v>
      </c>
      <c r="D1282">
        <v>8.0597742291636505E-4</v>
      </c>
      <c r="E1282" t="s">
        <v>94</v>
      </c>
      <c r="H1282" t="s">
        <v>588</v>
      </c>
    </row>
    <row r="1283" spans="2:8">
      <c r="B1283" t="s">
        <v>2946</v>
      </c>
      <c r="C1283" t="s">
        <v>664</v>
      </c>
      <c r="D1283">
        <v>1.6261439059374399E-3</v>
      </c>
      <c r="E1283" t="s">
        <v>94</v>
      </c>
    </row>
    <row r="1284" spans="2:8">
      <c r="B1284" t="s">
        <v>2946</v>
      </c>
      <c r="C1284" t="s">
        <v>664</v>
      </c>
      <c r="D1284">
        <v>9.5969051381951396E-6</v>
      </c>
      <c r="E1284" t="s">
        <v>94</v>
      </c>
      <c r="H1284" t="s">
        <v>588</v>
      </c>
    </row>
    <row r="1285" spans="2:8">
      <c r="B1285" t="s">
        <v>2946</v>
      </c>
      <c r="C1285" t="s">
        <v>664</v>
      </c>
      <c r="D1285">
        <v>9.8302979640447997E-4</v>
      </c>
      <c r="E1285" t="s">
        <v>94</v>
      </c>
    </row>
    <row r="1286" spans="2:8">
      <c r="B1286" t="s">
        <v>2946</v>
      </c>
      <c r="C1286" t="s">
        <v>664</v>
      </c>
      <c r="D1286">
        <v>4.8839613811135201E-3</v>
      </c>
      <c r="E1286" t="s">
        <v>94</v>
      </c>
    </row>
    <row r="1287" spans="2:8">
      <c r="B1287" t="s">
        <v>2946</v>
      </c>
      <c r="C1287" t="s">
        <v>664</v>
      </c>
      <c r="D1287">
        <v>4.5851264501964696E-3</v>
      </c>
      <c r="E1287" t="s">
        <v>94</v>
      </c>
    </row>
    <row r="1288" spans="2:8">
      <c r="B1288" t="s">
        <v>2946</v>
      </c>
      <c r="C1288" t="s">
        <v>664</v>
      </c>
      <c r="D1288">
        <v>8.4276295790610004E-7</v>
      </c>
      <c r="E1288" t="s">
        <v>94</v>
      </c>
      <c r="H1288" t="s">
        <v>588</v>
      </c>
    </row>
    <row r="1289" spans="2:8">
      <c r="B1289" t="s">
        <v>2946</v>
      </c>
      <c r="C1289" t="s">
        <v>664</v>
      </c>
      <c r="D1289">
        <v>5.0013843550889697E-4</v>
      </c>
      <c r="E1289" t="s">
        <v>94</v>
      </c>
      <c r="H1289" t="s">
        <v>588</v>
      </c>
    </row>
    <row r="1290" spans="2:8">
      <c r="B1290" t="s">
        <v>2946</v>
      </c>
      <c r="C1290" t="s">
        <v>664</v>
      </c>
      <c r="D1290">
        <v>7.4820514801877399E-6</v>
      </c>
      <c r="E1290" t="s">
        <v>94</v>
      </c>
      <c r="H1290" t="s">
        <v>588</v>
      </c>
    </row>
    <row r="1291" spans="2:8">
      <c r="B1291" t="s">
        <v>2946</v>
      </c>
      <c r="C1291" t="s">
        <v>664</v>
      </c>
      <c r="D1291">
        <v>3.0686592427865299E-6</v>
      </c>
      <c r="E1291" t="s">
        <v>94</v>
      </c>
    </row>
    <row r="1292" spans="2:8">
      <c r="B1292" t="s">
        <v>2946</v>
      </c>
      <c r="C1292" t="s">
        <v>664</v>
      </c>
      <c r="D1292">
        <v>1.06539738272289E-4</v>
      </c>
      <c r="E1292" t="s">
        <v>94</v>
      </c>
      <c r="H1292" t="s">
        <v>588</v>
      </c>
    </row>
    <row r="1293" spans="2:8">
      <c r="B1293" t="s">
        <v>2946</v>
      </c>
      <c r="C1293" t="s">
        <v>664</v>
      </c>
      <c r="D1293">
        <v>8.0568162303509803E-6</v>
      </c>
      <c r="E1293" t="s">
        <v>94</v>
      </c>
      <c r="H1293" t="s">
        <v>588</v>
      </c>
    </row>
    <row r="1294" spans="2:8">
      <c r="B1294" t="s">
        <v>2946</v>
      </c>
      <c r="C1294" t="s">
        <v>664</v>
      </c>
      <c r="D1294">
        <v>3.6722502853349802E-3</v>
      </c>
      <c r="E1294" t="s">
        <v>94</v>
      </c>
    </row>
    <row r="1295" spans="2:8">
      <c r="B1295" t="s">
        <v>2946</v>
      </c>
      <c r="C1295" t="s">
        <v>664</v>
      </c>
      <c r="D1295">
        <v>3.2915679431837299E-3</v>
      </c>
      <c r="E1295" t="s">
        <v>94</v>
      </c>
    </row>
    <row r="1296" spans="2:8">
      <c r="B1296" t="s">
        <v>2946</v>
      </c>
      <c r="C1296" t="s">
        <v>664</v>
      </c>
      <c r="D1296">
        <v>6.8419486548742896E-4</v>
      </c>
      <c r="E1296" t="s">
        <v>94</v>
      </c>
    </row>
    <row r="1297" spans="2:8">
      <c r="B1297" t="s">
        <v>2946</v>
      </c>
      <c r="C1297" t="s">
        <v>664</v>
      </c>
      <c r="D1297">
        <v>5.58662851963785E-5</v>
      </c>
      <c r="E1297" t="s">
        <v>94</v>
      </c>
      <c r="H1297" t="s">
        <v>588</v>
      </c>
    </row>
    <row r="1298" spans="2:8">
      <c r="B1298" t="s">
        <v>2946</v>
      </c>
      <c r="C1298" t="s">
        <v>664</v>
      </c>
      <c r="D1298">
        <v>3.93893100404079E-3</v>
      </c>
      <c r="E1298" t="s">
        <v>94</v>
      </c>
    </row>
    <row r="1299" spans="2:8">
      <c r="B1299" t="s">
        <v>2946</v>
      </c>
      <c r="C1299" t="s">
        <v>664</v>
      </c>
      <c r="D1299">
        <v>9.9810296053554496E-5</v>
      </c>
      <c r="E1299" t="s">
        <v>94</v>
      </c>
      <c r="H1299" t="s">
        <v>588</v>
      </c>
    </row>
    <row r="1300" spans="2:8">
      <c r="B1300" t="s">
        <v>2946</v>
      </c>
      <c r="C1300" t="s">
        <v>664</v>
      </c>
      <c r="D1300">
        <v>2.2765883034172201E-3</v>
      </c>
      <c r="E1300" t="s">
        <v>94</v>
      </c>
    </row>
    <row r="1301" spans="2:8">
      <c r="B1301" t="s">
        <v>2946</v>
      </c>
      <c r="C1301" t="s">
        <v>664</v>
      </c>
      <c r="D1301">
        <v>1.8959059612659701E-3</v>
      </c>
      <c r="E1301" t="s">
        <v>94</v>
      </c>
    </row>
    <row r="1302" spans="2:8">
      <c r="B1302" t="s">
        <v>2954</v>
      </c>
      <c r="C1302" t="s">
        <v>664</v>
      </c>
      <c r="D1302">
        <v>4.94273031720667E-3</v>
      </c>
      <c r="E1302" t="s">
        <v>607</v>
      </c>
      <c r="H1302" t="s">
        <v>588</v>
      </c>
    </row>
    <row r="1303" spans="2:8">
      <c r="B1303" t="s">
        <v>2957</v>
      </c>
      <c r="C1303" t="s">
        <v>676</v>
      </c>
      <c r="D1303">
        <v>4.1837326654509599E-3</v>
      </c>
      <c r="E1303" t="s">
        <v>94</v>
      </c>
      <c r="H1303" t="s">
        <v>588</v>
      </c>
    </row>
    <row r="1304" spans="2:8">
      <c r="B1304" t="s">
        <v>2957</v>
      </c>
      <c r="C1304" t="s">
        <v>676</v>
      </c>
      <c r="D1304">
        <v>4.8110987911823701E-2</v>
      </c>
      <c r="E1304" t="s">
        <v>94</v>
      </c>
      <c r="H1304" t="s">
        <v>588</v>
      </c>
    </row>
    <row r="1305" spans="2:8">
      <c r="B1305" t="s">
        <v>2959</v>
      </c>
      <c r="C1305" t="s">
        <v>650</v>
      </c>
      <c r="D1305">
        <v>1.7393440253356501E-4</v>
      </c>
      <c r="E1305" t="s">
        <v>94</v>
      </c>
      <c r="H1305" t="s">
        <v>588</v>
      </c>
    </row>
    <row r="1306" spans="2:8">
      <c r="B1306" t="s">
        <v>2959</v>
      </c>
      <c r="C1306" t="s">
        <v>650</v>
      </c>
      <c r="D1306">
        <v>3.3049245675332502E-6</v>
      </c>
      <c r="E1306" t="s">
        <v>94</v>
      </c>
      <c r="H1306" t="s">
        <v>588</v>
      </c>
    </row>
    <row r="1307" spans="2:8">
      <c r="B1307" t="s">
        <v>2959</v>
      </c>
      <c r="C1307" t="s">
        <v>650</v>
      </c>
      <c r="D1307">
        <v>1.14849400351683E-5</v>
      </c>
      <c r="E1307" t="s">
        <v>94</v>
      </c>
      <c r="H1307" t="s">
        <v>588</v>
      </c>
    </row>
    <row r="1308" spans="2:8">
      <c r="B1308" t="s">
        <v>680</v>
      </c>
      <c r="C1308" t="s">
        <v>650</v>
      </c>
      <c r="D1308">
        <v>6.5658851903562096E-4</v>
      </c>
      <c r="E1308" t="s">
        <v>94</v>
      </c>
      <c r="H1308" t="s">
        <v>588</v>
      </c>
    </row>
    <row r="1309" spans="2:8">
      <c r="B1309" t="s">
        <v>680</v>
      </c>
      <c r="C1309" t="s">
        <v>650</v>
      </c>
      <c r="D1309">
        <v>1.7127237237149601E-4</v>
      </c>
      <c r="E1309" t="s">
        <v>94</v>
      </c>
      <c r="H1309" t="s">
        <v>588</v>
      </c>
    </row>
    <row r="1310" spans="2:8">
      <c r="B1310" t="s">
        <v>2964</v>
      </c>
      <c r="C1310" t="s">
        <v>676</v>
      </c>
      <c r="D1310">
        <v>2.6766653185932601E-4</v>
      </c>
      <c r="E1310" t="s">
        <v>94</v>
      </c>
      <c r="H1310" t="s">
        <v>588</v>
      </c>
    </row>
    <row r="1311" spans="2:8">
      <c r="B1311" t="s">
        <v>2964</v>
      </c>
      <c r="C1311" t="s">
        <v>676</v>
      </c>
      <c r="D1311">
        <v>4.7203567302211101E-4</v>
      </c>
      <c r="E1311" t="s">
        <v>94</v>
      </c>
      <c r="H1311" t="s">
        <v>588</v>
      </c>
    </row>
    <row r="1312" spans="2:8">
      <c r="B1312" t="s">
        <v>2964</v>
      </c>
      <c r="C1312" t="s">
        <v>676</v>
      </c>
      <c r="D1312">
        <v>1.6799470362237101E-4</v>
      </c>
      <c r="E1312" t="s">
        <v>94</v>
      </c>
      <c r="H1312" t="s">
        <v>588</v>
      </c>
    </row>
    <row r="1313" spans="2:8">
      <c r="B1313" t="s">
        <v>2967</v>
      </c>
      <c r="C1313" t="s">
        <v>615</v>
      </c>
      <c r="D1313">
        <v>3.8509857659138203E-12</v>
      </c>
      <c r="E1313" t="s">
        <v>616</v>
      </c>
      <c r="H1313" t="s">
        <v>588</v>
      </c>
    </row>
    <row r="1314" spans="2:8">
      <c r="B1314" t="s">
        <v>2970</v>
      </c>
      <c r="C1314" t="s">
        <v>676</v>
      </c>
      <c r="D1314">
        <v>7.9376052421050794E-2</v>
      </c>
      <c r="E1314" t="s">
        <v>94</v>
      </c>
      <c r="H1314" t="s">
        <v>588</v>
      </c>
    </row>
    <row r="1315" spans="2:8">
      <c r="B1315" t="s">
        <v>2973</v>
      </c>
      <c r="C1315" t="s">
        <v>676</v>
      </c>
      <c r="D1315">
        <v>3.1416579108569501E-2</v>
      </c>
      <c r="E1315" t="s">
        <v>94</v>
      </c>
      <c r="H1315" t="s">
        <v>588</v>
      </c>
    </row>
    <row r="1316" spans="2:8">
      <c r="B1316" t="s">
        <v>2973</v>
      </c>
      <c r="C1316" t="s">
        <v>676</v>
      </c>
      <c r="D1316">
        <v>3.8581218116403302E-4</v>
      </c>
      <c r="E1316" t="s">
        <v>94</v>
      </c>
      <c r="H1316" t="s">
        <v>588</v>
      </c>
    </row>
    <row r="1317" spans="2:8">
      <c r="B1317" t="s">
        <v>2975</v>
      </c>
      <c r="C1317" t="s">
        <v>676</v>
      </c>
      <c r="D1317">
        <v>2.8281865501877201E-5</v>
      </c>
      <c r="E1317" t="s">
        <v>94</v>
      </c>
      <c r="H1317" t="s">
        <v>588</v>
      </c>
    </row>
    <row r="1318" spans="2:8">
      <c r="B1318" t="s">
        <v>2975</v>
      </c>
      <c r="C1318" t="s">
        <v>676</v>
      </c>
      <c r="D1318">
        <v>1.1564447125269601E-8</v>
      </c>
      <c r="E1318" t="s">
        <v>94</v>
      </c>
      <c r="H1318" t="s">
        <v>588</v>
      </c>
    </row>
    <row r="1319" spans="2:8">
      <c r="B1319" t="s">
        <v>2975</v>
      </c>
      <c r="C1319" t="s">
        <v>676</v>
      </c>
      <c r="D1319">
        <v>1.1170672488629299E-6</v>
      </c>
      <c r="E1319" t="s">
        <v>94</v>
      </c>
      <c r="H1319" t="s">
        <v>588</v>
      </c>
    </row>
    <row r="1320" spans="2:8">
      <c r="B1320" t="s">
        <v>2977</v>
      </c>
      <c r="C1320" t="s">
        <v>664</v>
      </c>
      <c r="D1320">
        <v>1.2098887711846099E-4</v>
      </c>
      <c r="E1320" t="s">
        <v>94</v>
      </c>
    </row>
    <row r="1321" spans="2:8">
      <c r="B1321" t="s">
        <v>2977</v>
      </c>
      <c r="C1321" t="s">
        <v>664</v>
      </c>
      <c r="D1321">
        <v>1.5800501252081001E-5</v>
      </c>
      <c r="E1321" t="s">
        <v>94</v>
      </c>
      <c r="H1321" t="s">
        <v>588</v>
      </c>
    </row>
    <row r="1322" spans="2:8">
      <c r="B1322" t="s">
        <v>2977</v>
      </c>
      <c r="C1322" t="s">
        <v>664</v>
      </c>
      <c r="D1322">
        <v>5.2854553149446698E-3</v>
      </c>
      <c r="E1322" t="s">
        <v>94</v>
      </c>
    </row>
    <row r="1323" spans="2:8">
      <c r="B1323" t="s">
        <v>2977</v>
      </c>
      <c r="C1323" t="s">
        <v>664</v>
      </c>
      <c r="D1323">
        <v>1.9478308720401001E-3</v>
      </c>
      <c r="E1323" t="s">
        <v>94</v>
      </c>
    </row>
    <row r="1324" spans="2:8">
      <c r="B1324" t="s">
        <v>2977</v>
      </c>
      <c r="C1324" t="s">
        <v>664</v>
      </c>
      <c r="D1324">
        <v>5.1001661458302703E-3</v>
      </c>
      <c r="E1324" t="s">
        <v>94</v>
      </c>
    </row>
    <row r="1325" spans="2:8">
      <c r="B1325" t="s">
        <v>2977</v>
      </c>
      <c r="C1325" t="s">
        <v>664</v>
      </c>
      <c r="D1325">
        <v>4.2541426197016899E-6</v>
      </c>
      <c r="E1325" t="s">
        <v>94</v>
      </c>
      <c r="H1325" t="s">
        <v>588</v>
      </c>
    </row>
    <row r="1326" spans="2:8">
      <c r="B1326" t="s">
        <v>2977</v>
      </c>
      <c r="C1326" t="s">
        <v>664</v>
      </c>
      <c r="D1326">
        <v>1.38386235556525E-5</v>
      </c>
      <c r="E1326" t="s">
        <v>94</v>
      </c>
      <c r="H1326" t="s">
        <v>588</v>
      </c>
    </row>
    <row r="1327" spans="2:8">
      <c r="B1327" t="s">
        <v>2977</v>
      </c>
      <c r="C1327" t="s">
        <v>664</v>
      </c>
      <c r="D1327">
        <v>1.64222840636385E-5</v>
      </c>
      <c r="E1327" t="s">
        <v>94</v>
      </c>
      <c r="H1327" t="s">
        <v>588</v>
      </c>
    </row>
    <row r="1328" spans="2:8">
      <c r="B1328" t="s">
        <v>2977</v>
      </c>
      <c r="C1328" t="s">
        <v>664</v>
      </c>
      <c r="D1328">
        <v>2.2468922899642E-6</v>
      </c>
      <c r="E1328" t="s">
        <v>94</v>
      </c>
      <c r="H1328" t="s">
        <v>588</v>
      </c>
    </row>
    <row r="1329" spans="2:8">
      <c r="B1329" t="s">
        <v>2977</v>
      </c>
      <c r="C1329" t="s">
        <v>664</v>
      </c>
      <c r="D1329">
        <v>1.4507558149827501E-3</v>
      </c>
      <c r="E1329" t="s">
        <v>94</v>
      </c>
    </row>
    <row r="1330" spans="2:8">
      <c r="B1330" t="s">
        <v>2977</v>
      </c>
      <c r="C1330" t="s">
        <v>664</v>
      </c>
      <c r="D1330">
        <v>2.5196600488319601E-6</v>
      </c>
      <c r="E1330" t="s">
        <v>94</v>
      </c>
      <c r="H1330" t="s">
        <v>588</v>
      </c>
    </row>
    <row r="1331" spans="2:8">
      <c r="B1331" t="s">
        <v>2977</v>
      </c>
      <c r="C1331" t="s">
        <v>664</v>
      </c>
      <c r="D1331">
        <v>3.9697486360639299E-6</v>
      </c>
      <c r="E1331" t="s">
        <v>94</v>
      </c>
      <c r="H1331" t="s">
        <v>588</v>
      </c>
    </row>
    <row r="1332" spans="2:8">
      <c r="B1332" t="s">
        <v>2977</v>
      </c>
      <c r="C1332" t="s">
        <v>664</v>
      </c>
      <c r="D1332">
        <v>3.06278046232857E-4</v>
      </c>
      <c r="E1332" t="s">
        <v>94</v>
      </c>
    </row>
    <row r="1333" spans="2:8">
      <c r="B1333" t="s">
        <v>2977</v>
      </c>
      <c r="C1333" t="s">
        <v>664</v>
      </c>
      <c r="D1333">
        <v>4.3000359184094099E-3</v>
      </c>
      <c r="E1333" t="s">
        <v>94</v>
      </c>
    </row>
    <row r="1334" spans="2:8">
      <c r="B1334" t="s">
        <v>2977</v>
      </c>
      <c r="C1334" t="s">
        <v>664</v>
      </c>
      <c r="D1334">
        <v>3.07204524357868E-3</v>
      </c>
      <c r="E1334" t="s">
        <v>94</v>
      </c>
    </row>
    <row r="1335" spans="2:8">
      <c r="B1335" t="s">
        <v>2977</v>
      </c>
      <c r="C1335" t="s">
        <v>664</v>
      </c>
      <c r="D1335">
        <v>1.1063944549572599E-3</v>
      </c>
      <c r="E1335" t="s">
        <v>94</v>
      </c>
    </row>
    <row r="1336" spans="2:8">
      <c r="B1336" t="s">
        <v>2977</v>
      </c>
      <c r="C1336" t="s">
        <v>664</v>
      </c>
      <c r="D1336">
        <v>2.33439894848445E-3</v>
      </c>
      <c r="E1336" t="s">
        <v>94</v>
      </c>
    </row>
    <row r="1337" spans="2:8">
      <c r="B1337" t="s">
        <v>2977</v>
      </c>
      <c r="C1337" t="s">
        <v>664</v>
      </c>
      <c r="D1337">
        <v>2.00785750504028E-3</v>
      </c>
      <c r="E1337" t="s">
        <v>94</v>
      </c>
    </row>
    <row r="1338" spans="2:8">
      <c r="B1338" t="s">
        <v>2977</v>
      </c>
      <c r="C1338" t="s">
        <v>664</v>
      </c>
      <c r="D1338">
        <v>2.2851792433363101E-6</v>
      </c>
      <c r="E1338" t="s">
        <v>94</v>
      </c>
      <c r="H1338" t="s">
        <v>588</v>
      </c>
    </row>
    <row r="1339" spans="2:8">
      <c r="B1339" t="s">
        <v>2984</v>
      </c>
      <c r="C1339" t="s">
        <v>1170</v>
      </c>
      <c r="D1339">
        <v>3.5343196217628998E-6</v>
      </c>
      <c r="E1339" t="s">
        <v>94</v>
      </c>
      <c r="H1339" t="s">
        <v>588</v>
      </c>
    </row>
    <row r="1340" spans="2:8">
      <c r="B1340" t="s">
        <v>2986</v>
      </c>
      <c r="C1340" t="s">
        <v>1810</v>
      </c>
      <c r="D1340">
        <v>5.6804952588404503E-6</v>
      </c>
      <c r="E1340" t="s">
        <v>640</v>
      </c>
      <c r="H1340" t="s">
        <v>588</v>
      </c>
    </row>
    <row r="1341" spans="2:8">
      <c r="B1341" t="s">
        <v>2986</v>
      </c>
      <c r="C1341" t="s">
        <v>1810</v>
      </c>
      <c r="D1341">
        <v>5.6785310096493703E-6</v>
      </c>
      <c r="E1341" t="s">
        <v>640</v>
      </c>
      <c r="H1341" t="s">
        <v>588</v>
      </c>
    </row>
    <row r="1342" spans="2:8">
      <c r="B1342" t="s">
        <v>2989</v>
      </c>
      <c r="C1342" t="s">
        <v>673</v>
      </c>
      <c r="D1342">
        <v>7.08085396696612E-9</v>
      </c>
      <c r="E1342" t="s">
        <v>94</v>
      </c>
      <c r="H1342" t="s">
        <v>588</v>
      </c>
    </row>
    <row r="1343" spans="2:8">
      <c r="B1343" t="s">
        <v>2992</v>
      </c>
      <c r="C1343" t="s">
        <v>673</v>
      </c>
      <c r="D1343">
        <v>5.4549974594521103E-6</v>
      </c>
      <c r="E1343" t="s">
        <v>94</v>
      </c>
      <c r="H1343" t="s">
        <v>588</v>
      </c>
    </row>
    <row r="1344" spans="2:8">
      <c r="B1344" t="s">
        <v>2994</v>
      </c>
      <c r="C1344" t="s">
        <v>673</v>
      </c>
      <c r="D1344">
        <v>2.41207335997242E-4</v>
      </c>
      <c r="E1344" t="s">
        <v>94</v>
      </c>
      <c r="H1344" t="s">
        <v>588</v>
      </c>
    </row>
    <row r="1345" spans="2:8">
      <c r="B1345" t="s">
        <v>1297</v>
      </c>
      <c r="C1345" t="s">
        <v>664</v>
      </c>
      <c r="D1345">
        <v>6.3533004179125799E-4</v>
      </c>
      <c r="E1345" t="s">
        <v>94</v>
      </c>
      <c r="H1345" t="s">
        <v>588</v>
      </c>
    </row>
    <row r="1346" spans="2:8">
      <c r="B1346" t="s">
        <v>1297</v>
      </c>
      <c r="C1346" t="s">
        <v>664</v>
      </c>
      <c r="D1346">
        <v>9.1302776400755702E-7</v>
      </c>
      <c r="E1346" t="s">
        <v>94</v>
      </c>
      <c r="H1346" t="s">
        <v>588</v>
      </c>
    </row>
    <row r="1347" spans="2:8">
      <c r="B1347" t="s">
        <v>1297</v>
      </c>
      <c r="C1347" t="s">
        <v>664</v>
      </c>
      <c r="D1347">
        <v>2.43761174603413E-4</v>
      </c>
      <c r="E1347" t="s">
        <v>94</v>
      </c>
      <c r="H1347" t="s">
        <v>588</v>
      </c>
    </row>
    <row r="1348" spans="2:8">
      <c r="B1348" t="s">
        <v>2997</v>
      </c>
      <c r="C1348" t="s">
        <v>615</v>
      </c>
      <c r="D1348">
        <v>2.15500948132097E-9</v>
      </c>
      <c r="E1348" t="s">
        <v>616</v>
      </c>
      <c r="H1348" t="s">
        <v>588</v>
      </c>
    </row>
    <row r="1349" spans="2:8">
      <c r="B1349" t="s">
        <v>2999</v>
      </c>
      <c r="C1349" t="s">
        <v>587</v>
      </c>
      <c r="D1349">
        <v>1.3613953271234901E-6</v>
      </c>
      <c r="E1349" t="s">
        <v>94</v>
      </c>
    </row>
    <row r="1350" spans="2:8">
      <c r="B1350" t="s">
        <v>1300</v>
      </c>
      <c r="C1350" t="s">
        <v>667</v>
      </c>
      <c r="D1350">
        <v>4.6357524459732103E-6</v>
      </c>
      <c r="E1350" t="s">
        <v>94</v>
      </c>
      <c r="H1350" t="s">
        <v>588</v>
      </c>
    </row>
    <row r="1351" spans="2:8">
      <c r="B1351" t="s">
        <v>3001</v>
      </c>
      <c r="C1351" t="s">
        <v>569</v>
      </c>
      <c r="D1351">
        <v>4.64298110045032E-3</v>
      </c>
      <c r="E1351" t="s">
        <v>94</v>
      </c>
      <c r="H1351" t="s">
        <v>588</v>
      </c>
    </row>
    <row r="1352" spans="2:8">
      <c r="B1352" t="s">
        <v>3004</v>
      </c>
      <c r="C1352" t="s">
        <v>569</v>
      </c>
      <c r="D1352">
        <v>4.5816667323176301E-5</v>
      </c>
      <c r="E1352" t="s">
        <v>94</v>
      </c>
      <c r="H1352" t="s">
        <v>588</v>
      </c>
    </row>
    <row r="1353" spans="2:8">
      <c r="B1353" t="s">
        <v>3006</v>
      </c>
      <c r="C1353" t="s">
        <v>587</v>
      </c>
      <c r="D1353">
        <v>1.14405674881765E-4</v>
      </c>
      <c r="E1353" t="s">
        <v>94</v>
      </c>
      <c r="H1353" t="s">
        <v>588</v>
      </c>
    </row>
    <row r="1354" spans="2:8">
      <c r="B1354" t="s">
        <v>3007</v>
      </c>
      <c r="C1354" t="s">
        <v>667</v>
      </c>
      <c r="D1354">
        <v>4.6578885321498404E-6</v>
      </c>
      <c r="E1354" t="s">
        <v>94</v>
      </c>
      <c r="H1354" t="s">
        <v>588</v>
      </c>
    </row>
    <row r="1355" spans="2:8">
      <c r="B1355" t="s">
        <v>3009</v>
      </c>
      <c r="C1355" t="s">
        <v>3010</v>
      </c>
      <c r="D1355">
        <v>1.2063210090924101E-6</v>
      </c>
      <c r="E1355" t="s">
        <v>616</v>
      </c>
      <c r="H1355" t="s">
        <v>588</v>
      </c>
    </row>
    <row r="1356" spans="2:8">
      <c r="B1356" t="s">
        <v>3009</v>
      </c>
      <c r="C1356" t="s">
        <v>3010</v>
      </c>
      <c r="D1356">
        <v>1.2063210090924101E-6</v>
      </c>
      <c r="E1356" t="s">
        <v>616</v>
      </c>
      <c r="H1356" t="s">
        <v>588</v>
      </c>
    </row>
    <row r="1357" spans="2:8">
      <c r="B1357" t="s">
        <v>3013</v>
      </c>
      <c r="C1357" t="s">
        <v>3014</v>
      </c>
      <c r="D1357">
        <v>1.95869963428802E-7</v>
      </c>
      <c r="E1357" t="s">
        <v>616</v>
      </c>
      <c r="H1357" t="s">
        <v>588</v>
      </c>
    </row>
    <row r="1358" spans="2:8">
      <c r="B1358" t="s">
        <v>3017</v>
      </c>
      <c r="C1358" t="s">
        <v>673</v>
      </c>
      <c r="D1358">
        <v>2.3864822942325399E-3</v>
      </c>
      <c r="E1358" t="s">
        <v>94</v>
      </c>
      <c r="H1358" t="s">
        <v>588</v>
      </c>
    </row>
    <row r="1359" spans="2:8">
      <c r="B1359" t="s">
        <v>3017</v>
      </c>
      <c r="C1359" t="s">
        <v>673</v>
      </c>
      <c r="D1359">
        <v>3.13511108772801E-5</v>
      </c>
      <c r="E1359" t="s">
        <v>94</v>
      </c>
      <c r="H1359" t="s">
        <v>588</v>
      </c>
    </row>
    <row r="1360" spans="2:8">
      <c r="B1360" t="s">
        <v>3020</v>
      </c>
      <c r="C1360" t="s">
        <v>673</v>
      </c>
      <c r="D1360">
        <v>1.0765048163496099E-3</v>
      </c>
      <c r="E1360" t="s">
        <v>94</v>
      </c>
      <c r="H1360" t="s">
        <v>588</v>
      </c>
    </row>
    <row r="1361" spans="2:8">
      <c r="B1361" t="s">
        <v>3022</v>
      </c>
      <c r="C1361" t="s">
        <v>676</v>
      </c>
      <c r="D1361">
        <v>2.65905583417726E-4</v>
      </c>
      <c r="E1361" t="s">
        <v>94</v>
      </c>
      <c r="H1361" t="s">
        <v>588</v>
      </c>
    </row>
    <row r="1362" spans="2:8">
      <c r="B1362" t="s">
        <v>3025</v>
      </c>
      <c r="C1362" t="s">
        <v>2939</v>
      </c>
      <c r="D1362">
        <v>3.7244170609564398E-3</v>
      </c>
      <c r="E1362" t="s">
        <v>94</v>
      </c>
    </row>
    <row r="1363" spans="2:8">
      <c r="B1363" t="s">
        <v>3025</v>
      </c>
      <c r="C1363" t="s">
        <v>2939</v>
      </c>
      <c r="D1363">
        <v>2.9772617633708599E-4</v>
      </c>
      <c r="E1363" t="s">
        <v>94</v>
      </c>
    </row>
    <row r="1364" spans="2:8">
      <c r="B1364" t="s">
        <v>3025</v>
      </c>
      <c r="C1364" t="s">
        <v>2939</v>
      </c>
      <c r="D1364">
        <v>2.65481013123984E-2</v>
      </c>
      <c r="E1364" t="s">
        <v>94</v>
      </c>
      <c r="H1364" t="s">
        <v>588</v>
      </c>
    </row>
    <row r="1365" spans="2:8">
      <c r="B1365" t="s">
        <v>3025</v>
      </c>
      <c r="C1365" t="s">
        <v>2939</v>
      </c>
      <c r="D1365">
        <v>1.82232546387111E-3</v>
      </c>
      <c r="E1365" t="s">
        <v>94</v>
      </c>
    </row>
    <row r="1366" spans="2:8">
      <c r="B1366" t="s">
        <v>3025</v>
      </c>
      <c r="C1366" t="s">
        <v>2939</v>
      </c>
      <c r="D1366">
        <v>1.5898785577720799E-3</v>
      </c>
      <c r="E1366" t="s">
        <v>94</v>
      </c>
    </row>
    <row r="1367" spans="2:8">
      <c r="B1367" t="s">
        <v>3025</v>
      </c>
      <c r="C1367" t="s">
        <v>2939</v>
      </c>
      <c r="D1367">
        <v>2.6348612804522401E-2</v>
      </c>
      <c r="E1367" t="s">
        <v>94</v>
      </c>
    </row>
    <row r="1368" spans="2:8">
      <c r="B1368" t="s">
        <v>3029</v>
      </c>
      <c r="C1368" t="s">
        <v>667</v>
      </c>
      <c r="D1368">
        <v>7.12049110015827E-6</v>
      </c>
      <c r="E1368" t="s">
        <v>94</v>
      </c>
      <c r="H1368" t="s">
        <v>588</v>
      </c>
    </row>
    <row r="1369" spans="2:8">
      <c r="B1369" t="s">
        <v>3029</v>
      </c>
      <c r="C1369" t="s">
        <v>667</v>
      </c>
      <c r="D1369">
        <v>9.8462587804935297E-6</v>
      </c>
      <c r="E1369" t="s">
        <v>94</v>
      </c>
      <c r="H1369" t="s">
        <v>588</v>
      </c>
    </row>
    <row r="1370" spans="2:8">
      <c r="B1370" t="s">
        <v>1302</v>
      </c>
      <c r="C1370" t="s">
        <v>673</v>
      </c>
      <c r="D1370">
        <v>1.9176486848210202E-6</v>
      </c>
      <c r="E1370" t="s">
        <v>94</v>
      </c>
      <c r="H1370" t="s">
        <v>588</v>
      </c>
    </row>
    <row r="1371" spans="2:8">
      <c r="B1371" t="s">
        <v>3032</v>
      </c>
      <c r="C1371" t="s">
        <v>673</v>
      </c>
      <c r="D1371">
        <v>3.3112663453393501E-9</v>
      </c>
      <c r="E1371" t="s">
        <v>94</v>
      </c>
      <c r="H1371" t="s">
        <v>588</v>
      </c>
    </row>
    <row r="1372" spans="2:8">
      <c r="B1372" t="s">
        <v>3034</v>
      </c>
      <c r="C1372" t="s">
        <v>673</v>
      </c>
      <c r="D1372">
        <v>3.7951049455486299E-6</v>
      </c>
      <c r="E1372" t="s">
        <v>94</v>
      </c>
      <c r="H1372" t="s">
        <v>588</v>
      </c>
    </row>
    <row r="1373" spans="2:8">
      <c r="B1373" t="s">
        <v>3036</v>
      </c>
      <c r="C1373" t="s">
        <v>587</v>
      </c>
      <c r="D1373">
        <v>4.5095343113642101E-7</v>
      </c>
      <c r="E1373" t="s">
        <v>94</v>
      </c>
      <c r="H1373" t="s">
        <v>588</v>
      </c>
    </row>
    <row r="1374" spans="2:8">
      <c r="B1374" t="s">
        <v>3037</v>
      </c>
      <c r="C1374" t="s">
        <v>1835</v>
      </c>
      <c r="D1374">
        <v>4.0620941977889099E-3</v>
      </c>
      <c r="E1374" t="s">
        <v>94</v>
      </c>
      <c r="H1374" t="s">
        <v>588</v>
      </c>
    </row>
    <row r="1375" spans="2:8">
      <c r="B1375" t="s">
        <v>3037</v>
      </c>
      <c r="C1375" t="s">
        <v>1835</v>
      </c>
      <c r="D1375">
        <v>4.0633088541394396E-3</v>
      </c>
      <c r="E1375" t="s">
        <v>94</v>
      </c>
      <c r="H1375" t="s">
        <v>588</v>
      </c>
    </row>
    <row r="1376" spans="2:8">
      <c r="B1376" t="s">
        <v>3041</v>
      </c>
      <c r="C1376" t="s">
        <v>2270</v>
      </c>
      <c r="D1376">
        <v>1.06053315604726E-3</v>
      </c>
      <c r="E1376" t="s">
        <v>94</v>
      </c>
      <c r="H1376" t="s">
        <v>588</v>
      </c>
    </row>
    <row r="1377" spans="2:8">
      <c r="B1377" t="s">
        <v>3044</v>
      </c>
      <c r="C1377" t="s">
        <v>2234</v>
      </c>
      <c r="D1377">
        <v>5.3667157351913897E-7</v>
      </c>
      <c r="E1377" t="s">
        <v>616</v>
      </c>
      <c r="H1377" t="s">
        <v>1733</v>
      </c>
    </row>
    <row r="1378" spans="2:8">
      <c r="B1378" t="s">
        <v>3048</v>
      </c>
      <c r="C1378" t="s">
        <v>1892</v>
      </c>
      <c r="D1378">
        <v>2.7540467092466398E-7</v>
      </c>
      <c r="E1378" t="s">
        <v>94</v>
      </c>
      <c r="H1378" t="s">
        <v>588</v>
      </c>
    </row>
    <row r="1379" spans="2:8">
      <c r="B1379" t="s">
        <v>3052</v>
      </c>
      <c r="C1379" t="s">
        <v>2647</v>
      </c>
      <c r="D1379">
        <v>2.9468047481644999E-6</v>
      </c>
      <c r="E1379" t="s">
        <v>616</v>
      </c>
      <c r="H1379" t="s">
        <v>588</v>
      </c>
    </row>
    <row r="1380" spans="2:8">
      <c r="B1380" t="s">
        <v>3055</v>
      </c>
      <c r="C1380" t="s">
        <v>3056</v>
      </c>
      <c r="D1380">
        <v>4.4088293191420502E-12</v>
      </c>
      <c r="E1380" t="s">
        <v>94</v>
      </c>
      <c r="H1380" t="s">
        <v>588</v>
      </c>
    </row>
    <row r="1381" spans="2:8">
      <c r="B1381" t="s">
        <v>3055</v>
      </c>
      <c r="C1381" t="s">
        <v>3056</v>
      </c>
      <c r="D1381">
        <v>3.0512414304016401E-4</v>
      </c>
      <c r="E1381" t="s">
        <v>94</v>
      </c>
      <c r="H1381" t="s">
        <v>588</v>
      </c>
    </row>
    <row r="1382" spans="2:8">
      <c r="B1382" t="s">
        <v>3058</v>
      </c>
      <c r="C1382" t="s">
        <v>2589</v>
      </c>
      <c r="D1382">
        <v>2.2458099478260501E-8</v>
      </c>
      <c r="E1382" t="s">
        <v>640</v>
      </c>
      <c r="H1382" t="s">
        <v>588</v>
      </c>
    </row>
    <row r="1383" spans="2:8">
      <c r="B1383" t="s">
        <v>3058</v>
      </c>
      <c r="C1383" t="s">
        <v>2589</v>
      </c>
      <c r="D1383">
        <v>3.5066355877006499E-9</v>
      </c>
      <c r="E1383" t="s">
        <v>640</v>
      </c>
      <c r="H1383" t="s">
        <v>588</v>
      </c>
    </row>
    <row r="1384" spans="2:8">
      <c r="B1384" t="s">
        <v>3061</v>
      </c>
      <c r="C1384" t="s">
        <v>673</v>
      </c>
      <c r="D1384">
        <v>4.1480724351656702E-5</v>
      </c>
      <c r="E1384" t="s">
        <v>94</v>
      </c>
      <c r="H1384" t="s">
        <v>588</v>
      </c>
    </row>
    <row r="1385" spans="2:8">
      <c r="B1385" t="s">
        <v>3063</v>
      </c>
      <c r="C1385" t="s">
        <v>701</v>
      </c>
      <c r="D1385">
        <v>1.0931570244624E-3</v>
      </c>
      <c r="E1385" t="s">
        <v>94</v>
      </c>
      <c r="H1385" t="s">
        <v>588</v>
      </c>
    </row>
    <row r="1386" spans="2:8">
      <c r="B1386" t="s">
        <v>3063</v>
      </c>
      <c r="C1386" t="s">
        <v>701</v>
      </c>
      <c r="D1386">
        <v>3.1463097105462803E-4</v>
      </c>
      <c r="E1386" t="s">
        <v>94</v>
      </c>
      <c r="H1386" t="s">
        <v>588</v>
      </c>
    </row>
    <row r="1387" spans="2:8">
      <c r="B1387" t="s">
        <v>3066</v>
      </c>
      <c r="C1387" t="s">
        <v>1138</v>
      </c>
      <c r="D1387">
        <v>1.8370472074597199E-5</v>
      </c>
      <c r="E1387" t="s">
        <v>94</v>
      </c>
      <c r="H1387" t="s">
        <v>588</v>
      </c>
    </row>
    <row r="1388" spans="2:8">
      <c r="B1388" t="s">
        <v>3069</v>
      </c>
      <c r="C1388" t="s">
        <v>1830</v>
      </c>
      <c r="D1388">
        <v>3.3428527434488701E-4</v>
      </c>
      <c r="E1388" t="s">
        <v>94</v>
      </c>
      <c r="H1388" t="s">
        <v>588</v>
      </c>
    </row>
    <row r="1389" spans="2:8">
      <c r="B1389" t="s">
        <v>3069</v>
      </c>
      <c r="C1389" t="s">
        <v>1830</v>
      </c>
      <c r="D1389">
        <v>2.7857106195407202E-3</v>
      </c>
      <c r="E1389" t="s">
        <v>94</v>
      </c>
    </row>
    <row r="1390" spans="2:8">
      <c r="B1390" t="s">
        <v>3072</v>
      </c>
      <c r="C1390" t="s">
        <v>569</v>
      </c>
      <c r="D1390">
        <v>5.1113865251814096E-9</v>
      </c>
      <c r="E1390" t="s">
        <v>94</v>
      </c>
      <c r="H1390" t="s">
        <v>588</v>
      </c>
    </row>
    <row r="1391" spans="2:8">
      <c r="B1391" t="s">
        <v>3074</v>
      </c>
      <c r="C1391" t="s">
        <v>587</v>
      </c>
      <c r="D1391">
        <v>1.35289128042661E-8</v>
      </c>
      <c r="E1391" t="s">
        <v>94</v>
      </c>
      <c r="H1391" t="s">
        <v>588</v>
      </c>
    </row>
    <row r="1392" spans="2:8">
      <c r="B1392" t="s">
        <v>3075</v>
      </c>
      <c r="C1392" t="s">
        <v>857</v>
      </c>
      <c r="D1392">
        <v>7.0791912406081303E-10</v>
      </c>
      <c r="E1392" t="s">
        <v>616</v>
      </c>
      <c r="H1392" t="s">
        <v>588</v>
      </c>
    </row>
    <row r="1393" spans="2:8">
      <c r="B1393" t="s">
        <v>3075</v>
      </c>
      <c r="C1393" t="s">
        <v>857</v>
      </c>
      <c r="D1393">
        <v>7.0775135383630505E-10</v>
      </c>
      <c r="E1393" t="s">
        <v>616</v>
      </c>
      <c r="H1393" t="s">
        <v>588</v>
      </c>
    </row>
    <row r="1394" spans="2:8">
      <c r="B1394" t="s">
        <v>3079</v>
      </c>
      <c r="C1394" t="s">
        <v>857</v>
      </c>
      <c r="D1394">
        <v>2.2992516697626799E-13</v>
      </c>
      <c r="E1394" t="s">
        <v>616</v>
      </c>
      <c r="H1394" t="s">
        <v>588</v>
      </c>
    </row>
    <row r="1395" spans="2:8">
      <c r="B1395" t="s">
        <v>3079</v>
      </c>
      <c r="C1395" t="s">
        <v>857</v>
      </c>
      <c r="D1395">
        <v>2.1059317241250601E-12</v>
      </c>
      <c r="E1395" t="s">
        <v>616</v>
      </c>
      <c r="H1395" t="s">
        <v>588</v>
      </c>
    </row>
    <row r="1396" spans="2:8">
      <c r="B1396" t="s">
        <v>1304</v>
      </c>
      <c r="C1396" t="s">
        <v>1305</v>
      </c>
      <c r="D1396">
        <v>1.9532292071836499E-5</v>
      </c>
      <c r="E1396" t="s">
        <v>94</v>
      </c>
      <c r="H1396" t="s">
        <v>588</v>
      </c>
    </row>
    <row r="1397" spans="2:8">
      <c r="B1397" t="s">
        <v>1304</v>
      </c>
      <c r="C1397" t="s">
        <v>1305</v>
      </c>
      <c r="D1397">
        <v>1.9759007994508699E-4</v>
      </c>
      <c r="E1397" t="s">
        <v>94</v>
      </c>
      <c r="H1397" t="s">
        <v>588</v>
      </c>
    </row>
    <row r="1398" spans="2:8">
      <c r="B1398" t="s">
        <v>3086</v>
      </c>
      <c r="C1398" t="s">
        <v>1305</v>
      </c>
      <c r="D1398">
        <v>3.7595199951949097E-5</v>
      </c>
      <c r="E1398" t="s">
        <v>94</v>
      </c>
      <c r="H1398" t="s">
        <v>588</v>
      </c>
    </row>
    <row r="1399" spans="2:8">
      <c r="B1399" t="s">
        <v>3086</v>
      </c>
      <c r="C1399" t="s">
        <v>1305</v>
      </c>
      <c r="D1399">
        <v>1.52650221520551E-4</v>
      </c>
      <c r="E1399" t="s">
        <v>94</v>
      </c>
    </row>
    <row r="1400" spans="2:8">
      <c r="B1400" t="s">
        <v>3091</v>
      </c>
      <c r="C1400" t="s">
        <v>1305</v>
      </c>
      <c r="D1400">
        <v>2.7113983891585501E-6</v>
      </c>
      <c r="E1400" t="s">
        <v>94</v>
      </c>
      <c r="H1400" t="s">
        <v>588</v>
      </c>
    </row>
    <row r="1401" spans="2:8">
      <c r="B1401" t="s">
        <v>3094</v>
      </c>
      <c r="C1401" t="s">
        <v>1305</v>
      </c>
      <c r="D1401">
        <v>3.1037094558495898E-6</v>
      </c>
      <c r="E1401" t="s">
        <v>94</v>
      </c>
      <c r="H1401" t="s">
        <v>588</v>
      </c>
    </row>
    <row r="1402" spans="2:8">
      <c r="B1402" t="s">
        <v>3094</v>
      </c>
      <c r="C1402" t="s">
        <v>1305</v>
      </c>
      <c r="D1402">
        <v>3.1036122677415299E-6</v>
      </c>
      <c r="E1402" t="s">
        <v>94</v>
      </c>
      <c r="H1402" t="s">
        <v>588</v>
      </c>
    </row>
    <row r="1403" spans="2:8">
      <c r="B1403" t="s">
        <v>3097</v>
      </c>
      <c r="C1403" t="s">
        <v>1305</v>
      </c>
      <c r="D1403">
        <v>2.6974242177718499E-3</v>
      </c>
      <c r="E1403" t="s">
        <v>94</v>
      </c>
      <c r="H1403" t="s">
        <v>588</v>
      </c>
    </row>
    <row r="1404" spans="2:8">
      <c r="B1404" t="s">
        <v>3097</v>
      </c>
      <c r="C1404" t="s">
        <v>1305</v>
      </c>
      <c r="D1404">
        <v>4.7035901322615697E-5</v>
      </c>
      <c r="E1404" t="s">
        <v>94</v>
      </c>
      <c r="H1404" t="s">
        <v>588</v>
      </c>
    </row>
    <row r="1405" spans="2:8">
      <c r="B1405" t="s">
        <v>3101</v>
      </c>
      <c r="C1405" t="s">
        <v>673</v>
      </c>
      <c r="D1405">
        <v>8.9811118924373006E-5</v>
      </c>
      <c r="E1405" t="s">
        <v>94</v>
      </c>
      <c r="H1405" t="s">
        <v>588</v>
      </c>
    </row>
    <row r="1406" spans="2:8">
      <c r="B1406" t="s">
        <v>3103</v>
      </c>
      <c r="C1406" t="s">
        <v>673</v>
      </c>
      <c r="D1406">
        <v>3.16293742780579E-4</v>
      </c>
      <c r="E1406" t="s">
        <v>94</v>
      </c>
      <c r="H1406" t="s">
        <v>588</v>
      </c>
    </row>
    <row r="1407" spans="2:8">
      <c r="B1407" t="s">
        <v>3105</v>
      </c>
      <c r="C1407" t="s">
        <v>673</v>
      </c>
      <c r="D1407">
        <v>3.56448150027541E-5</v>
      </c>
      <c r="E1407" t="s">
        <v>94</v>
      </c>
      <c r="H1407" t="s">
        <v>588</v>
      </c>
    </row>
    <row r="1408" spans="2:8">
      <c r="B1408" t="s">
        <v>3105</v>
      </c>
      <c r="C1408" t="s">
        <v>673</v>
      </c>
      <c r="D1408">
        <v>1.51211247381467E-5</v>
      </c>
      <c r="E1408" t="s">
        <v>94</v>
      </c>
      <c r="H1408" t="s">
        <v>588</v>
      </c>
    </row>
    <row r="1409" spans="2:8">
      <c r="B1409" t="s">
        <v>3105</v>
      </c>
      <c r="C1409" t="s">
        <v>673</v>
      </c>
      <c r="D1409">
        <v>6.9080847070627401E-3</v>
      </c>
      <c r="E1409" t="s">
        <v>94</v>
      </c>
    </row>
    <row r="1410" spans="2:8">
      <c r="B1410" t="s">
        <v>1309</v>
      </c>
      <c r="C1410" t="s">
        <v>664</v>
      </c>
      <c r="D1410">
        <v>2.9457974159087202E-7</v>
      </c>
      <c r="E1410" t="s">
        <v>94</v>
      </c>
      <c r="H1410" t="s">
        <v>588</v>
      </c>
    </row>
    <row r="1411" spans="2:8">
      <c r="B1411" t="s">
        <v>1309</v>
      </c>
      <c r="C1411" t="s">
        <v>664</v>
      </c>
      <c r="D1411">
        <v>1.11160345193865E-7</v>
      </c>
      <c r="E1411" t="s">
        <v>94</v>
      </c>
      <c r="H1411" t="s">
        <v>588</v>
      </c>
    </row>
    <row r="1412" spans="2:8">
      <c r="B1412" t="s">
        <v>3109</v>
      </c>
      <c r="C1412" t="s">
        <v>673</v>
      </c>
      <c r="D1412">
        <v>4.6061842798432998E-4</v>
      </c>
      <c r="E1412" t="s">
        <v>94</v>
      </c>
      <c r="H1412" t="s">
        <v>588</v>
      </c>
    </row>
    <row r="1413" spans="2:8">
      <c r="B1413" t="s">
        <v>3111</v>
      </c>
      <c r="C1413" t="s">
        <v>664</v>
      </c>
      <c r="D1413">
        <v>1.0200488665335399E-6</v>
      </c>
      <c r="E1413" t="s">
        <v>94</v>
      </c>
      <c r="H1413" t="s">
        <v>588</v>
      </c>
    </row>
    <row r="1414" spans="2:8">
      <c r="B1414" t="s">
        <v>3113</v>
      </c>
      <c r="C1414" t="s">
        <v>701</v>
      </c>
      <c r="D1414">
        <v>4.7347221844767597E-4</v>
      </c>
      <c r="E1414" t="s">
        <v>94</v>
      </c>
      <c r="H1414" t="s">
        <v>588</v>
      </c>
    </row>
    <row r="1415" spans="2:8">
      <c r="B1415" t="s">
        <v>3113</v>
      </c>
      <c r="C1415" t="s">
        <v>701</v>
      </c>
      <c r="D1415">
        <v>4.7366322775430102E-4</v>
      </c>
      <c r="E1415" t="s">
        <v>94</v>
      </c>
      <c r="H1415" t="s">
        <v>588</v>
      </c>
    </row>
    <row r="1416" spans="2:8">
      <c r="B1416" t="s">
        <v>3115</v>
      </c>
      <c r="C1416" t="s">
        <v>2173</v>
      </c>
      <c r="D1416">
        <v>3.4273778806705002E-8</v>
      </c>
      <c r="E1416" t="s">
        <v>616</v>
      </c>
      <c r="H1416" t="s">
        <v>588</v>
      </c>
    </row>
    <row r="1417" spans="2:8">
      <c r="B1417" t="s">
        <v>3118</v>
      </c>
      <c r="C1417" t="s">
        <v>615</v>
      </c>
      <c r="D1417">
        <v>4.3584024014946103E-14</v>
      </c>
      <c r="E1417" t="s">
        <v>616</v>
      </c>
      <c r="H1417" t="s">
        <v>588</v>
      </c>
    </row>
    <row r="1418" spans="2:8">
      <c r="B1418" t="s">
        <v>3121</v>
      </c>
      <c r="C1418" t="s">
        <v>615</v>
      </c>
      <c r="D1418">
        <v>8.9413431672999901E-13</v>
      </c>
      <c r="E1418" t="s">
        <v>616</v>
      </c>
      <c r="H1418" t="s">
        <v>588</v>
      </c>
    </row>
    <row r="1419" spans="2:8">
      <c r="B1419" t="s">
        <v>3125</v>
      </c>
      <c r="C1419" t="s">
        <v>1873</v>
      </c>
      <c r="D1419">
        <v>7.98831598192324E-5</v>
      </c>
      <c r="E1419" t="s">
        <v>94</v>
      </c>
    </row>
    <row r="1420" spans="2:8">
      <c r="B1420" t="s">
        <v>3125</v>
      </c>
      <c r="C1420" t="s">
        <v>1873</v>
      </c>
      <c r="D1420">
        <v>8.3211624811700398E-5</v>
      </c>
      <c r="E1420" t="s">
        <v>94</v>
      </c>
    </row>
    <row r="1421" spans="2:8">
      <c r="B1421" t="s">
        <v>3125</v>
      </c>
      <c r="C1421" t="s">
        <v>1873</v>
      </c>
      <c r="D1421">
        <v>3.3284649924680203E-4</v>
      </c>
      <c r="E1421" t="s">
        <v>94</v>
      </c>
    </row>
    <row r="1422" spans="2:8">
      <c r="B1422" t="s">
        <v>3125</v>
      </c>
      <c r="C1422" t="s">
        <v>1873</v>
      </c>
      <c r="D1422">
        <v>2.4963487443510098E-4</v>
      </c>
      <c r="E1422" t="s">
        <v>94</v>
      </c>
    </row>
    <row r="1423" spans="2:8">
      <c r="B1423" t="s">
        <v>3128</v>
      </c>
      <c r="C1423" t="s">
        <v>3129</v>
      </c>
      <c r="D1423">
        <v>8.7970647394608902E-6</v>
      </c>
      <c r="E1423" t="s">
        <v>94</v>
      </c>
      <c r="H1423" t="s">
        <v>588</v>
      </c>
    </row>
    <row r="1424" spans="2:8">
      <c r="B1424" t="s">
        <v>3132</v>
      </c>
      <c r="C1424" t="s">
        <v>667</v>
      </c>
      <c r="D1424">
        <v>1.45347819818446E-7</v>
      </c>
      <c r="E1424" t="s">
        <v>94</v>
      </c>
      <c r="H1424" t="s">
        <v>588</v>
      </c>
    </row>
    <row r="1425" spans="2:8">
      <c r="B1425" t="s">
        <v>3132</v>
      </c>
      <c r="C1425" t="s">
        <v>667</v>
      </c>
      <c r="D1425">
        <v>2.5259058315876198E-8</v>
      </c>
      <c r="E1425" t="s">
        <v>94</v>
      </c>
      <c r="H1425" t="s">
        <v>588</v>
      </c>
    </row>
    <row r="1426" spans="2:8">
      <c r="B1426" t="s">
        <v>3135</v>
      </c>
      <c r="C1426" t="s">
        <v>673</v>
      </c>
      <c r="D1426">
        <v>2.2969583425416899E-7</v>
      </c>
      <c r="E1426" t="s">
        <v>94</v>
      </c>
      <c r="H1426" t="s">
        <v>588</v>
      </c>
    </row>
    <row r="1427" spans="2:8">
      <c r="B1427" t="s">
        <v>3138</v>
      </c>
      <c r="C1427" t="s">
        <v>673</v>
      </c>
      <c r="D1427">
        <v>9.4048916045547005E-7</v>
      </c>
      <c r="E1427" t="s">
        <v>94</v>
      </c>
      <c r="H1427" t="s">
        <v>588</v>
      </c>
    </row>
    <row r="1428" spans="2:8">
      <c r="B1428" t="s">
        <v>3140</v>
      </c>
      <c r="C1428" t="s">
        <v>1170</v>
      </c>
      <c r="D1428">
        <v>6.3832251929833701E-7</v>
      </c>
      <c r="E1428" t="s">
        <v>626</v>
      </c>
      <c r="H1428" t="s">
        <v>588</v>
      </c>
    </row>
    <row r="1429" spans="2:8">
      <c r="B1429" t="s">
        <v>3143</v>
      </c>
      <c r="C1429" t="s">
        <v>2159</v>
      </c>
      <c r="D1429">
        <v>8.1765954409145497E-3</v>
      </c>
      <c r="E1429" t="s">
        <v>94</v>
      </c>
      <c r="H1429" t="s">
        <v>588</v>
      </c>
    </row>
    <row r="1430" spans="2:8">
      <c r="B1430" t="s">
        <v>3146</v>
      </c>
      <c r="C1430" t="s">
        <v>2661</v>
      </c>
      <c r="D1430">
        <v>1.18336789451577E-4</v>
      </c>
      <c r="E1430" t="s">
        <v>1115</v>
      </c>
      <c r="H1430" t="s">
        <v>588</v>
      </c>
    </row>
    <row r="1431" spans="2:8">
      <c r="B1431" t="s">
        <v>3146</v>
      </c>
      <c r="C1431" t="s">
        <v>2661</v>
      </c>
      <c r="D1431">
        <v>1.17624725427088E-4</v>
      </c>
      <c r="E1431" t="s">
        <v>1115</v>
      </c>
      <c r="H1431" t="s">
        <v>588</v>
      </c>
    </row>
    <row r="1432" spans="2:8">
      <c r="B1432" t="s">
        <v>3150</v>
      </c>
      <c r="C1432" t="s">
        <v>673</v>
      </c>
      <c r="D1432">
        <v>5.1088622562727296E-7</v>
      </c>
      <c r="E1432" t="s">
        <v>94</v>
      </c>
      <c r="H1432" t="s">
        <v>588</v>
      </c>
    </row>
    <row r="1433" spans="2:8">
      <c r="B1433" t="s">
        <v>3152</v>
      </c>
      <c r="C1433" t="s">
        <v>673</v>
      </c>
      <c r="D1433">
        <v>5.5284846235661403E-4</v>
      </c>
      <c r="E1433" t="s">
        <v>94</v>
      </c>
      <c r="H1433" t="s">
        <v>588</v>
      </c>
    </row>
    <row r="1434" spans="2:8">
      <c r="B1434" t="s">
        <v>3154</v>
      </c>
      <c r="C1434" t="s">
        <v>664</v>
      </c>
      <c r="D1434">
        <v>5.6311914877561001E-3</v>
      </c>
      <c r="E1434" t="s">
        <v>94</v>
      </c>
    </row>
    <row r="1435" spans="2:8">
      <c r="B1435" t="s">
        <v>3154</v>
      </c>
      <c r="C1435" t="s">
        <v>664</v>
      </c>
      <c r="D1435">
        <v>5.6311914877561001E-3</v>
      </c>
      <c r="E1435" t="s">
        <v>94</v>
      </c>
    </row>
    <row r="1436" spans="2:8">
      <c r="B1436" t="s">
        <v>3154</v>
      </c>
      <c r="C1436" t="s">
        <v>664</v>
      </c>
      <c r="D1436">
        <v>1.2829428214165999E-3</v>
      </c>
      <c r="E1436" t="s">
        <v>94</v>
      </c>
      <c r="H1436" t="s">
        <v>588</v>
      </c>
    </row>
    <row r="1437" spans="2:8">
      <c r="B1437" t="s">
        <v>3154</v>
      </c>
      <c r="C1437" t="s">
        <v>664</v>
      </c>
      <c r="D1437">
        <v>5.6311914877561001E-3</v>
      </c>
      <c r="E1437" t="s">
        <v>94</v>
      </c>
    </row>
    <row r="1438" spans="2:8">
      <c r="B1438" t="s">
        <v>3154</v>
      </c>
      <c r="C1438" t="s">
        <v>664</v>
      </c>
      <c r="D1438">
        <v>2.0807898240689501E-4</v>
      </c>
      <c r="E1438" t="s">
        <v>94</v>
      </c>
      <c r="H1438" t="s">
        <v>588</v>
      </c>
    </row>
    <row r="1439" spans="2:8">
      <c r="B1439" t="s">
        <v>3154</v>
      </c>
      <c r="C1439" t="s">
        <v>664</v>
      </c>
      <c r="D1439">
        <v>5.6438521712060398E-5</v>
      </c>
      <c r="E1439" t="s">
        <v>94</v>
      </c>
      <c r="H1439" t="s">
        <v>588</v>
      </c>
    </row>
    <row r="1440" spans="2:8">
      <c r="B1440" t="s">
        <v>3154</v>
      </c>
      <c r="C1440" t="s">
        <v>664</v>
      </c>
      <c r="D1440">
        <v>2.1728830859143301E-6</v>
      </c>
      <c r="E1440" t="s">
        <v>94</v>
      </c>
      <c r="H1440" t="s">
        <v>588</v>
      </c>
    </row>
    <row r="1441" spans="2:8">
      <c r="B1441" t="s">
        <v>3154</v>
      </c>
      <c r="C1441" t="s">
        <v>664</v>
      </c>
      <c r="D1441">
        <v>8.9673473146063595E-6</v>
      </c>
      <c r="E1441" t="s">
        <v>94</v>
      </c>
      <c r="H1441" t="s">
        <v>588</v>
      </c>
    </row>
    <row r="1442" spans="2:8">
      <c r="B1442" t="s">
        <v>3154</v>
      </c>
      <c r="C1442" t="s">
        <v>664</v>
      </c>
      <c r="D1442">
        <v>2.7214525812463801E-5</v>
      </c>
      <c r="E1442" t="s">
        <v>94</v>
      </c>
      <c r="H1442" t="s">
        <v>588</v>
      </c>
    </row>
    <row r="1443" spans="2:8">
      <c r="B1443" t="s">
        <v>3154</v>
      </c>
      <c r="C1443" t="s">
        <v>664</v>
      </c>
      <c r="D1443">
        <v>5.6311914877561001E-3</v>
      </c>
      <c r="E1443" t="s">
        <v>94</v>
      </c>
    </row>
    <row r="1444" spans="2:8">
      <c r="B1444" t="s">
        <v>3158</v>
      </c>
      <c r="C1444" t="s">
        <v>3159</v>
      </c>
      <c r="D1444">
        <v>2.6753753926657398E-13</v>
      </c>
      <c r="E1444" t="s">
        <v>616</v>
      </c>
      <c r="H1444" t="s">
        <v>588</v>
      </c>
    </row>
    <row r="1445" spans="2:8">
      <c r="B1445" t="s">
        <v>684</v>
      </c>
      <c r="C1445" t="s">
        <v>685</v>
      </c>
      <c r="D1445">
        <v>6.5349308491262003E-3</v>
      </c>
      <c r="E1445" t="s">
        <v>640</v>
      </c>
      <c r="H1445" t="s">
        <v>588</v>
      </c>
    </row>
    <row r="1446" spans="2:8">
      <c r="B1446" t="s">
        <v>684</v>
      </c>
      <c r="C1446" t="s">
        <v>685</v>
      </c>
      <c r="D1446">
        <v>2.7209124102365399E-3</v>
      </c>
      <c r="E1446" t="s">
        <v>640</v>
      </c>
      <c r="H1446" t="s">
        <v>588</v>
      </c>
    </row>
    <row r="1447" spans="2:8">
      <c r="B1447" t="s">
        <v>684</v>
      </c>
      <c r="C1447" t="s">
        <v>685</v>
      </c>
      <c r="D1447">
        <v>9.8067703324928904E-5</v>
      </c>
      <c r="E1447" t="s">
        <v>640</v>
      </c>
      <c r="H1447" t="s">
        <v>588</v>
      </c>
    </row>
    <row r="1448" spans="2:8">
      <c r="B1448" t="s">
        <v>684</v>
      </c>
      <c r="C1448" t="s">
        <v>685</v>
      </c>
      <c r="D1448">
        <v>1.7218053889128101E-4</v>
      </c>
      <c r="E1448" t="s">
        <v>640</v>
      </c>
      <c r="H1448" t="s">
        <v>588</v>
      </c>
    </row>
    <row r="1449" spans="2:8">
      <c r="B1449" t="s">
        <v>684</v>
      </c>
      <c r="C1449" t="s">
        <v>685</v>
      </c>
      <c r="D1449">
        <v>2.9773721045909798E-3</v>
      </c>
      <c r="E1449" t="s">
        <v>640</v>
      </c>
      <c r="H1449" t="s">
        <v>588</v>
      </c>
    </row>
    <row r="1450" spans="2:8">
      <c r="B1450" t="s">
        <v>684</v>
      </c>
      <c r="C1450" t="s">
        <v>685</v>
      </c>
      <c r="D1450">
        <v>3.78610095636683E-5</v>
      </c>
      <c r="E1450" t="s">
        <v>640</v>
      </c>
      <c r="H1450" t="s">
        <v>588</v>
      </c>
    </row>
    <row r="1451" spans="2:8">
      <c r="B1451" t="s">
        <v>684</v>
      </c>
      <c r="C1451" t="s">
        <v>685</v>
      </c>
      <c r="D1451">
        <v>1.15880135596641E-5</v>
      </c>
      <c r="E1451" t="s">
        <v>640</v>
      </c>
      <c r="H1451" t="s">
        <v>588</v>
      </c>
    </row>
    <row r="1452" spans="2:8">
      <c r="B1452" t="s">
        <v>684</v>
      </c>
      <c r="C1452" t="s">
        <v>685</v>
      </c>
      <c r="D1452">
        <v>3.1623941067828901E-3</v>
      </c>
      <c r="E1452" t="s">
        <v>640</v>
      </c>
      <c r="H1452" t="s">
        <v>588</v>
      </c>
    </row>
    <row r="1453" spans="2:8">
      <c r="B1453" t="s">
        <v>684</v>
      </c>
      <c r="C1453" t="s">
        <v>685</v>
      </c>
      <c r="D1453">
        <v>2.2580072136259799E-5</v>
      </c>
      <c r="E1453" t="s">
        <v>640</v>
      </c>
      <c r="H1453" t="s">
        <v>588</v>
      </c>
    </row>
    <row r="1454" spans="2:8">
      <c r="B1454" t="s">
        <v>684</v>
      </c>
      <c r="C1454" t="s">
        <v>685</v>
      </c>
      <c r="D1454">
        <v>1.00888173983956E-4</v>
      </c>
      <c r="E1454" t="s">
        <v>640</v>
      </c>
      <c r="H1454" t="s">
        <v>588</v>
      </c>
    </row>
    <row r="1455" spans="2:8">
      <c r="B1455" t="s">
        <v>684</v>
      </c>
      <c r="C1455" t="s">
        <v>685</v>
      </c>
      <c r="D1455">
        <v>1.4596580643907199E-3</v>
      </c>
      <c r="E1455" t="s">
        <v>640</v>
      </c>
      <c r="H1455" t="s">
        <v>588</v>
      </c>
    </row>
    <row r="1456" spans="2:8">
      <c r="B1456" t="s">
        <v>684</v>
      </c>
      <c r="C1456" t="s">
        <v>685</v>
      </c>
      <c r="D1456">
        <v>1.9534080000576699E-5</v>
      </c>
      <c r="E1456" t="s">
        <v>640</v>
      </c>
      <c r="H1456" t="s">
        <v>588</v>
      </c>
    </row>
    <row r="1457" spans="2:8">
      <c r="B1457" t="s">
        <v>684</v>
      </c>
      <c r="C1457" t="s">
        <v>685</v>
      </c>
      <c r="D1457">
        <v>1.6495213020829299E-4</v>
      </c>
      <c r="E1457" t="s">
        <v>640</v>
      </c>
      <c r="H1457" t="s">
        <v>588</v>
      </c>
    </row>
    <row r="1458" spans="2:8">
      <c r="B1458" t="s">
        <v>684</v>
      </c>
      <c r="C1458" t="s">
        <v>685</v>
      </c>
      <c r="D1458">
        <v>2.9058828073081099E-3</v>
      </c>
      <c r="E1458" t="s">
        <v>640</v>
      </c>
      <c r="H1458" t="s">
        <v>588</v>
      </c>
    </row>
    <row r="1459" spans="2:8">
      <c r="B1459" t="s">
        <v>684</v>
      </c>
      <c r="C1459" t="s">
        <v>685</v>
      </c>
      <c r="D1459">
        <v>1.6849817773590401E-3</v>
      </c>
      <c r="E1459" t="s">
        <v>640</v>
      </c>
      <c r="H1459" t="s">
        <v>588</v>
      </c>
    </row>
    <row r="1460" spans="2:8">
      <c r="B1460" t="s">
        <v>684</v>
      </c>
      <c r="C1460" t="s">
        <v>685</v>
      </c>
      <c r="D1460">
        <v>9.0449569784752408E-6</v>
      </c>
      <c r="E1460" t="s">
        <v>640</v>
      </c>
      <c r="H1460" t="s">
        <v>588</v>
      </c>
    </row>
    <row r="1461" spans="2:8">
      <c r="B1461" t="s">
        <v>684</v>
      </c>
      <c r="C1461" t="s">
        <v>685</v>
      </c>
      <c r="D1461">
        <v>1.8207107926284101E-5</v>
      </c>
      <c r="E1461" t="s">
        <v>640</v>
      </c>
      <c r="H1461" t="s">
        <v>588</v>
      </c>
    </row>
    <row r="1462" spans="2:8">
      <c r="B1462" t="s">
        <v>684</v>
      </c>
      <c r="C1462" t="s">
        <v>685</v>
      </c>
      <c r="D1462">
        <v>2.50832845525078E-4</v>
      </c>
      <c r="E1462" t="s">
        <v>640</v>
      </c>
      <c r="H1462" t="s">
        <v>588</v>
      </c>
    </row>
    <row r="1463" spans="2:8">
      <c r="B1463" t="s">
        <v>684</v>
      </c>
      <c r="C1463" t="s">
        <v>685</v>
      </c>
      <c r="D1463">
        <v>1.61238931530184E-5</v>
      </c>
      <c r="E1463" t="s">
        <v>640</v>
      </c>
      <c r="H1463" t="s">
        <v>588</v>
      </c>
    </row>
    <row r="1464" spans="2:8">
      <c r="B1464" t="s">
        <v>684</v>
      </c>
      <c r="C1464" t="s">
        <v>685</v>
      </c>
      <c r="D1464">
        <v>5.2195986700491702E-5</v>
      </c>
      <c r="E1464" t="s">
        <v>640</v>
      </c>
      <c r="H1464" t="s">
        <v>588</v>
      </c>
    </row>
    <row r="1465" spans="2:8">
      <c r="B1465" t="s">
        <v>684</v>
      </c>
      <c r="C1465" t="s">
        <v>685</v>
      </c>
      <c r="D1465">
        <v>1.0315022316008001E-3</v>
      </c>
      <c r="E1465" t="s">
        <v>640</v>
      </c>
      <c r="H1465" t="s">
        <v>588</v>
      </c>
    </row>
    <row r="1466" spans="2:8">
      <c r="B1466" t="s">
        <v>684</v>
      </c>
      <c r="C1466" t="s">
        <v>685</v>
      </c>
      <c r="D1466">
        <v>4.6408995792814802E-6</v>
      </c>
      <c r="E1466" t="s">
        <v>640</v>
      </c>
      <c r="H1466" t="s">
        <v>588</v>
      </c>
    </row>
    <row r="1467" spans="2:8">
      <c r="B1467" t="s">
        <v>684</v>
      </c>
      <c r="C1467" t="s">
        <v>685</v>
      </c>
      <c r="D1467">
        <v>1.3397155417724899E-4</v>
      </c>
      <c r="E1467" t="s">
        <v>640</v>
      </c>
      <c r="H1467" t="s">
        <v>588</v>
      </c>
    </row>
    <row r="1468" spans="2:8">
      <c r="B1468" t="s">
        <v>684</v>
      </c>
      <c r="C1468" t="s">
        <v>685</v>
      </c>
      <c r="D1468">
        <v>1.36096749693585E-2</v>
      </c>
      <c r="E1468" t="s">
        <v>640</v>
      </c>
      <c r="H1468" t="s">
        <v>588</v>
      </c>
    </row>
    <row r="1469" spans="2:8">
      <c r="B1469" t="s">
        <v>684</v>
      </c>
      <c r="C1469" t="s">
        <v>685</v>
      </c>
      <c r="D1469">
        <v>3.0594283837067299E-5</v>
      </c>
      <c r="E1469" t="s">
        <v>640</v>
      </c>
      <c r="H1469" t="s">
        <v>588</v>
      </c>
    </row>
    <row r="1470" spans="2:8">
      <c r="B1470" t="s">
        <v>684</v>
      </c>
      <c r="C1470" t="s">
        <v>685</v>
      </c>
      <c r="D1470">
        <v>3.6088385085811201E-6</v>
      </c>
      <c r="E1470" t="s">
        <v>640</v>
      </c>
      <c r="H1470" t="s">
        <v>588</v>
      </c>
    </row>
    <row r="1471" spans="2:8">
      <c r="B1471" t="s">
        <v>684</v>
      </c>
      <c r="C1471" t="s">
        <v>685</v>
      </c>
      <c r="D1471">
        <v>1.7491344595130901E-4</v>
      </c>
      <c r="E1471" t="s">
        <v>640</v>
      </c>
      <c r="H1471" t="s">
        <v>588</v>
      </c>
    </row>
    <row r="1472" spans="2:8">
      <c r="B1472" t="s">
        <v>684</v>
      </c>
      <c r="C1472" t="s">
        <v>685</v>
      </c>
      <c r="D1472">
        <v>1.49815363965523E-4</v>
      </c>
      <c r="E1472" t="s">
        <v>640</v>
      </c>
      <c r="H1472" t="s">
        <v>588</v>
      </c>
    </row>
    <row r="1473" spans="2:8">
      <c r="B1473" t="s">
        <v>684</v>
      </c>
      <c r="C1473" t="s">
        <v>685</v>
      </c>
      <c r="D1473">
        <v>2.3054221151396E-4</v>
      </c>
      <c r="E1473" t="s">
        <v>640</v>
      </c>
      <c r="H1473" t="s">
        <v>588</v>
      </c>
    </row>
    <row r="1474" spans="2:8">
      <c r="B1474" t="s">
        <v>684</v>
      </c>
      <c r="C1474" t="s">
        <v>685</v>
      </c>
      <c r="D1474">
        <v>3.6551905628197701E-5</v>
      </c>
      <c r="E1474" t="s">
        <v>640</v>
      </c>
      <c r="H1474" t="s">
        <v>588</v>
      </c>
    </row>
    <row r="1475" spans="2:8">
      <c r="B1475" t="s">
        <v>3168</v>
      </c>
      <c r="C1475" t="s">
        <v>2377</v>
      </c>
      <c r="D1475">
        <v>7.3164495247883803E-4</v>
      </c>
      <c r="E1475" t="s">
        <v>640</v>
      </c>
      <c r="H1475" t="s">
        <v>588</v>
      </c>
    </row>
    <row r="1476" spans="2:8">
      <c r="B1476" t="s">
        <v>3171</v>
      </c>
      <c r="C1476" t="s">
        <v>3159</v>
      </c>
      <c r="D1476">
        <v>4.9808090395340099E-3</v>
      </c>
      <c r="E1476" t="s">
        <v>640</v>
      </c>
      <c r="H1476" t="s">
        <v>588</v>
      </c>
    </row>
    <row r="1477" spans="2:8">
      <c r="B1477" t="s">
        <v>3174</v>
      </c>
      <c r="C1477" t="s">
        <v>691</v>
      </c>
      <c r="D1477">
        <v>2.8755691304971798E-4</v>
      </c>
      <c r="E1477" t="s">
        <v>640</v>
      </c>
      <c r="H1477" t="s">
        <v>588</v>
      </c>
    </row>
    <row r="1478" spans="2:8">
      <c r="B1478" t="s">
        <v>3176</v>
      </c>
      <c r="C1478" t="s">
        <v>3177</v>
      </c>
      <c r="D1478">
        <v>2.6713608749755699E-7</v>
      </c>
      <c r="E1478" t="s">
        <v>94</v>
      </c>
      <c r="H1478" t="s">
        <v>588</v>
      </c>
    </row>
    <row r="1479" spans="2:8">
      <c r="B1479" t="s">
        <v>688</v>
      </c>
      <c r="C1479" t="s">
        <v>667</v>
      </c>
      <c r="D1479">
        <v>5.2959188960539699E-5</v>
      </c>
      <c r="E1479" t="s">
        <v>94</v>
      </c>
      <c r="H1479" t="s">
        <v>588</v>
      </c>
    </row>
    <row r="1480" spans="2:8">
      <c r="B1480" t="s">
        <v>3180</v>
      </c>
      <c r="C1480" t="s">
        <v>587</v>
      </c>
      <c r="D1480">
        <v>1.08710813887327E-7</v>
      </c>
      <c r="E1480" t="s">
        <v>94</v>
      </c>
      <c r="H1480" t="s">
        <v>588</v>
      </c>
    </row>
    <row r="1481" spans="2:8">
      <c r="B1481" t="s">
        <v>3181</v>
      </c>
      <c r="C1481" t="s">
        <v>1138</v>
      </c>
      <c r="D1481">
        <v>1.2534281538987601E-3</v>
      </c>
      <c r="E1481" t="s">
        <v>94</v>
      </c>
      <c r="H1481" t="s">
        <v>588</v>
      </c>
    </row>
    <row r="1482" spans="2:8">
      <c r="B1482" t="s">
        <v>1314</v>
      </c>
      <c r="C1482" t="s">
        <v>809</v>
      </c>
      <c r="D1482">
        <v>3.3900219886644799E-5</v>
      </c>
      <c r="E1482" t="s">
        <v>94</v>
      </c>
      <c r="H1482" t="s">
        <v>588</v>
      </c>
    </row>
    <row r="1483" spans="2:8">
      <c r="B1483" t="s">
        <v>1314</v>
      </c>
      <c r="C1483" t="s">
        <v>809</v>
      </c>
      <c r="D1483">
        <v>3.9980717943414402E-5</v>
      </c>
      <c r="E1483" t="s">
        <v>94</v>
      </c>
      <c r="H1483" t="s">
        <v>588</v>
      </c>
    </row>
    <row r="1484" spans="2:8">
      <c r="B1484" t="s">
        <v>1314</v>
      </c>
      <c r="C1484" t="s">
        <v>809</v>
      </c>
      <c r="D1484">
        <v>5.56229509752387E-6</v>
      </c>
      <c r="E1484" t="s">
        <v>94</v>
      </c>
      <c r="H1484" t="s">
        <v>588</v>
      </c>
    </row>
    <row r="1485" spans="2:8">
      <c r="B1485" t="s">
        <v>1314</v>
      </c>
      <c r="C1485" t="s">
        <v>809</v>
      </c>
      <c r="D1485">
        <v>9.84781497966702E-6</v>
      </c>
      <c r="E1485" t="s">
        <v>94</v>
      </c>
      <c r="H1485" t="s">
        <v>588</v>
      </c>
    </row>
    <row r="1486" spans="2:8">
      <c r="B1486" t="s">
        <v>1314</v>
      </c>
      <c r="C1486" t="s">
        <v>809</v>
      </c>
      <c r="D1486">
        <v>8.2647031916111199E-6</v>
      </c>
      <c r="E1486" t="s">
        <v>94</v>
      </c>
      <c r="H1486" t="s">
        <v>588</v>
      </c>
    </row>
    <row r="1487" spans="2:8">
      <c r="B1487" t="s">
        <v>1314</v>
      </c>
      <c r="C1487" t="s">
        <v>809</v>
      </c>
      <c r="D1487">
        <v>2.0552792244386101E-5</v>
      </c>
      <c r="E1487" t="s">
        <v>94</v>
      </c>
      <c r="H1487" t="s">
        <v>588</v>
      </c>
    </row>
    <row r="1488" spans="2:8">
      <c r="B1488" t="s">
        <v>1314</v>
      </c>
      <c r="C1488" t="s">
        <v>809</v>
      </c>
      <c r="D1488">
        <v>8.2341149621838099E-6</v>
      </c>
      <c r="E1488" t="s">
        <v>94</v>
      </c>
      <c r="H1488" t="s">
        <v>588</v>
      </c>
    </row>
    <row r="1489" spans="2:8">
      <c r="B1489" t="s">
        <v>1314</v>
      </c>
      <c r="C1489" t="s">
        <v>809</v>
      </c>
      <c r="D1489">
        <v>2.67282807673114E-5</v>
      </c>
      <c r="E1489" t="s">
        <v>94</v>
      </c>
      <c r="H1489" t="s">
        <v>588</v>
      </c>
    </row>
    <row r="1490" spans="2:8">
      <c r="B1490" t="s">
        <v>1314</v>
      </c>
      <c r="C1490" t="s">
        <v>809</v>
      </c>
      <c r="D1490">
        <v>7.8137837258914706E-5</v>
      </c>
      <c r="E1490" t="s">
        <v>94</v>
      </c>
      <c r="H1490" t="s">
        <v>588</v>
      </c>
    </row>
    <row r="1491" spans="2:8">
      <c r="B1491" t="s">
        <v>1314</v>
      </c>
      <c r="C1491" t="s">
        <v>809</v>
      </c>
      <c r="D1491">
        <v>7.0369560067020895E-7</v>
      </c>
      <c r="E1491" t="s">
        <v>94</v>
      </c>
      <c r="H1491" t="s">
        <v>588</v>
      </c>
    </row>
    <row r="1492" spans="2:8">
      <c r="B1492" t="s">
        <v>3184</v>
      </c>
      <c r="C1492" t="s">
        <v>1635</v>
      </c>
      <c r="D1492">
        <v>1.3277804160355501E-6</v>
      </c>
      <c r="E1492" t="s">
        <v>94</v>
      </c>
      <c r="H1492" t="s">
        <v>588</v>
      </c>
    </row>
    <row r="1493" spans="2:8">
      <c r="B1493" t="s">
        <v>1317</v>
      </c>
      <c r="C1493" t="s">
        <v>673</v>
      </c>
      <c r="D1493">
        <v>8.6546692102617499E-4</v>
      </c>
      <c r="E1493" t="s">
        <v>94</v>
      </c>
      <c r="H1493" t="s">
        <v>588</v>
      </c>
    </row>
    <row r="1494" spans="2:8">
      <c r="B1494" t="s">
        <v>1317</v>
      </c>
      <c r="C1494" t="s">
        <v>673</v>
      </c>
      <c r="D1494">
        <v>9.1408933410101195E-5</v>
      </c>
      <c r="E1494" t="s">
        <v>94</v>
      </c>
      <c r="H1494" t="s">
        <v>588</v>
      </c>
    </row>
    <row r="1495" spans="2:8">
      <c r="B1495" t="s">
        <v>1317</v>
      </c>
      <c r="C1495" t="s">
        <v>673</v>
      </c>
      <c r="D1495">
        <v>4.7623033427282202E-6</v>
      </c>
      <c r="E1495" t="s">
        <v>94</v>
      </c>
      <c r="H1495" t="s">
        <v>588</v>
      </c>
    </row>
    <row r="1496" spans="2:8">
      <c r="B1496" t="s">
        <v>3188</v>
      </c>
      <c r="C1496" t="s">
        <v>708</v>
      </c>
      <c r="D1496">
        <v>1.9430056368549001E-5</v>
      </c>
      <c r="E1496" t="s">
        <v>94</v>
      </c>
      <c r="H1496" t="s">
        <v>588</v>
      </c>
    </row>
    <row r="1497" spans="2:8">
      <c r="B1497" t="s">
        <v>3191</v>
      </c>
      <c r="C1497" t="s">
        <v>597</v>
      </c>
      <c r="D1497">
        <v>6.8714971102054405E-4</v>
      </c>
      <c r="E1497" t="s">
        <v>94</v>
      </c>
      <c r="H1497" t="s">
        <v>588</v>
      </c>
    </row>
    <row r="1498" spans="2:8">
      <c r="B1498" t="s">
        <v>3195</v>
      </c>
      <c r="C1498" t="s">
        <v>673</v>
      </c>
      <c r="D1498">
        <v>4.2993215781476401E-8</v>
      </c>
      <c r="E1498" t="s">
        <v>94</v>
      </c>
      <c r="H1498" t="s">
        <v>588</v>
      </c>
    </row>
    <row r="1499" spans="2:8">
      <c r="B1499" t="s">
        <v>3197</v>
      </c>
      <c r="C1499" t="s">
        <v>673</v>
      </c>
      <c r="D1499">
        <v>4.5058176847806098E-8</v>
      </c>
      <c r="E1499" t="s">
        <v>94</v>
      </c>
      <c r="H1499" t="s">
        <v>588</v>
      </c>
    </row>
    <row r="1500" spans="2:8">
      <c r="B1500" t="s">
        <v>3200</v>
      </c>
      <c r="C1500" t="s">
        <v>673</v>
      </c>
      <c r="D1500">
        <v>3.8643160286729601E-8</v>
      </c>
      <c r="E1500" t="s">
        <v>94</v>
      </c>
      <c r="H1500" t="s">
        <v>588</v>
      </c>
    </row>
    <row r="1501" spans="2:8">
      <c r="B1501" t="s">
        <v>3202</v>
      </c>
      <c r="C1501" t="s">
        <v>673</v>
      </c>
      <c r="D1501">
        <v>1.3139855038621199E-6</v>
      </c>
      <c r="E1501" t="s">
        <v>94</v>
      </c>
      <c r="H1501" t="s">
        <v>588</v>
      </c>
    </row>
    <row r="1502" spans="2:8">
      <c r="B1502" t="s">
        <v>3205</v>
      </c>
      <c r="C1502" t="s">
        <v>2739</v>
      </c>
      <c r="D1502">
        <v>4.4141819675506701E-14</v>
      </c>
      <c r="E1502" t="s">
        <v>616</v>
      </c>
      <c r="H1502" t="s">
        <v>588</v>
      </c>
    </row>
    <row r="1503" spans="2:8">
      <c r="B1503" t="s">
        <v>3205</v>
      </c>
      <c r="C1503" t="s">
        <v>2739</v>
      </c>
      <c r="D1503">
        <v>4.3846137882743201E-13</v>
      </c>
      <c r="E1503" t="s">
        <v>616</v>
      </c>
      <c r="H1503" t="s">
        <v>588</v>
      </c>
    </row>
    <row r="1504" spans="2:8">
      <c r="B1504" t="s">
        <v>3205</v>
      </c>
      <c r="C1504" t="s">
        <v>2739</v>
      </c>
      <c r="D1504">
        <v>2.64851082001713E-13</v>
      </c>
      <c r="E1504" t="s">
        <v>616</v>
      </c>
      <c r="H1504" t="s">
        <v>588</v>
      </c>
    </row>
    <row r="1505" spans="2:8">
      <c r="B1505" t="s">
        <v>3205</v>
      </c>
      <c r="C1505" t="s">
        <v>2739</v>
      </c>
      <c r="D1505">
        <v>4.6280175543953401E-14</v>
      </c>
      <c r="E1505" t="s">
        <v>616</v>
      </c>
      <c r="H1505" t="s">
        <v>588</v>
      </c>
    </row>
    <row r="1506" spans="2:8">
      <c r="B1506" t="s">
        <v>3209</v>
      </c>
      <c r="C1506" t="s">
        <v>2739</v>
      </c>
      <c r="D1506">
        <v>4.9182204001292198E-14</v>
      </c>
      <c r="E1506" t="s">
        <v>616</v>
      </c>
      <c r="H1506" t="s">
        <v>588</v>
      </c>
    </row>
    <row r="1507" spans="2:8">
      <c r="B1507" t="s">
        <v>3209</v>
      </c>
      <c r="C1507" t="s">
        <v>2739</v>
      </c>
      <c r="D1507">
        <v>1.96728965329868E-13</v>
      </c>
      <c r="E1507" t="s">
        <v>616</v>
      </c>
      <c r="H1507" t="s">
        <v>588</v>
      </c>
    </row>
    <row r="1508" spans="2:8">
      <c r="B1508" t="s">
        <v>3209</v>
      </c>
      <c r="C1508" t="s">
        <v>2739</v>
      </c>
      <c r="D1508">
        <v>4.9182145576249301E-14</v>
      </c>
      <c r="E1508" t="s">
        <v>616</v>
      </c>
      <c r="H1508" t="s">
        <v>588</v>
      </c>
    </row>
    <row r="1509" spans="2:8">
      <c r="B1509" t="s">
        <v>3209</v>
      </c>
      <c r="C1509" t="s">
        <v>2739</v>
      </c>
      <c r="D1509">
        <v>2.9509344799480199E-13</v>
      </c>
      <c r="E1509" t="s">
        <v>616</v>
      </c>
      <c r="H1509" t="s">
        <v>588</v>
      </c>
    </row>
    <row r="1510" spans="2:8">
      <c r="B1510" t="s">
        <v>3209</v>
      </c>
      <c r="C1510" t="s">
        <v>2739</v>
      </c>
      <c r="D1510">
        <v>4.9182207342638603E-14</v>
      </c>
      <c r="E1510" t="s">
        <v>616</v>
      </c>
      <c r="H1510" t="s">
        <v>588</v>
      </c>
    </row>
    <row r="1511" spans="2:8">
      <c r="B1511" t="s">
        <v>3209</v>
      </c>
      <c r="C1511" t="s">
        <v>2739</v>
      </c>
      <c r="D1511">
        <v>1.17892762422519E-12</v>
      </c>
      <c r="E1511" t="s">
        <v>616</v>
      </c>
      <c r="H1511" t="s">
        <v>588</v>
      </c>
    </row>
    <row r="1512" spans="2:8">
      <c r="B1512" t="s">
        <v>3213</v>
      </c>
      <c r="C1512" t="s">
        <v>2739</v>
      </c>
      <c r="D1512">
        <v>1.77575015110234E-12</v>
      </c>
      <c r="E1512" t="s">
        <v>616</v>
      </c>
      <c r="H1512" t="s">
        <v>588</v>
      </c>
    </row>
    <row r="1513" spans="2:8">
      <c r="B1513" t="s">
        <v>3213</v>
      </c>
      <c r="C1513" t="s">
        <v>2739</v>
      </c>
      <c r="D1513">
        <v>1.22469506215101E-13</v>
      </c>
      <c r="E1513" t="s">
        <v>616</v>
      </c>
      <c r="H1513" t="s">
        <v>588</v>
      </c>
    </row>
    <row r="1514" spans="2:8">
      <c r="B1514" t="s">
        <v>1319</v>
      </c>
      <c r="C1514" t="s">
        <v>701</v>
      </c>
      <c r="D1514">
        <v>2.0422389552644501E-6</v>
      </c>
      <c r="E1514" t="s">
        <v>94</v>
      </c>
      <c r="H1514" t="s">
        <v>588</v>
      </c>
    </row>
    <row r="1515" spans="2:8">
      <c r="B1515" t="s">
        <v>1319</v>
      </c>
      <c r="C1515" t="s">
        <v>701</v>
      </c>
      <c r="D1515">
        <v>6.7877653435351501E-6</v>
      </c>
      <c r="E1515" t="s">
        <v>94</v>
      </c>
      <c r="H1515" t="s">
        <v>588</v>
      </c>
    </row>
    <row r="1516" spans="2:8">
      <c r="B1516" t="s">
        <v>3218</v>
      </c>
      <c r="C1516" t="s">
        <v>701</v>
      </c>
      <c r="D1516">
        <v>4.3392335991781203E-6</v>
      </c>
      <c r="E1516" t="s">
        <v>94</v>
      </c>
      <c r="H1516" t="s">
        <v>1733</v>
      </c>
    </row>
    <row r="1517" spans="2:8">
      <c r="B1517" t="s">
        <v>3222</v>
      </c>
      <c r="C1517" t="s">
        <v>621</v>
      </c>
      <c r="D1517">
        <v>1.34430472523319E-2</v>
      </c>
      <c r="E1517" t="s">
        <v>622</v>
      </c>
      <c r="H1517" t="s">
        <v>588</v>
      </c>
    </row>
    <row r="1518" spans="2:8">
      <c r="B1518" t="s">
        <v>849</v>
      </c>
      <c r="C1518" t="s">
        <v>621</v>
      </c>
      <c r="D1518">
        <v>1.93547984749927E-4</v>
      </c>
      <c r="E1518" t="s">
        <v>622</v>
      </c>
      <c r="H1518" t="s">
        <v>588</v>
      </c>
    </row>
    <row r="1519" spans="2:8">
      <c r="B1519" t="s">
        <v>3224</v>
      </c>
      <c r="C1519" t="s">
        <v>621</v>
      </c>
      <c r="D1519">
        <v>1.75748662064515E-3</v>
      </c>
      <c r="E1519" t="s">
        <v>622</v>
      </c>
      <c r="H1519" t="s">
        <v>588</v>
      </c>
    </row>
    <row r="1520" spans="2:8">
      <c r="B1520" t="s">
        <v>850</v>
      </c>
      <c r="C1520" t="s">
        <v>621</v>
      </c>
      <c r="D1520">
        <v>3.8840589677131797E-2</v>
      </c>
      <c r="E1520" t="s">
        <v>622</v>
      </c>
      <c r="H1520" t="s">
        <v>588</v>
      </c>
    </row>
    <row r="1521" spans="2:8">
      <c r="B1521" t="s">
        <v>1322</v>
      </c>
      <c r="C1521" t="s">
        <v>621</v>
      </c>
      <c r="D1521">
        <v>1.27592078457577E-10</v>
      </c>
      <c r="E1521" t="s">
        <v>622</v>
      </c>
      <c r="H1521" t="s">
        <v>588</v>
      </c>
    </row>
    <row r="1522" spans="2:8">
      <c r="B1522" t="s">
        <v>3225</v>
      </c>
      <c r="C1522" t="s">
        <v>621</v>
      </c>
      <c r="D1522">
        <v>8.8728873611340503E-5</v>
      </c>
      <c r="E1522" t="s">
        <v>622</v>
      </c>
      <c r="H1522" t="s">
        <v>588</v>
      </c>
    </row>
    <row r="1523" spans="2:8">
      <c r="B1523" t="s">
        <v>620</v>
      </c>
      <c r="C1523" t="s">
        <v>621</v>
      </c>
      <c r="D1523">
        <v>9.9374146895380203E-4</v>
      </c>
      <c r="E1523" t="s">
        <v>622</v>
      </c>
      <c r="H1523" t="s">
        <v>588</v>
      </c>
    </row>
    <row r="1524" spans="2:8">
      <c r="B1524" t="s">
        <v>3227</v>
      </c>
      <c r="C1524" t="s">
        <v>621</v>
      </c>
      <c r="D1524">
        <v>7.3219647567462895E-2</v>
      </c>
      <c r="E1524" t="s">
        <v>622</v>
      </c>
      <c r="H1524" t="s">
        <v>588</v>
      </c>
    </row>
    <row r="1525" spans="2:8">
      <c r="B1525" t="s">
        <v>3229</v>
      </c>
      <c r="C1525" t="s">
        <v>621</v>
      </c>
      <c r="D1525">
        <v>1.19047081523271E-5</v>
      </c>
      <c r="E1525" t="s">
        <v>622</v>
      </c>
      <c r="H1525" t="s">
        <v>588</v>
      </c>
    </row>
    <row r="1526" spans="2:8">
      <c r="B1526" t="s">
        <v>3231</v>
      </c>
      <c r="C1526" t="s">
        <v>621</v>
      </c>
      <c r="D1526">
        <v>8.4263603513794205E-4</v>
      </c>
      <c r="E1526" t="s">
        <v>622</v>
      </c>
      <c r="H1526" t="s">
        <v>588</v>
      </c>
    </row>
    <row r="1527" spans="2:8">
      <c r="B1527" t="s">
        <v>3233</v>
      </c>
      <c r="C1527" t="s">
        <v>3234</v>
      </c>
      <c r="D1527">
        <v>8.1338232743541798E-13</v>
      </c>
      <c r="E1527" t="s">
        <v>616</v>
      </c>
      <c r="H1527" t="s">
        <v>588</v>
      </c>
    </row>
    <row r="1528" spans="2:8">
      <c r="B1528" t="s">
        <v>3238</v>
      </c>
      <c r="C1528" t="s">
        <v>3234</v>
      </c>
      <c r="D1528">
        <v>2.9642183637973398E-12</v>
      </c>
      <c r="E1528" t="s">
        <v>616</v>
      </c>
      <c r="H1528" t="s">
        <v>588</v>
      </c>
    </row>
    <row r="1529" spans="2:8">
      <c r="B1529" t="s">
        <v>3242</v>
      </c>
      <c r="C1529" t="s">
        <v>3243</v>
      </c>
      <c r="D1529">
        <v>1.59306610893291E-7</v>
      </c>
      <c r="E1529" t="s">
        <v>1171</v>
      </c>
      <c r="H1529" t="s">
        <v>588</v>
      </c>
    </row>
    <row r="1530" spans="2:8">
      <c r="B1530" t="s">
        <v>3245</v>
      </c>
      <c r="C1530" t="s">
        <v>2629</v>
      </c>
      <c r="D1530">
        <v>1.4544006848439099E-8</v>
      </c>
      <c r="E1530" t="s">
        <v>616</v>
      </c>
      <c r="H1530" t="s">
        <v>588</v>
      </c>
    </row>
    <row r="1531" spans="2:8">
      <c r="B1531" t="s">
        <v>3248</v>
      </c>
      <c r="C1531" t="s">
        <v>615</v>
      </c>
      <c r="D1531">
        <v>6.6669462153779397E-12</v>
      </c>
      <c r="E1531" t="s">
        <v>616</v>
      </c>
      <c r="H1531" t="s">
        <v>588</v>
      </c>
    </row>
    <row r="1532" spans="2:8">
      <c r="B1532" t="s">
        <v>3252</v>
      </c>
      <c r="C1532" t="s">
        <v>2739</v>
      </c>
      <c r="D1532">
        <v>9.0804769015350096E-12</v>
      </c>
      <c r="E1532" t="s">
        <v>616</v>
      </c>
      <c r="H1532" t="s">
        <v>588</v>
      </c>
    </row>
    <row r="1533" spans="2:8">
      <c r="B1533" t="s">
        <v>3252</v>
      </c>
      <c r="C1533" t="s">
        <v>2739</v>
      </c>
      <c r="D1533">
        <v>1.9489285715566201E-11</v>
      </c>
      <c r="E1533" t="s">
        <v>616</v>
      </c>
      <c r="H1533" t="s">
        <v>588</v>
      </c>
    </row>
    <row r="1534" spans="2:8">
      <c r="B1534" t="s">
        <v>3257</v>
      </c>
      <c r="C1534" t="s">
        <v>3258</v>
      </c>
      <c r="D1534">
        <v>4.9326294609209798E-9</v>
      </c>
      <c r="E1534" t="s">
        <v>616</v>
      </c>
      <c r="H1534" t="s">
        <v>588</v>
      </c>
    </row>
    <row r="1535" spans="2:8">
      <c r="B1535" t="s">
        <v>3260</v>
      </c>
      <c r="C1535" t="s">
        <v>587</v>
      </c>
      <c r="D1535">
        <v>0.12521438311996899</v>
      </c>
      <c r="E1535" t="s">
        <v>94</v>
      </c>
      <c r="H1535" t="s">
        <v>588</v>
      </c>
    </row>
    <row r="1536" spans="2:8">
      <c r="B1536" t="s">
        <v>3262</v>
      </c>
      <c r="C1536" t="s">
        <v>3263</v>
      </c>
      <c r="D1536">
        <v>1.1746222518009999E-3</v>
      </c>
      <c r="E1536" t="s">
        <v>94</v>
      </c>
    </row>
    <row r="1537" spans="2:8">
      <c r="B1537" t="s">
        <v>3262</v>
      </c>
      <c r="C1537" t="s">
        <v>3263</v>
      </c>
      <c r="D1537">
        <v>3.9051292054959302E-4</v>
      </c>
      <c r="E1537" t="s">
        <v>94</v>
      </c>
    </row>
    <row r="1538" spans="2:8">
      <c r="B1538" t="s">
        <v>3262</v>
      </c>
      <c r="C1538" t="s">
        <v>3263</v>
      </c>
      <c r="D1538">
        <v>7.9722187775172599E-4</v>
      </c>
      <c r="E1538" t="s">
        <v>94</v>
      </c>
    </row>
    <row r="1539" spans="2:8">
      <c r="B1539" t="s">
        <v>3262</v>
      </c>
      <c r="C1539" t="s">
        <v>3263</v>
      </c>
      <c r="D1539">
        <v>2.8348284601227802E-4</v>
      </c>
      <c r="E1539" t="s">
        <v>94</v>
      </c>
    </row>
    <row r="1540" spans="2:8">
      <c r="B1540" t="s">
        <v>3266</v>
      </c>
      <c r="C1540" t="s">
        <v>587</v>
      </c>
      <c r="D1540">
        <v>2.7101155915221402E-7</v>
      </c>
      <c r="E1540" t="s">
        <v>94</v>
      </c>
    </row>
    <row r="1541" spans="2:8">
      <c r="B1541" t="s">
        <v>3267</v>
      </c>
      <c r="C1541" t="s">
        <v>1830</v>
      </c>
      <c r="D1541">
        <v>7.7116711079194196E-5</v>
      </c>
      <c r="E1541" t="s">
        <v>94</v>
      </c>
    </row>
    <row r="1542" spans="2:8">
      <c r="B1542" t="s">
        <v>3267</v>
      </c>
      <c r="C1542" t="s">
        <v>1830</v>
      </c>
      <c r="D1542">
        <v>2.1223751608877798E-3</v>
      </c>
      <c r="E1542" t="s">
        <v>94</v>
      </c>
    </row>
    <row r="1543" spans="2:8">
      <c r="B1543" t="s">
        <v>3267</v>
      </c>
      <c r="C1543" t="s">
        <v>1830</v>
      </c>
      <c r="D1543">
        <v>1.15097058194436E-3</v>
      </c>
      <c r="E1543" t="s">
        <v>94</v>
      </c>
    </row>
    <row r="1544" spans="2:8">
      <c r="B1544" t="s">
        <v>3267</v>
      </c>
      <c r="C1544" t="s">
        <v>1830</v>
      </c>
      <c r="D1544">
        <v>1.24739785530634E-3</v>
      </c>
      <c r="E1544" t="s">
        <v>94</v>
      </c>
    </row>
    <row r="1545" spans="2:8">
      <c r="B1545" t="s">
        <v>3267</v>
      </c>
      <c r="C1545" t="s">
        <v>1830</v>
      </c>
      <c r="D1545">
        <v>1.2344850046868201E-5</v>
      </c>
      <c r="E1545" t="s">
        <v>94</v>
      </c>
    </row>
    <row r="1546" spans="2:8">
      <c r="B1546" t="s">
        <v>3267</v>
      </c>
      <c r="C1546" t="s">
        <v>1830</v>
      </c>
      <c r="D1546">
        <v>5.5322461911174597E-4</v>
      </c>
      <c r="E1546" t="s">
        <v>94</v>
      </c>
      <c r="H1546" t="s">
        <v>588</v>
      </c>
    </row>
    <row r="1547" spans="2:8">
      <c r="B1547" t="s">
        <v>3270</v>
      </c>
      <c r="C1547" t="s">
        <v>3159</v>
      </c>
      <c r="D1547">
        <v>2.4290316987319899E-11</v>
      </c>
      <c r="E1547" t="s">
        <v>616</v>
      </c>
      <c r="H1547" t="s">
        <v>588</v>
      </c>
    </row>
    <row r="1548" spans="2:8">
      <c r="B1548" t="s">
        <v>3272</v>
      </c>
      <c r="C1548" t="s">
        <v>3243</v>
      </c>
      <c r="D1548">
        <v>4.8369615292171703E-11</v>
      </c>
      <c r="E1548" t="s">
        <v>616</v>
      </c>
      <c r="H1548" t="s">
        <v>588</v>
      </c>
    </row>
    <row r="1549" spans="2:8">
      <c r="B1549" t="s">
        <v>3276</v>
      </c>
      <c r="C1549" t="s">
        <v>3243</v>
      </c>
      <c r="D1549">
        <v>8.2333757397752403E-7</v>
      </c>
      <c r="E1549" t="s">
        <v>1171</v>
      </c>
      <c r="H1549" t="s">
        <v>588</v>
      </c>
    </row>
    <row r="1550" spans="2:8">
      <c r="B1550" t="s">
        <v>3278</v>
      </c>
      <c r="C1550" t="s">
        <v>3279</v>
      </c>
      <c r="D1550">
        <v>3.01284232755505E-2</v>
      </c>
      <c r="E1550" t="s">
        <v>3280</v>
      </c>
    </row>
    <row r="1551" spans="2:8">
      <c r="B1551" t="s">
        <v>3283</v>
      </c>
      <c r="C1551" t="s">
        <v>673</v>
      </c>
      <c r="D1551">
        <v>2.2843295887111898E-5</v>
      </c>
      <c r="E1551" t="s">
        <v>94</v>
      </c>
      <c r="H1551" t="s">
        <v>588</v>
      </c>
    </row>
    <row r="1552" spans="2:8">
      <c r="B1552" t="s">
        <v>3286</v>
      </c>
      <c r="C1552" t="s">
        <v>2939</v>
      </c>
      <c r="D1552">
        <v>1.1075098817123E-3</v>
      </c>
      <c r="E1552" t="s">
        <v>94</v>
      </c>
      <c r="H1552" t="s">
        <v>588</v>
      </c>
    </row>
    <row r="1553" spans="2:8">
      <c r="B1553" t="s">
        <v>3286</v>
      </c>
      <c r="C1553" t="s">
        <v>2939</v>
      </c>
      <c r="D1553">
        <v>7.0348102766645696E-4</v>
      </c>
      <c r="E1553" t="s">
        <v>94</v>
      </c>
    </row>
    <row r="1554" spans="2:8">
      <c r="B1554" t="s">
        <v>3286</v>
      </c>
      <c r="C1554" t="s">
        <v>2939</v>
      </c>
      <c r="D1554">
        <v>4.0051588323625399E-4</v>
      </c>
      <c r="E1554" t="s">
        <v>94</v>
      </c>
    </row>
    <row r="1555" spans="2:8">
      <c r="B1555" t="s">
        <v>3286</v>
      </c>
      <c r="C1555" t="s">
        <v>2939</v>
      </c>
      <c r="D1555">
        <v>5.1969980344958105E-4</v>
      </c>
      <c r="E1555" t="s">
        <v>94</v>
      </c>
    </row>
    <row r="1556" spans="2:8">
      <c r="B1556" t="s">
        <v>3286</v>
      </c>
      <c r="C1556" t="s">
        <v>2939</v>
      </c>
      <c r="D1556">
        <v>7.6055522999168698E-3</v>
      </c>
      <c r="E1556" t="s">
        <v>94</v>
      </c>
    </row>
    <row r="1557" spans="2:8">
      <c r="B1557" t="s">
        <v>3289</v>
      </c>
      <c r="C1557" t="s">
        <v>2939</v>
      </c>
      <c r="D1557">
        <v>1.8402774301393701E-3</v>
      </c>
      <c r="E1557" t="s">
        <v>94</v>
      </c>
    </row>
    <row r="1558" spans="2:8">
      <c r="B1558" t="s">
        <v>3289</v>
      </c>
      <c r="C1558" t="s">
        <v>2939</v>
      </c>
      <c r="D1558">
        <v>1.9612325559666801E-3</v>
      </c>
      <c r="E1558" t="s">
        <v>94</v>
      </c>
    </row>
    <row r="1559" spans="2:8">
      <c r="B1559" t="s">
        <v>3289</v>
      </c>
      <c r="C1559" t="s">
        <v>2939</v>
      </c>
      <c r="D1559">
        <v>5.4277390281631203E-3</v>
      </c>
      <c r="E1559" t="s">
        <v>94</v>
      </c>
    </row>
    <row r="1560" spans="2:8">
      <c r="B1560" t="s">
        <v>3289</v>
      </c>
      <c r="C1560" t="s">
        <v>2939</v>
      </c>
      <c r="D1560">
        <v>1.1075098817123E-3</v>
      </c>
      <c r="E1560" t="s">
        <v>94</v>
      </c>
      <c r="H1560" t="s">
        <v>588</v>
      </c>
    </row>
    <row r="1561" spans="2:8">
      <c r="B1561" t="s">
        <v>3293</v>
      </c>
      <c r="C1561" t="s">
        <v>1635</v>
      </c>
      <c r="D1561">
        <v>2.6153972697936501E-6</v>
      </c>
      <c r="E1561" t="s">
        <v>94</v>
      </c>
      <c r="H1561" t="s">
        <v>588</v>
      </c>
    </row>
    <row r="1562" spans="2:8">
      <c r="B1562" t="s">
        <v>3295</v>
      </c>
      <c r="C1562" t="s">
        <v>1698</v>
      </c>
      <c r="D1562">
        <v>2.5662602643647902E-6</v>
      </c>
      <c r="E1562" t="s">
        <v>616</v>
      </c>
      <c r="H1562" t="s">
        <v>588</v>
      </c>
    </row>
    <row r="1563" spans="2:8">
      <c r="B1563" t="s">
        <v>1324</v>
      </c>
      <c r="C1563" t="s">
        <v>673</v>
      </c>
      <c r="D1563">
        <v>7.2622079115104298E-4</v>
      </c>
      <c r="E1563" t="s">
        <v>94</v>
      </c>
      <c r="H1563" t="s">
        <v>588</v>
      </c>
    </row>
    <row r="1564" spans="2:8">
      <c r="B1564" t="s">
        <v>1324</v>
      </c>
      <c r="C1564" t="s">
        <v>673</v>
      </c>
      <c r="D1564">
        <v>1.4135099999642001E-3</v>
      </c>
      <c r="E1564" t="s">
        <v>94</v>
      </c>
      <c r="H1564" t="s">
        <v>588</v>
      </c>
    </row>
    <row r="1565" spans="2:8">
      <c r="B1565" t="s">
        <v>3297</v>
      </c>
      <c r="C1565" t="s">
        <v>673</v>
      </c>
      <c r="D1565">
        <v>1.1470800156731001E-6</v>
      </c>
      <c r="E1565" t="s">
        <v>94</v>
      </c>
      <c r="H1565" t="s">
        <v>588</v>
      </c>
    </row>
    <row r="1566" spans="2:8">
      <c r="B1566" t="s">
        <v>3297</v>
      </c>
      <c r="C1566" t="s">
        <v>673</v>
      </c>
      <c r="D1566">
        <v>1.2866343429026499E-7</v>
      </c>
      <c r="E1566" t="s">
        <v>94</v>
      </c>
      <c r="H1566" t="s">
        <v>588</v>
      </c>
    </row>
    <row r="1567" spans="2:8">
      <c r="B1567" t="s">
        <v>3299</v>
      </c>
      <c r="C1567" t="s">
        <v>615</v>
      </c>
      <c r="D1567">
        <v>3.8805601082305699E-11</v>
      </c>
      <c r="E1567" t="s">
        <v>616</v>
      </c>
      <c r="H1567" t="s">
        <v>588</v>
      </c>
    </row>
    <row r="1568" spans="2:8">
      <c r="B1568" t="s">
        <v>3299</v>
      </c>
      <c r="C1568" t="s">
        <v>615</v>
      </c>
      <c r="D1568">
        <v>2.9421277721424202E-11</v>
      </c>
      <c r="E1568" t="s">
        <v>616</v>
      </c>
      <c r="H1568" t="s">
        <v>588</v>
      </c>
    </row>
    <row r="1569" spans="2:8">
      <c r="B1569" t="s">
        <v>3304</v>
      </c>
      <c r="C1569" t="s">
        <v>1249</v>
      </c>
      <c r="D1569">
        <v>2.4243057108836499E-4</v>
      </c>
      <c r="E1569" t="s">
        <v>94</v>
      </c>
      <c r="H1569" t="s">
        <v>588</v>
      </c>
    </row>
    <row r="1570" spans="2:8">
      <c r="B1570" t="s">
        <v>3306</v>
      </c>
      <c r="C1570" t="s">
        <v>615</v>
      </c>
      <c r="D1570">
        <v>3.3491464560233702E-12</v>
      </c>
      <c r="E1570" t="s">
        <v>616</v>
      </c>
      <c r="H1570" t="s">
        <v>588</v>
      </c>
    </row>
    <row r="1571" spans="2:8">
      <c r="B1571" t="s">
        <v>3306</v>
      </c>
      <c r="C1571" t="s">
        <v>615</v>
      </c>
      <c r="D1571">
        <v>4.3226127841174903E-12</v>
      </c>
      <c r="E1571" t="s">
        <v>616</v>
      </c>
      <c r="H1571" t="s">
        <v>588</v>
      </c>
    </row>
    <row r="1572" spans="2:8">
      <c r="B1572" t="s">
        <v>3313</v>
      </c>
      <c r="C1572" t="s">
        <v>1243</v>
      </c>
      <c r="D1572">
        <v>3.6768437267651E-4</v>
      </c>
      <c r="E1572" t="s">
        <v>94</v>
      </c>
      <c r="H1572" t="s">
        <v>1733</v>
      </c>
    </row>
    <row r="1573" spans="2:8">
      <c r="B1573" t="s">
        <v>3316</v>
      </c>
      <c r="C1573" t="s">
        <v>1249</v>
      </c>
      <c r="D1573">
        <v>2.0559769356848501E-2</v>
      </c>
      <c r="E1573" t="s">
        <v>94</v>
      </c>
      <c r="H1573" t="s">
        <v>588</v>
      </c>
    </row>
    <row r="1574" spans="2:8">
      <c r="B1574" t="s">
        <v>3320</v>
      </c>
      <c r="C1574" t="s">
        <v>1249</v>
      </c>
      <c r="D1574">
        <v>9.4534031475099206E-5</v>
      </c>
      <c r="E1574" t="s">
        <v>94</v>
      </c>
      <c r="H1574" t="s">
        <v>588</v>
      </c>
    </row>
    <row r="1575" spans="2:8">
      <c r="B1575" t="s">
        <v>3323</v>
      </c>
      <c r="C1575" t="s">
        <v>3324</v>
      </c>
      <c r="D1575">
        <v>0.11711313204627501</v>
      </c>
      <c r="E1575" t="s">
        <v>94</v>
      </c>
      <c r="H1575" t="s">
        <v>588</v>
      </c>
    </row>
    <row r="1576" spans="2:8">
      <c r="B1576" t="s">
        <v>3323</v>
      </c>
      <c r="C1576" t="s">
        <v>3324</v>
      </c>
      <c r="D1576">
        <v>6.3135345685140606E-2</v>
      </c>
      <c r="E1576" t="s">
        <v>94</v>
      </c>
      <c r="H1576" t="s">
        <v>588</v>
      </c>
    </row>
    <row r="1577" spans="2:8">
      <c r="B1577" t="s">
        <v>1326</v>
      </c>
      <c r="C1577" t="s">
        <v>667</v>
      </c>
      <c r="D1577">
        <v>6.0304461371976698E-10</v>
      </c>
      <c r="E1577" t="s">
        <v>94</v>
      </c>
      <c r="H1577" t="s">
        <v>588</v>
      </c>
    </row>
    <row r="1578" spans="2:8">
      <c r="B1578" t="s">
        <v>3327</v>
      </c>
      <c r="C1578" t="s">
        <v>3263</v>
      </c>
      <c r="D1578">
        <v>1.6243448118628101E-2</v>
      </c>
      <c r="E1578" t="s">
        <v>94</v>
      </c>
      <c r="H1578" t="s">
        <v>588</v>
      </c>
    </row>
    <row r="1579" spans="2:8">
      <c r="B1579" t="s">
        <v>3330</v>
      </c>
      <c r="C1579" t="s">
        <v>2163</v>
      </c>
      <c r="D1579">
        <v>7.1057304614364505E-4</v>
      </c>
      <c r="E1579" t="s">
        <v>94</v>
      </c>
      <c r="H1579" t="s">
        <v>588</v>
      </c>
    </row>
    <row r="1580" spans="2:8">
      <c r="B1580" t="s">
        <v>3333</v>
      </c>
      <c r="C1580" t="s">
        <v>2163</v>
      </c>
      <c r="D1580">
        <v>6.5869803346100099E-4</v>
      </c>
      <c r="E1580" t="s">
        <v>94</v>
      </c>
      <c r="H1580" t="s">
        <v>588</v>
      </c>
    </row>
    <row r="1581" spans="2:8">
      <c r="B1581" t="s">
        <v>3335</v>
      </c>
      <c r="C1581" t="s">
        <v>1835</v>
      </c>
      <c r="D1581">
        <v>2.25054078144475E-4</v>
      </c>
      <c r="E1581" t="s">
        <v>94</v>
      </c>
      <c r="H1581" t="s">
        <v>588</v>
      </c>
    </row>
    <row r="1582" spans="2:8">
      <c r="B1582" t="s">
        <v>3335</v>
      </c>
      <c r="C1582" t="s">
        <v>1835</v>
      </c>
      <c r="D1582">
        <v>1.87545065120396E-3</v>
      </c>
      <c r="E1582" t="s">
        <v>94</v>
      </c>
    </row>
    <row r="1583" spans="2:8">
      <c r="B1583" t="s">
        <v>3338</v>
      </c>
      <c r="C1583" t="s">
        <v>615</v>
      </c>
      <c r="D1583">
        <v>9.2726903766390305E-14</v>
      </c>
      <c r="E1583" t="s">
        <v>616</v>
      </c>
      <c r="H1583" t="s">
        <v>588</v>
      </c>
    </row>
    <row r="1584" spans="2:8">
      <c r="B1584" t="s">
        <v>3338</v>
      </c>
      <c r="C1584" t="s">
        <v>615</v>
      </c>
      <c r="D1584">
        <v>1.66257339838975E-12</v>
      </c>
      <c r="E1584" t="s">
        <v>616</v>
      </c>
      <c r="H1584" t="s">
        <v>588</v>
      </c>
    </row>
    <row r="1585" spans="2:8">
      <c r="B1585" t="s">
        <v>3344</v>
      </c>
      <c r="C1585" t="s">
        <v>615</v>
      </c>
      <c r="D1585">
        <v>2.1873230670030499E-13</v>
      </c>
      <c r="E1585" t="s">
        <v>616</v>
      </c>
      <c r="H1585" t="s">
        <v>588</v>
      </c>
    </row>
    <row r="1586" spans="2:8">
      <c r="B1586" t="s">
        <v>3346</v>
      </c>
      <c r="C1586" t="s">
        <v>1848</v>
      </c>
      <c r="D1586">
        <v>1.03872565951459E-5</v>
      </c>
      <c r="E1586" t="s">
        <v>94</v>
      </c>
      <c r="H1586" t="s">
        <v>588</v>
      </c>
    </row>
    <row r="1587" spans="2:8">
      <c r="B1587" t="s">
        <v>3346</v>
      </c>
      <c r="C1587" t="s">
        <v>1848</v>
      </c>
      <c r="D1587">
        <v>1.03386353268244E-5</v>
      </c>
      <c r="E1587" t="s">
        <v>94</v>
      </c>
      <c r="H1587" t="s">
        <v>588</v>
      </c>
    </row>
    <row r="1588" spans="2:8">
      <c r="B1588" t="s">
        <v>3349</v>
      </c>
      <c r="C1588" t="s">
        <v>1848</v>
      </c>
      <c r="D1588">
        <v>3.4346886866016998E-5</v>
      </c>
      <c r="E1588" t="s">
        <v>94</v>
      </c>
      <c r="H1588" t="s">
        <v>588</v>
      </c>
    </row>
    <row r="1589" spans="2:8">
      <c r="B1589" t="s">
        <v>3349</v>
      </c>
      <c r="C1589" t="s">
        <v>1848</v>
      </c>
      <c r="D1589">
        <v>3.4362079022630698E-5</v>
      </c>
      <c r="E1589" t="s">
        <v>94</v>
      </c>
      <c r="H1589" t="s">
        <v>588</v>
      </c>
    </row>
    <row r="1590" spans="2:8">
      <c r="B1590" t="s">
        <v>3351</v>
      </c>
      <c r="C1590" t="s">
        <v>1848</v>
      </c>
      <c r="D1590">
        <v>3.5499702391762198E-5</v>
      </c>
      <c r="E1590" t="s">
        <v>94</v>
      </c>
      <c r="H1590" t="s">
        <v>588</v>
      </c>
    </row>
    <row r="1591" spans="2:8">
      <c r="B1591" t="s">
        <v>3351</v>
      </c>
      <c r="C1591" t="s">
        <v>1848</v>
      </c>
      <c r="D1591">
        <v>3.5419522715683998E-5</v>
      </c>
      <c r="E1591" t="s">
        <v>94</v>
      </c>
      <c r="H1591" t="s">
        <v>588</v>
      </c>
    </row>
    <row r="1592" spans="2:8">
      <c r="B1592" t="s">
        <v>3353</v>
      </c>
      <c r="C1592" t="s">
        <v>1848</v>
      </c>
      <c r="D1592">
        <v>2.5548538491947901E-4</v>
      </c>
      <c r="E1592" t="s">
        <v>94</v>
      </c>
      <c r="H1592" t="s">
        <v>588</v>
      </c>
    </row>
    <row r="1593" spans="2:8">
      <c r="B1593" t="s">
        <v>3353</v>
      </c>
      <c r="C1593" t="s">
        <v>1848</v>
      </c>
      <c r="D1593">
        <v>2.4355844531480199E-4</v>
      </c>
      <c r="E1593" t="s">
        <v>94</v>
      </c>
      <c r="H1593" t="s">
        <v>588</v>
      </c>
    </row>
    <row r="1594" spans="2:8">
      <c r="B1594" t="s">
        <v>3356</v>
      </c>
      <c r="C1594" t="s">
        <v>1848</v>
      </c>
      <c r="D1594">
        <v>2.7785693600683401E-6</v>
      </c>
      <c r="E1594" t="s">
        <v>94</v>
      </c>
      <c r="H1594" t="s">
        <v>588</v>
      </c>
    </row>
    <row r="1595" spans="2:8">
      <c r="B1595" t="s">
        <v>3359</v>
      </c>
      <c r="C1595" t="s">
        <v>664</v>
      </c>
      <c r="D1595">
        <v>1.84686797846221E-3</v>
      </c>
      <c r="E1595" t="s">
        <v>94</v>
      </c>
      <c r="H1595" t="s">
        <v>588</v>
      </c>
    </row>
    <row r="1596" spans="2:8">
      <c r="B1596" t="s">
        <v>3361</v>
      </c>
      <c r="C1596" t="s">
        <v>1830</v>
      </c>
      <c r="D1596">
        <v>4.91381772764766E-3</v>
      </c>
      <c r="E1596" t="s">
        <v>94</v>
      </c>
    </row>
    <row r="1597" spans="2:8">
      <c r="B1597" t="s">
        <v>3361</v>
      </c>
      <c r="C1597" t="s">
        <v>1830</v>
      </c>
      <c r="D1597">
        <v>5.8965812731771904E-4</v>
      </c>
      <c r="E1597" t="s">
        <v>94</v>
      </c>
      <c r="H1597" t="s">
        <v>588</v>
      </c>
    </row>
    <row r="1598" spans="2:8">
      <c r="B1598" t="s">
        <v>3364</v>
      </c>
      <c r="C1598" t="s">
        <v>2589</v>
      </c>
      <c r="D1598">
        <v>5.0971412045523898E-9</v>
      </c>
      <c r="E1598" t="s">
        <v>640</v>
      </c>
      <c r="H1598" t="s">
        <v>588</v>
      </c>
    </row>
    <row r="1599" spans="2:8">
      <c r="B1599" t="s">
        <v>3364</v>
      </c>
      <c r="C1599" t="s">
        <v>2589</v>
      </c>
      <c r="D1599">
        <v>5.0959054062154304E-9</v>
      </c>
      <c r="E1599" t="s">
        <v>640</v>
      </c>
      <c r="H1599" t="s">
        <v>588</v>
      </c>
    </row>
    <row r="1600" spans="2:8">
      <c r="B1600" t="s">
        <v>3367</v>
      </c>
      <c r="C1600" t="s">
        <v>2589</v>
      </c>
      <c r="D1600">
        <v>9.41886938860737E-9</v>
      </c>
      <c r="E1600" t="s">
        <v>640</v>
      </c>
      <c r="H1600" t="s">
        <v>588</v>
      </c>
    </row>
    <row r="1601" spans="2:8">
      <c r="B1601" t="s">
        <v>3367</v>
      </c>
      <c r="C1601" t="s">
        <v>2589</v>
      </c>
      <c r="D1601">
        <v>8.7153667637767303E-7</v>
      </c>
      <c r="E1601" t="s">
        <v>640</v>
      </c>
      <c r="H1601" t="s">
        <v>588</v>
      </c>
    </row>
    <row r="1602" spans="2:8">
      <c r="B1602" t="s">
        <v>3370</v>
      </c>
      <c r="C1602" t="s">
        <v>1804</v>
      </c>
      <c r="D1602">
        <v>8.6583774620858703E-5</v>
      </c>
      <c r="E1602" t="s">
        <v>94</v>
      </c>
    </row>
    <row r="1603" spans="2:8">
      <c r="B1603" t="s">
        <v>3370</v>
      </c>
      <c r="C1603" t="s">
        <v>1804</v>
      </c>
      <c r="D1603">
        <v>1.07619672452658E-4</v>
      </c>
      <c r="E1603" t="s">
        <v>94</v>
      </c>
    </row>
    <row r="1604" spans="2:8">
      <c r="B1604" t="s">
        <v>3370</v>
      </c>
      <c r="C1604" t="s">
        <v>1804</v>
      </c>
      <c r="D1604">
        <v>7.4842841621745502E-4</v>
      </c>
      <c r="E1604" t="s">
        <v>94</v>
      </c>
    </row>
    <row r="1605" spans="2:8">
      <c r="B1605" t="s">
        <v>3370</v>
      </c>
      <c r="C1605" t="s">
        <v>1804</v>
      </c>
      <c r="D1605">
        <v>4.8992228621745702E-4</v>
      </c>
      <c r="E1605" t="s">
        <v>94</v>
      </c>
    </row>
    <row r="1606" spans="2:8">
      <c r="B1606" t="s">
        <v>3370</v>
      </c>
      <c r="C1606" t="s">
        <v>1804</v>
      </c>
      <c r="D1606">
        <v>1.7190649794101101E-4</v>
      </c>
      <c r="E1606" t="s">
        <v>94</v>
      </c>
    </row>
    <row r="1607" spans="2:8">
      <c r="B1607" t="s">
        <v>3373</v>
      </c>
      <c r="C1607" t="s">
        <v>1804</v>
      </c>
      <c r="D1607">
        <v>1.16093443818278E-4</v>
      </c>
      <c r="E1607" t="s">
        <v>94</v>
      </c>
    </row>
    <row r="1608" spans="2:8">
      <c r="B1608" t="s">
        <v>3373</v>
      </c>
      <c r="C1608" t="s">
        <v>1804</v>
      </c>
      <c r="D1608">
        <v>8.3569178529629398E-4</v>
      </c>
      <c r="E1608" t="s">
        <v>94</v>
      </c>
    </row>
    <row r="1609" spans="2:8">
      <c r="B1609" t="s">
        <v>3373</v>
      </c>
      <c r="C1609" t="s">
        <v>1804</v>
      </c>
      <c r="D1609">
        <v>2.3968380097808498E-3</v>
      </c>
      <c r="E1609" t="s">
        <v>94</v>
      </c>
    </row>
    <row r="1610" spans="2:8">
      <c r="B1610" t="s">
        <v>3373</v>
      </c>
      <c r="C1610" t="s">
        <v>1804</v>
      </c>
      <c r="D1610">
        <v>4.14819148012655E-4</v>
      </c>
      <c r="E1610" t="s">
        <v>94</v>
      </c>
      <c r="H1610" t="s">
        <v>588</v>
      </c>
    </row>
    <row r="1611" spans="2:8">
      <c r="B1611" t="s">
        <v>3373</v>
      </c>
      <c r="C1611" t="s">
        <v>1804</v>
      </c>
      <c r="D1611">
        <v>6.5875804033702602E-5</v>
      </c>
      <c r="E1611" t="s">
        <v>94</v>
      </c>
    </row>
    <row r="1612" spans="2:8">
      <c r="B1612" t="s">
        <v>3373</v>
      </c>
      <c r="C1612" t="s">
        <v>1804</v>
      </c>
      <c r="D1612">
        <v>4.23271905096733E-5</v>
      </c>
      <c r="E1612" t="s">
        <v>94</v>
      </c>
    </row>
    <row r="1613" spans="2:8">
      <c r="B1613" t="s">
        <v>3376</v>
      </c>
      <c r="C1613" t="s">
        <v>3377</v>
      </c>
      <c r="D1613">
        <v>5.75873632393762E-4</v>
      </c>
      <c r="E1613" t="s">
        <v>94</v>
      </c>
      <c r="H1613" t="s">
        <v>588</v>
      </c>
    </row>
    <row r="1614" spans="2:8">
      <c r="B1614" t="s">
        <v>3380</v>
      </c>
      <c r="C1614" t="s">
        <v>2481</v>
      </c>
      <c r="D1614">
        <v>1.0907364936026499E-5</v>
      </c>
      <c r="E1614" t="s">
        <v>94</v>
      </c>
    </row>
    <row r="1615" spans="2:8">
      <c r="B1615" t="s">
        <v>3381</v>
      </c>
      <c r="C1615" t="s">
        <v>673</v>
      </c>
      <c r="D1615">
        <v>3.9195665775719399E-5</v>
      </c>
      <c r="E1615" t="s">
        <v>94</v>
      </c>
      <c r="H1615" t="s">
        <v>588</v>
      </c>
    </row>
    <row r="1616" spans="2:8">
      <c r="B1616" t="s">
        <v>1328</v>
      </c>
      <c r="C1616" t="s">
        <v>676</v>
      </c>
      <c r="D1616">
        <v>8.0563470571387306E-8</v>
      </c>
      <c r="E1616" t="s">
        <v>94</v>
      </c>
      <c r="H1616" t="s">
        <v>588</v>
      </c>
    </row>
    <row r="1617" spans="2:8">
      <c r="B1617" t="s">
        <v>3384</v>
      </c>
      <c r="C1617" t="s">
        <v>1635</v>
      </c>
      <c r="D1617">
        <v>4.8747907065703296E-7</v>
      </c>
      <c r="E1617" t="s">
        <v>94</v>
      </c>
      <c r="H1617" t="s">
        <v>588</v>
      </c>
    </row>
    <row r="1618" spans="2:8">
      <c r="B1618" t="s">
        <v>3387</v>
      </c>
      <c r="C1618" t="s">
        <v>664</v>
      </c>
      <c r="D1618">
        <v>3.0191710757514202E-7</v>
      </c>
      <c r="E1618" t="s">
        <v>94</v>
      </c>
      <c r="H1618" t="s">
        <v>588</v>
      </c>
    </row>
    <row r="1619" spans="2:8">
      <c r="B1619" t="s">
        <v>3387</v>
      </c>
      <c r="C1619" t="s">
        <v>664</v>
      </c>
      <c r="D1619">
        <v>1.4364341091937401E-3</v>
      </c>
      <c r="E1619" t="s">
        <v>94</v>
      </c>
    </row>
    <row r="1620" spans="2:8">
      <c r="B1620" t="s">
        <v>3387</v>
      </c>
      <c r="C1620" t="s">
        <v>664</v>
      </c>
      <c r="D1620">
        <v>2.1017450077816498E-3</v>
      </c>
      <c r="E1620" t="s">
        <v>94</v>
      </c>
    </row>
    <row r="1621" spans="2:8">
      <c r="B1621" t="s">
        <v>3387</v>
      </c>
      <c r="C1621" t="s">
        <v>664</v>
      </c>
      <c r="D1621">
        <v>6.6530881029954196E-4</v>
      </c>
      <c r="E1621" t="s">
        <v>94</v>
      </c>
    </row>
    <row r="1622" spans="2:8">
      <c r="B1622" t="s">
        <v>3387</v>
      </c>
      <c r="C1622" t="s">
        <v>664</v>
      </c>
      <c r="D1622">
        <v>1.18144788167859E-6</v>
      </c>
      <c r="E1622" t="s">
        <v>94</v>
      </c>
    </row>
    <row r="1623" spans="2:8">
      <c r="B1623" t="s">
        <v>3391</v>
      </c>
      <c r="C1623" t="s">
        <v>664</v>
      </c>
      <c r="D1623">
        <v>5.5933870434373204E-9</v>
      </c>
      <c r="E1623" t="s">
        <v>94</v>
      </c>
      <c r="H1623" t="s">
        <v>588</v>
      </c>
    </row>
    <row r="1624" spans="2:8">
      <c r="B1624" t="s">
        <v>3391</v>
      </c>
      <c r="C1624" t="s">
        <v>664</v>
      </c>
      <c r="D1624">
        <v>6.1507746327499997E-4</v>
      </c>
      <c r="E1624" t="s">
        <v>94</v>
      </c>
    </row>
    <row r="1625" spans="2:8">
      <c r="B1625" t="s">
        <v>3391</v>
      </c>
      <c r="C1625" t="s">
        <v>664</v>
      </c>
      <c r="D1625">
        <v>1.5533420369078099E-7</v>
      </c>
      <c r="E1625" t="s">
        <v>94</v>
      </c>
      <c r="H1625" t="s">
        <v>588</v>
      </c>
    </row>
    <row r="1626" spans="2:8">
      <c r="B1626" t="s">
        <v>3391</v>
      </c>
      <c r="C1626" t="s">
        <v>664</v>
      </c>
      <c r="D1626">
        <v>7.0016785849173605E-4</v>
      </c>
      <c r="E1626" t="s">
        <v>94</v>
      </c>
    </row>
    <row r="1627" spans="2:8">
      <c r="B1627" t="s">
        <v>3391</v>
      </c>
      <c r="C1627" t="s">
        <v>664</v>
      </c>
      <c r="D1627">
        <v>5.2699638907941199E-5</v>
      </c>
      <c r="E1627" t="s">
        <v>94</v>
      </c>
    </row>
    <row r="1628" spans="2:8">
      <c r="B1628" t="s">
        <v>3391</v>
      </c>
      <c r="C1628" t="s">
        <v>664</v>
      </c>
      <c r="D1628">
        <v>1.1817269436525401E-6</v>
      </c>
      <c r="E1628" t="s">
        <v>94</v>
      </c>
      <c r="H1628" t="s">
        <v>588</v>
      </c>
    </row>
    <row r="1629" spans="2:8">
      <c r="B1629" t="s">
        <v>3391</v>
      </c>
      <c r="C1629" t="s">
        <v>664</v>
      </c>
      <c r="D1629">
        <v>9.8808538929798999E-4</v>
      </c>
      <c r="E1629" t="s">
        <v>94</v>
      </c>
    </row>
    <row r="1630" spans="2:8">
      <c r="B1630" t="s">
        <v>3391</v>
      </c>
      <c r="C1630" t="s">
        <v>664</v>
      </c>
      <c r="D1630">
        <v>1.18280247553368E-6</v>
      </c>
      <c r="E1630" t="s">
        <v>94</v>
      </c>
      <c r="H1630" t="s">
        <v>588</v>
      </c>
    </row>
    <row r="1631" spans="2:8">
      <c r="B1631" t="s">
        <v>3391</v>
      </c>
      <c r="C1631" t="s">
        <v>664</v>
      </c>
      <c r="D1631">
        <v>1.4866675445734201E-3</v>
      </c>
      <c r="E1631" t="s">
        <v>94</v>
      </c>
    </row>
    <row r="1632" spans="2:8">
      <c r="B1632" t="s">
        <v>3391</v>
      </c>
      <c r="C1632" t="s">
        <v>664</v>
      </c>
      <c r="D1632">
        <v>1.18649574625681E-6</v>
      </c>
      <c r="E1632" t="s">
        <v>94</v>
      </c>
      <c r="H1632" t="s">
        <v>588</v>
      </c>
    </row>
    <row r="1633" spans="2:8">
      <c r="B1633" t="s">
        <v>3391</v>
      </c>
      <c r="C1633" t="s">
        <v>664</v>
      </c>
      <c r="D1633">
        <v>1.3490233438571101E-9</v>
      </c>
      <c r="E1633" t="s">
        <v>94</v>
      </c>
      <c r="H1633" t="s">
        <v>588</v>
      </c>
    </row>
    <row r="1634" spans="2:8">
      <c r="B1634" t="s">
        <v>3391</v>
      </c>
      <c r="C1634" t="s">
        <v>664</v>
      </c>
      <c r="D1634">
        <v>6.1575045711330004E-5</v>
      </c>
      <c r="E1634" t="s">
        <v>94</v>
      </c>
    </row>
    <row r="1635" spans="2:8">
      <c r="B1635" t="s">
        <v>3391</v>
      </c>
      <c r="C1635" t="s">
        <v>664</v>
      </c>
      <c r="D1635">
        <v>2.0490453689404799E-3</v>
      </c>
      <c r="E1635" t="s">
        <v>94</v>
      </c>
    </row>
    <row r="1636" spans="2:8">
      <c r="B1636" t="s">
        <v>3391</v>
      </c>
      <c r="C1636" t="s">
        <v>664</v>
      </c>
      <c r="D1636">
        <v>4.0284346135506302E-8</v>
      </c>
      <c r="E1636" t="s">
        <v>94</v>
      </c>
      <c r="H1636" t="s">
        <v>588</v>
      </c>
    </row>
    <row r="1637" spans="2:8">
      <c r="B1637" t="s">
        <v>3391</v>
      </c>
      <c r="C1637" t="s">
        <v>664</v>
      </c>
      <c r="D1637">
        <v>1.34000210364535E-3</v>
      </c>
      <c r="E1637" t="s">
        <v>94</v>
      </c>
    </row>
    <row r="1638" spans="2:8">
      <c r="B1638" t="s">
        <v>3391</v>
      </c>
      <c r="C1638" t="s">
        <v>664</v>
      </c>
      <c r="D1638">
        <v>1.11365961855043E-3</v>
      </c>
      <c r="E1638" t="s">
        <v>94</v>
      </c>
    </row>
    <row r="1639" spans="2:8">
      <c r="B1639" t="s">
        <v>3396</v>
      </c>
      <c r="C1639" t="s">
        <v>1810</v>
      </c>
      <c r="D1639">
        <v>3.6007581892037299E-4</v>
      </c>
      <c r="E1639" t="s">
        <v>607</v>
      </c>
      <c r="H1639" t="s">
        <v>588</v>
      </c>
    </row>
    <row r="1640" spans="2:8">
      <c r="B1640" t="s">
        <v>960</v>
      </c>
      <c r="C1640" t="s">
        <v>664</v>
      </c>
      <c r="D1640">
        <v>1.2417480590604199E-4</v>
      </c>
      <c r="E1640" t="s">
        <v>94</v>
      </c>
      <c r="H1640" t="s">
        <v>588</v>
      </c>
    </row>
    <row r="1641" spans="2:8">
      <c r="B1641" t="s">
        <v>3398</v>
      </c>
      <c r="C1641" t="s">
        <v>673</v>
      </c>
      <c r="D1641">
        <v>7.9460864775082206E-5</v>
      </c>
      <c r="E1641" t="s">
        <v>94</v>
      </c>
      <c r="H1641" t="s">
        <v>588</v>
      </c>
    </row>
    <row r="1642" spans="2:8">
      <c r="B1642" t="s">
        <v>3398</v>
      </c>
      <c r="C1642" t="s">
        <v>673</v>
      </c>
      <c r="D1642">
        <v>9.7895394430275995E-5</v>
      </c>
      <c r="E1642" t="s">
        <v>94</v>
      </c>
      <c r="H1642" t="s">
        <v>588</v>
      </c>
    </row>
    <row r="1643" spans="2:8">
      <c r="B1643" t="s">
        <v>3400</v>
      </c>
      <c r="C1643" t="s">
        <v>701</v>
      </c>
      <c r="D1643">
        <v>5.8713253218069002E-5</v>
      </c>
      <c r="E1643" t="s">
        <v>94</v>
      </c>
      <c r="H1643" t="s">
        <v>588</v>
      </c>
    </row>
    <row r="1644" spans="2:8">
      <c r="B1644" t="s">
        <v>3400</v>
      </c>
      <c r="C1644" t="s">
        <v>701</v>
      </c>
      <c r="D1644">
        <v>5.2644960990792903E-5</v>
      </c>
      <c r="E1644" t="s">
        <v>94</v>
      </c>
      <c r="H1644" t="s">
        <v>588</v>
      </c>
    </row>
    <row r="1645" spans="2:8">
      <c r="B1645" t="s">
        <v>3400</v>
      </c>
      <c r="C1645" t="s">
        <v>701</v>
      </c>
      <c r="D1645">
        <v>4.9849709319044503E-5</v>
      </c>
      <c r="E1645" t="s">
        <v>94</v>
      </c>
      <c r="H1645" t="s">
        <v>588</v>
      </c>
    </row>
    <row r="1646" spans="2:8">
      <c r="B1646" t="s">
        <v>3404</v>
      </c>
      <c r="C1646" t="s">
        <v>673</v>
      </c>
      <c r="D1646">
        <v>1.3770686262030799E-5</v>
      </c>
      <c r="E1646" t="s">
        <v>94</v>
      </c>
      <c r="H1646" t="s">
        <v>588</v>
      </c>
    </row>
    <row r="1647" spans="2:8">
      <c r="B1647" t="s">
        <v>3406</v>
      </c>
      <c r="C1647" t="s">
        <v>1635</v>
      </c>
      <c r="D1647">
        <v>2.4283869981865801E-8</v>
      </c>
      <c r="E1647" t="s">
        <v>94</v>
      </c>
      <c r="H1647" t="s">
        <v>588</v>
      </c>
    </row>
    <row r="1648" spans="2:8">
      <c r="B1648" t="s">
        <v>852</v>
      </c>
      <c r="C1648" t="s">
        <v>853</v>
      </c>
      <c r="D1648">
        <v>5.2581704555215302E-4</v>
      </c>
      <c r="E1648" t="s">
        <v>94</v>
      </c>
      <c r="H1648" t="s">
        <v>588</v>
      </c>
    </row>
    <row r="1649" spans="2:8">
      <c r="B1649" t="s">
        <v>852</v>
      </c>
      <c r="C1649" t="s">
        <v>853</v>
      </c>
      <c r="D1649">
        <v>1.4724753012819999E-5</v>
      </c>
      <c r="E1649" t="s">
        <v>94</v>
      </c>
      <c r="H1649" t="s">
        <v>588</v>
      </c>
    </row>
    <row r="1650" spans="2:8">
      <c r="B1650" t="s">
        <v>852</v>
      </c>
      <c r="C1650" t="s">
        <v>853</v>
      </c>
      <c r="D1650">
        <v>3.5283361780199203E-5</v>
      </c>
      <c r="E1650" t="s">
        <v>94</v>
      </c>
      <c r="H1650" t="s">
        <v>588</v>
      </c>
    </row>
    <row r="1651" spans="2:8">
      <c r="B1651" t="s">
        <v>852</v>
      </c>
      <c r="C1651" t="s">
        <v>853</v>
      </c>
      <c r="D1651">
        <v>3.7973892530571603E-5</v>
      </c>
      <c r="E1651" t="s">
        <v>94</v>
      </c>
      <c r="H1651" t="s">
        <v>588</v>
      </c>
    </row>
    <row r="1652" spans="2:8">
      <c r="B1652" t="s">
        <v>808</v>
      </c>
      <c r="C1652" t="s">
        <v>809</v>
      </c>
      <c r="D1652">
        <v>1.5343464449124701E-8</v>
      </c>
      <c r="E1652" t="s">
        <v>94</v>
      </c>
      <c r="H1652" t="s">
        <v>588</v>
      </c>
    </row>
    <row r="1653" spans="2:8">
      <c r="B1653" t="s">
        <v>3414</v>
      </c>
      <c r="C1653" t="s">
        <v>673</v>
      </c>
      <c r="D1653">
        <v>2.3775940364783599E-5</v>
      </c>
      <c r="E1653" t="s">
        <v>94</v>
      </c>
      <c r="H1653" t="s">
        <v>588</v>
      </c>
    </row>
    <row r="1654" spans="2:8">
      <c r="B1654" t="s">
        <v>3416</v>
      </c>
      <c r="C1654" t="s">
        <v>587</v>
      </c>
      <c r="D1654">
        <v>1.8625992463324401E-3</v>
      </c>
      <c r="E1654" t="s">
        <v>94</v>
      </c>
      <c r="H1654" t="s">
        <v>588</v>
      </c>
    </row>
    <row r="1655" spans="2:8">
      <c r="B1655" t="s">
        <v>3417</v>
      </c>
      <c r="C1655" t="s">
        <v>673</v>
      </c>
      <c r="D1655">
        <v>2.0677393512332601E-7</v>
      </c>
      <c r="E1655" t="s">
        <v>94</v>
      </c>
      <c r="H1655" t="s">
        <v>588</v>
      </c>
    </row>
    <row r="1656" spans="2:8">
      <c r="B1656" t="s">
        <v>3419</v>
      </c>
      <c r="C1656" t="s">
        <v>615</v>
      </c>
      <c r="D1656">
        <v>8.7290864496913103E-13</v>
      </c>
      <c r="E1656" t="s">
        <v>616</v>
      </c>
      <c r="H1656" t="s">
        <v>588</v>
      </c>
    </row>
    <row r="1657" spans="2:8">
      <c r="B1657" t="s">
        <v>3422</v>
      </c>
      <c r="C1657" t="s">
        <v>1170</v>
      </c>
      <c r="D1657">
        <v>5.1932260469934099E-6</v>
      </c>
      <c r="E1657" t="s">
        <v>626</v>
      </c>
      <c r="H1657" t="s">
        <v>588</v>
      </c>
    </row>
    <row r="1658" spans="2:8">
      <c r="B1658" t="s">
        <v>3424</v>
      </c>
      <c r="C1658" t="s">
        <v>1170</v>
      </c>
      <c r="D1658">
        <v>2.3245044662354099E-5</v>
      </c>
      <c r="E1658" t="s">
        <v>626</v>
      </c>
      <c r="H1658" t="s">
        <v>588</v>
      </c>
    </row>
    <row r="1659" spans="2:8">
      <c r="B1659" t="s">
        <v>3426</v>
      </c>
      <c r="C1659" t="s">
        <v>1170</v>
      </c>
      <c r="D1659">
        <v>5.1932260469934099E-6</v>
      </c>
      <c r="E1659" t="s">
        <v>626</v>
      </c>
      <c r="H1659" t="s">
        <v>588</v>
      </c>
    </row>
    <row r="1660" spans="2:8">
      <c r="B1660" t="s">
        <v>3428</v>
      </c>
      <c r="C1660" t="s">
        <v>615</v>
      </c>
      <c r="D1660">
        <v>2.14985463530159E-10</v>
      </c>
      <c r="E1660" t="s">
        <v>616</v>
      </c>
      <c r="H1660" t="s">
        <v>588</v>
      </c>
    </row>
    <row r="1661" spans="2:8">
      <c r="B1661" t="s">
        <v>3430</v>
      </c>
      <c r="C1661" t="s">
        <v>673</v>
      </c>
      <c r="D1661">
        <v>9.4936576098207995E-4</v>
      </c>
      <c r="E1661" t="s">
        <v>94</v>
      </c>
      <c r="H1661" t="s">
        <v>588</v>
      </c>
    </row>
    <row r="1662" spans="2:8">
      <c r="B1662" t="s">
        <v>3432</v>
      </c>
      <c r="C1662" t="s">
        <v>821</v>
      </c>
      <c r="D1662">
        <v>1.9318514650822099E-4</v>
      </c>
      <c r="E1662" t="s">
        <v>94</v>
      </c>
      <c r="H1662" t="s">
        <v>588</v>
      </c>
    </row>
    <row r="1663" spans="2:8">
      <c r="B1663" t="s">
        <v>3432</v>
      </c>
      <c r="C1663" t="s">
        <v>821</v>
      </c>
      <c r="D1663">
        <v>1.7893270391630899E-5</v>
      </c>
      <c r="E1663" t="s">
        <v>94</v>
      </c>
      <c r="H1663" t="s">
        <v>588</v>
      </c>
    </row>
    <row r="1664" spans="2:8">
      <c r="B1664" t="s">
        <v>3434</v>
      </c>
      <c r="C1664" t="s">
        <v>1835</v>
      </c>
      <c r="D1664">
        <v>2.88972355461661E-4</v>
      </c>
      <c r="E1664" t="s">
        <v>94</v>
      </c>
      <c r="H1664" t="s">
        <v>588</v>
      </c>
    </row>
    <row r="1665" spans="2:8">
      <c r="B1665" t="s">
        <v>3434</v>
      </c>
      <c r="C1665" t="s">
        <v>1835</v>
      </c>
      <c r="D1665">
        <v>2.4081029621805098E-3</v>
      </c>
      <c r="E1665" t="s">
        <v>94</v>
      </c>
    </row>
    <row r="1666" spans="2:8">
      <c r="B1666" t="s">
        <v>3437</v>
      </c>
      <c r="C1666" t="s">
        <v>2739</v>
      </c>
      <c r="D1666">
        <v>7.9857156011835598E-10</v>
      </c>
      <c r="E1666" t="s">
        <v>475</v>
      </c>
      <c r="H1666" t="s">
        <v>588</v>
      </c>
    </row>
    <row r="1667" spans="2:8">
      <c r="B1667" t="s">
        <v>3439</v>
      </c>
      <c r="C1667" t="s">
        <v>2739</v>
      </c>
      <c r="D1667">
        <v>2.55310948479371E-11</v>
      </c>
      <c r="E1667" t="s">
        <v>475</v>
      </c>
      <c r="H1667" t="s">
        <v>588</v>
      </c>
    </row>
    <row r="1668" spans="2:8">
      <c r="B1668" t="s">
        <v>767</v>
      </c>
      <c r="C1668" t="s">
        <v>664</v>
      </c>
      <c r="D1668">
        <v>2.0306264823398299E-5</v>
      </c>
      <c r="E1668" t="s">
        <v>94</v>
      </c>
      <c r="H1668" t="s">
        <v>588</v>
      </c>
    </row>
    <row r="1669" spans="2:8">
      <c r="B1669" t="s">
        <v>767</v>
      </c>
      <c r="C1669" t="s">
        <v>664</v>
      </c>
      <c r="D1669">
        <v>1.6919031279179301E-5</v>
      </c>
      <c r="E1669" t="s">
        <v>94</v>
      </c>
      <c r="H1669" t="s">
        <v>588</v>
      </c>
    </row>
    <row r="1670" spans="2:8">
      <c r="B1670" t="s">
        <v>767</v>
      </c>
      <c r="C1670" t="s">
        <v>664</v>
      </c>
      <c r="D1670">
        <v>2.5716819120175302E-3</v>
      </c>
      <c r="E1670" t="s">
        <v>94</v>
      </c>
      <c r="H1670" t="s">
        <v>588</v>
      </c>
    </row>
    <row r="1671" spans="2:8">
      <c r="B1671" t="s">
        <v>767</v>
      </c>
      <c r="C1671" t="s">
        <v>664</v>
      </c>
      <c r="D1671">
        <v>5.8811606738498802E-5</v>
      </c>
      <c r="E1671" t="s">
        <v>94</v>
      </c>
      <c r="H1671" t="s">
        <v>588</v>
      </c>
    </row>
    <row r="1672" spans="2:8">
      <c r="B1672" t="s">
        <v>767</v>
      </c>
      <c r="C1672" t="s">
        <v>664</v>
      </c>
      <c r="D1672">
        <v>3.5624515742926802E-4</v>
      </c>
      <c r="E1672" t="s">
        <v>94</v>
      </c>
      <c r="H1672" t="s">
        <v>588</v>
      </c>
    </row>
    <row r="1673" spans="2:8">
      <c r="B1673" t="s">
        <v>767</v>
      </c>
      <c r="C1673" t="s">
        <v>664</v>
      </c>
      <c r="D1673">
        <v>9.1889312096607402E-4</v>
      </c>
      <c r="E1673" t="s">
        <v>94</v>
      </c>
      <c r="H1673" t="s">
        <v>588</v>
      </c>
    </row>
    <row r="1674" spans="2:8">
      <c r="B1674" t="s">
        <v>767</v>
      </c>
      <c r="C1674" t="s">
        <v>664</v>
      </c>
      <c r="D1674">
        <v>2.7230359543696302E-3</v>
      </c>
      <c r="E1674" t="s">
        <v>94</v>
      </c>
      <c r="H1674" t="s">
        <v>588</v>
      </c>
    </row>
    <row r="1675" spans="2:8">
      <c r="B1675" t="s">
        <v>767</v>
      </c>
      <c r="C1675" t="s">
        <v>664</v>
      </c>
      <c r="D1675">
        <v>4.11959383874524E-5</v>
      </c>
      <c r="E1675" t="s">
        <v>94</v>
      </c>
      <c r="H1675" t="s">
        <v>588</v>
      </c>
    </row>
    <row r="1676" spans="2:8">
      <c r="B1676" t="s">
        <v>3441</v>
      </c>
      <c r="C1676" t="s">
        <v>673</v>
      </c>
      <c r="D1676">
        <v>1.6349132316624001E-7</v>
      </c>
      <c r="E1676" t="s">
        <v>94</v>
      </c>
      <c r="H1676" t="s">
        <v>588</v>
      </c>
    </row>
    <row r="1677" spans="2:8">
      <c r="B1677" t="s">
        <v>3443</v>
      </c>
      <c r="C1677" t="s">
        <v>1810</v>
      </c>
      <c r="D1677">
        <v>1.21172693464518E-3</v>
      </c>
      <c r="E1677" t="s">
        <v>616</v>
      </c>
    </row>
    <row r="1678" spans="2:8">
      <c r="B1678" t="s">
        <v>3446</v>
      </c>
      <c r="C1678" t="s">
        <v>615</v>
      </c>
      <c r="D1678">
        <v>1.5716837079311601E-13</v>
      </c>
      <c r="E1678" t="s">
        <v>616</v>
      </c>
      <c r="H1678" t="s">
        <v>588</v>
      </c>
    </row>
    <row r="1679" spans="2:8">
      <c r="B1679" t="s">
        <v>3449</v>
      </c>
      <c r="C1679" t="s">
        <v>673</v>
      </c>
      <c r="D1679">
        <v>4.6876939455415299E-5</v>
      </c>
      <c r="E1679" t="s">
        <v>94</v>
      </c>
      <c r="H1679" t="s">
        <v>588</v>
      </c>
    </row>
    <row r="1680" spans="2:8">
      <c r="B1680" t="s">
        <v>696</v>
      </c>
      <c r="C1680" t="s">
        <v>667</v>
      </c>
      <c r="D1680">
        <v>2.1103369179918601E-8</v>
      </c>
      <c r="E1680" t="s">
        <v>94</v>
      </c>
      <c r="H1680" t="s">
        <v>588</v>
      </c>
    </row>
    <row r="1681" spans="2:8">
      <c r="B1681" t="s">
        <v>1333</v>
      </c>
      <c r="C1681" t="s">
        <v>1170</v>
      </c>
      <c r="D1681">
        <v>2.0874192215632401E-4</v>
      </c>
      <c r="E1681" t="s">
        <v>616</v>
      </c>
      <c r="H1681" t="s">
        <v>588</v>
      </c>
    </row>
    <row r="1682" spans="2:8">
      <c r="B1682" t="s">
        <v>1335</v>
      </c>
      <c r="C1682" t="s">
        <v>1170</v>
      </c>
      <c r="D1682">
        <v>2.0708442957763801E-4</v>
      </c>
      <c r="E1682" t="s">
        <v>616</v>
      </c>
      <c r="H1682" t="s">
        <v>588</v>
      </c>
    </row>
    <row r="1683" spans="2:8">
      <c r="B1683" t="s">
        <v>3452</v>
      </c>
      <c r="C1683" t="s">
        <v>1170</v>
      </c>
      <c r="D1683">
        <v>5.8679280946494E-5</v>
      </c>
      <c r="E1683" t="s">
        <v>616</v>
      </c>
      <c r="H1683" t="s">
        <v>588</v>
      </c>
    </row>
    <row r="1684" spans="2:8">
      <c r="B1684" t="s">
        <v>3454</v>
      </c>
      <c r="C1684" t="s">
        <v>2589</v>
      </c>
      <c r="D1684">
        <v>2.3998540879141701E-6</v>
      </c>
      <c r="E1684" t="s">
        <v>640</v>
      </c>
      <c r="H1684" t="s">
        <v>588</v>
      </c>
    </row>
    <row r="1685" spans="2:8">
      <c r="B1685" t="s">
        <v>3454</v>
      </c>
      <c r="C1685" t="s">
        <v>2589</v>
      </c>
      <c r="D1685">
        <v>2.3950860088401602E-8</v>
      </c>
      <c r="E1685" t="s">
        <v>640</v>
      </c>
      <c r="H1685" t="s">
        <v>588</v>
      </c>
    </row>
    <row r="1686" spans="2:8">
      <c r="B1686" t="s">
        <v>3458</v>
      </c>
      <c r="C1686" t="s">
        <v>673</v>
      </c>
      <c r="D1686">
        <v>1.4315028384952501E-6</v>
      </c>
      <c r="E1686" t="s">
        <v>94</v>
      </c>
      <c r="H1686" t="s">
        <v>588</v>
      </c>
    </row>
    <row r="1687" spans="2:8">
      <c r="B1687" t="s">
        <v>3460</v>
      </c>
      <c r="C1687" t="s">
        <v>673</v>
      </c>
      <c r="D1687">
        <v>2.0513568208539702E-6</v>
      </c>
      <c r="E1687" t="s">
        <v>94</v>
      </c>
      <c r="H1687" t="s">
        <v>588</v>
      </c>
    </row>
    <row r="1688" spans="2:8">
      <c r="B1688" t="s">
        <v>3463</v>
      </c>
      <c r="C1688" t="s">
        <v>701</v>
      </c>
      <c r="D1688">
        <v>4.5995674085285098E-5</v>
      </c>
      <c r="E1688" t="s">
        <v>94</v>
      </c>
      <c r="H1688" t="s">
        <v>588</v>
      </c>
    </row>
    <row r="1689" spans="2:8">
      <c r="B1689" t="s">
        <v>3466</v>
      </c>
      <c r="C1689" t="s">
        <v>708</v>
      </c>
      <c r="D1689">
        <v>3.4844518283713202E-5</v>
      </c>
      <c r="E1689" t="s">
        <v>94</v>
      </c>
      <c r="H1689" t="s">
        <v>588</v>
      </c>
    </row>
    <row r="1690" spans="2:8">
      <c r="B1690" t="s">
        <v>3466</v>
      </c>
      <c r="C1690" t="s">
        <v>708</v>
      </c>
      <c r="D1690">
        <v>2.3599922247440199E-5</v>
      </c>
      <c r="E1690" t="s">
        <v>94</v>
      </c>
      <c r="H1690" t="s">
        <v>588</v>
      </c>
    </row>
    <row r="1691" spans="2:8">
      <c r="B1691" t="s">
        <v>1337</v>
      </c>
      <c r="C1691" t="s">
        <v>701</v>
      </c>
      <c r="D1691">
        <v>4.00509505154848E-6</v>
      </c>
      <c r="E1691" t="s">
        <v>94</v>
      </c>
      <c r="H1691" t="s">
        <v>588</v>
      </c>
    </row>
    <row r="1692" spans="2:8">
      <c r="B1692" t="s">
        <v>1337</v>
      </c>
      <c r="C1692" t="s">
        <v>701</v>
      </c>
      <c r="D1692">
        <v>4.4745021514768499E-6</v>
      </c>
      <c r="E1692" t="s">
        <v>94</v>
      </c>
      <c r="H1692" t="s">
        <v>588</v>
      </c>
    </row>
    <row r="1693" spans="2:8">
      <c r="B1693" t="s">
        <v>3470</v>
      </c>
      <c r="C1693" t="s">
        <v>1698</v>
      </c>
      <c r="D1693">
        <v>1.23913676059321E-3</v>
      </c>
      <c r="E1693" t="s">
        <v>1171</v>
      </c>
      <c r="H1693" t="s">
        <v>588</v>
      </c>
    </row>
    <row r="1694" spans="2:8">
      <c r="B1694" t="s">
        <v>3472</v>
      </c>
      <c r="C1694" t="s">
        <v>1698</v>
      </c>
      <c r="D1694">
        <v>3.0795123172377498E-4</v>
      </c>
      <c r="E1694" t="s">
        <v>1171</v>
      </c>
      <c r="H1694" t="s">
        <v>588</v>
      </c>
    </row>
    <row r="1695" spans="2:8">
      <c r="B1695" t="s">
        <v>1339</v>
      </c>
      <c r="C1695" t="s">
        <v>701</v>
      </c>
      <c r="D1695">
        <v>1.2089129418818499E-4</v>
      </c>
      <c r="E1695" t="s">
        <v>94</v>
      </c>
      <c r="H1695" t="s">
        <v>588</v>
      </c>
    </row>
    <row r="1696" spans="2:8">
      <c r="B1696" t="s">
        <v>1342</v>
      </c>
      <c r="C1696" t="s">
        <v>701</v>
      </c>
      <c r="D1696">
        <v>3.4029034875629901E-3</v>
      </c>
      <c r="E1696" t="s">
        <v>94</v>
      </c>
      <c r="H1696" t="s">
        <v>588</v>
      </c>
    </row>
    <row r="1697" spans="2:8">
      <c r="B1697" t="s">
        <v>3475</v>
      </c>
      <c r="C1697" t="s">
        <v>701</v>
      </c>
      <c r="D1697">
        <v>3.85273304908378E-4</v>
      </c>
      <c r="E1697" t="s">
        <v>94</v>
      </c>
      <c r="H1697" t="s">
        <v>588</v>
      </c>
    </row>
    <row r="1698" spans="2:8">
      <c r="B1698" t="s">
        <v>1344</v>
      </c>
      <c r="C1698" t="s">
        <v>701</v>
      </c>
      <c r="D1698">
        <v>7.2663891266671395E-4</v>
      </c>
      <c r="E1698" t="s">
        <v>94</v>
      </c>
      <c r="H1698" t="s">
        <v>588</v>
      </c>
    </row>
    <row r="1699" spans="2:8">
      <c r="B1699" t="s">
        <v>3478</v>
      </c>
      <c r="C1699" t="s">
        <v>1249</v>
      </c>
      <c r="D1699">
        <v>1.9752095308516799E-5</v>
      </c>
      <c r="E1699" t="s">
        <v>94</v>
      </c>
      <c r="H1699" t="s">
        <v>588</v>
      </c>
    </row>
    <row r="1700" spans="2:8">
      <c r="B1700" t="s">
        <v>3478</v>
      </c>
      <c r="C1700" t="s">
        <v>1249</v>
      </c>
      <c r="D1700">
        <v>1.89954479195857E-5</v>
      </c>
      <c r="E1700" t="s">
        <v>94</v>
      </c>
      <c r="H1700" t="s">
        <v>588</v>
      </c>
    </row>
    <row r="1701" spans="2:8">
      <c r="B1701" t="s">
        <v>3482</v>
      </c>
      <c r="C1701" t="s">
        <v>701</v>
      </c>
      <c r="D1701">
        <v>7.7389435680309404E-7</v>
      </c>
      <c r="E1701" t="s">
        <v>94</v>
      </c>
      <c r="H1701" t="s">
        <v>588</v>
      </c>
    </row>
    <row r="1702" spans="2:8">
      <c r="B1702" t="s">
        <v>3485</v>
      </c>
      <c r="C1702" t="s">
        <v>701</v>
      </c>
      <c r="D1702">
        <v>3.20879268833447E-3</v>
      </c>
      <c r="E1702" t="s">
        <v>94</v>
      </c>
      <c r="H1702" t="s">
        <v>588</v>
      </c>
    </row>
    <row r="1703" spans="2:8">
      <c r="B1703" t="s">
        <v>3485</v>
      </c>
      <c r="C1703" t="s">
        <v>701</v>
      </c>
      <c r="D1703">
        <v>3.1982947821723299E-3</v>
      </c>
      <c r="E1703" t="s">
        <v>94</v>
      </c>
      <c r="H1703" t="s">
        <v>588</v>
      </c>
    </row>
    <row r="1704" spans="2:8">
      <c r="B1704" t="s">
        <v>1346</v>
      </c>
      <c r="C1704" t="s">
        <v>701</v>
      </c>
      <c r="D1704">
        <v>8.6439949183159206E-6</v>
      </c>
      <c r="E1704" t="s">
        <v>94</v>
      </c>
      <c r="H1704" t="s">
        <v>588</v>
      </c>
    </row>
    <row r="1705" spans="2:8">
      <c r="B1705" t="s">
        <v>1348</v>
      </c>
      <c r="C1705" t="s">
        <v>701</v>
      </c>
      <c r="D1705">
        <v>4.2488403147808798E-4</v>
      </c>
      <c r="E1705" t="s">
        <v>94</v>
      </c>
      <c r="H1705" t="s">
        <v>588</v>
      </c>
    </row>
    <row r="1706" spans="2:8">
      <c r="B1706" t="s">
        <v>3487</v>
      </c>
      <c r="C1706" t="s">
        <v>1249</v>
      </c>
      <c r="D1706">
        <v>3.2763984367748201E-3</v>
      </c>
      <c r="E1706" t="s">
        <v>94</v>
      </c>
      <c r="H1706" t="s">
        <v>588</v>
      </c>
    </row>
    <row r="1707" spans="2:8">
      <c r="B1707" t="s">
        <v>3489</v>
      </c>
      <c r="C1707" t="s">
        <v>701</v>
      </c>
      <c r="D1707">
        <v>5.88811500638542E-5</v>
      </c>
      <c r="E1707" t="s">
        <v>94</v>
      </c>
      <c r="H1707" t="s">
        <v>588</v>
      </c>
    </row>
    <row r="1708" spans="2:8">
      <c r="B1708" t="s">
        <v>3491</v>
      </c>
      <c r="C1708" t="s">
        <v>701</v>
      </c>
      <c r="D1708">
        <v>2.3456975483490399E-7</v>
      </c>
      <c r="E1708" t="s">
        <v>94</v>
      </c>
      <c r="H1708" t="s">
        <v>588</v>
      </c>
    </row>
    <row r="1709" spans="2:8">
      <c r="B1709" t="s">
        <v>3493</v>
      </c>
      <c r="C1709" t="s">
        <v>701</v>
      </c>
      <c r="D1709">
        <v>1.15478742873758E-4</v>
      </c>
      <c r="E1709" t="s">
        <v>94</v>
      </c>
      <c r="H1709" t="s">
        <v>588</v>
      </c>
    </row>
    <row r="1710" spans="2:8">
      <c r="B1710" t="s">
        <v>1351</v>
      </c>
      <c r="C1710" t="s">
        <v>701</v>
      </c>
      <c r="D1710">
        <v>3.0023815112918201E-4</v>
      </c>
      <c r="E1710" t="s">
        <v>94</v>
      </c>
      <c r="H1710" t="s">
        <v>588</v>
      </c>
    </row>
    <row r="1711" spans="2:8">
      <c r="B1711" t="s">
        <v>3495</v>
      </c>
      <c r="C1711" t="s">
        <v>1138</v>
      </c>
      <c r="D1711">
        <v>1.6470237453775199E-5</v>
      </c>
      <c r="E1711" t="s">
        <v>94</v>
      </c>
      <c r="H1711" t="s">
        <v>588</v>
      </c>
    </row>
    <row r="1712" spans="2:8">
      <c r="B1712" t="s">
        <v>1353</v>
      </c>
      <c r="C1712" t="s">
        <v>701</v>
      </c>
      <c r="D1712">
        <v>2.4971088925373201E-5</v>
      </c>
      <c r="E1712" t="s">
        <v>94</v>
      </c>
      <c r="H1712" t="s">
        <v>588</v>
      </c>
    </row>
    <row r="1713" spans="2:8">
      <c r="B1713" t="s">
        <v>1353</v>
      </c>
      <c r="C1713" t="s">
        <v>701</v>
      </c>
      <c r="D1713">
        <v>4.2725241348373402E-6</v>
      </c>
      <c r="E1713" t="s">
        <v>94</v>
      </c>
      <c r="H1713" t="s">
        <v>588</v>
      </c>
    </row>
    <row r="1714" spans="2:8">
      <c r="B1714" t="s">
        <v>3499</v>
      </c>
      <c r="C1714" t="s">
        <v>701</v>
      </c>
      <c r="D1714">
        <v>1.15291941415279E-4</v>
      </c>
      <c r="E1714" t="s">
        <v>94</v>
      </c>
      <c r="H1714" t="s">
        <v>588</v>
      </c>
    </row>
    <row r="1715" spans="2:8">
      <c r="B1715" t="s">
        <v>3499</v>
      </c>
      <c r="C1715" t="s">
        <v>701</v>
      </c>
      <c r="D1715">
        <v>1.5368126143709999E-4</v>
      </c>
      <c r="E1715" t="s">
        <v>94</v>
      </c>
      <c r="H1715" t="s">
        <v>588</v>
      </c>
    </row>
    <row r="1716" spans="2:8">
      <c r="B1716" t="s">
        <v>1355</v>
      </c>
      <c r="C1716" t="s">
        <v>701</v>
      </c>
      <c r="D1716">
        <v>3.1565452751541499E-4</v>
      </c>
      <c r="E1716" t="s">
        <v>94</v>
      </c>
      <c r="H1716" t="s">
        <v>588</v>
      </c>
    </row>
    <row r="1717" spans="2:8">
      <c r="B1717" t="s">
        <v>3502</v>
      </c>
      <c r="C1717" t="s">
        <v>701</v>
      </c>
      <c r="D1717">
        <v>2.8848818936479301E-5</v>
      </c>
      <c r="E1717" t="s">
        <v>94</v>
      </c>
      <c r="H1717" t="s">
        <v>588</v>
      </c>
    </row>
    <row r="1718" spans="2:8">
      <c r="B1718" t="s">
        <v>1358</v>
      </c>
      <c r="C1718" t="s">
        <v>701</v>
      </c>
      <c r="D1718">
        <v>4.9154893087061395E-4</v>
      </c>
      <c r="E1718" t="s">
        <v>94</v>
      </c>
      <c r="H1718" t="s">
        <v>588</v>
      </c>
    </row>
    <row r="1719" spans="2:8">
      <c r="B1719" t="s">
        <v>3504</v>
      </c>
      <c r="C1719" t="s">
        <v>701</v>
      </c>
      <c r="D1719">
        <v>4.9842569392188701E-4</v>
      </c>
      <c r="E1719" t="s">
        <v>94</v>
      </c>
      <c r="H1719" t="s">
        <v>588</v>
      </c>
    </row>
    <row r="1720" spans="2:8">
      <c r="B1720" t="s">
        <v>3507</v>
      </c>
      <c r="C1720" t="s">
        <v>1249</v>
      </c>
      <c r="D1720">
        <v>4.6401797334130303E-6</v>
      </c>
      <c r="E1720" t="s">
        <v>94</v>
      </c>
      <c r="H1720" t="s">
        <v>588</v>
      </c>
    </row>
    <row r="1721" spans="2:8">
      <c r="B1721" t="s">
        <v>3510</v>
      </c>
      <c r="C1721" t="s">
        <v>701</v>
      </c>
      <c r="D1721">
        <v>9.6222482140047994E-5</v>
      </c>
      <c r="E1721" t="s">
        <v>94</v>
      </c>
      <c r="H1721" t="s">
        <v>588</v>
      </c>
    </row>
    <row r="1722" spans="2:8">
      <c r="B1722" t="s">
        <v>3510</v>
      </c>
      <c r="C1722" t="s">
        <v>701</v>
      </c>
      <c r="D1722">
        <v>4.8044752113618899E-5</v>
      </c>
      <c r="E1722" t="s">
        <v>94</v>
      </c>
      <c r="H1722" t="s">
        <v>588</v>
      </c>
    </row>
    <row r="1723" spans="2:8">
      <c r="B1723" t="s">
        <v>3512</v>
      </c>
      <c r="C1723" t="s">
        <v>569</v>
      </c>
      <c r="D1723">
        <v>1.32346920315034E-5</v>
      </c>
      <c r="E1723" t="s">
        <v>94</v>
      </c>
      <c r="H1723" t="s">
        <v>588</v>
      </c>
    </row>
    <row r="1724" spans="2:8">
      <c r="B1724" t="s">
        <v>3514</v>
      </c>
      <c r="C1724" t="s">
        <v>2890</v>
      </c>
      <c r="D1724">
        <v>1.25437041208631E-5</v>
      </c>
      <c r="E1724" t="s">
        <v>94</v>
      </c>
      <c r="H1724" t="s">
        <v>588</v>
      </c>
    </row>
    <row r="1725" spans="2:8">
      <c r="B1725" t="s">
        <v>3516</v>
      </c>
      <c r="C1725" t="s">
        <v>853</v>
      </c>
      <c r="D1725">
        <v>1.7915783549814102E-2</v>
      </c>
      <c r="E1725" t="s">
        <v>94</v>
      </c>
      <c r="H1725" t="s">
        <v>588</v>
      </c>
    </row>
    <row r="1726" spans="2:8">
      <c r="B1726" t="s">
        <v>3518</v>
      </c>
      <c r="C1726" t="s">
        <v>673</v>
      </c>
      <c r="D1726">
        <v>3.87090037254904E-4</v>
      </c>
      <c r="E1726" t="s">
        <v>94</v>
      </c>
      <c r="H1726" t="s">
        <v>588</v>
      </c>
    </row>
    <row r="1727" spans="2:8">
      <c r="B1727" t="s">
        <v>3520</v>
      </c>
      <c r="C1727" t="s">
        <v>809</v>
      </c>
      <c r="D1727">
        <v>7.3236727240552797E-4</v>
      </c>
      <c r="E1727" t="s">
        <v>94</v>
      </c>
      <c r="H1727" t="s">
        <v>588</v>
      </c>
    </row>
    <row r="1728" spans="2:8">
      <c r="B1728" t="s">
        <v>3520</v>
      </c>
      <c r="C1728" t="s">
        <v>809</v>
      </c>
      <c r="D1728">
        <v>1.8744238262761301E-4</v>
      </c>
      <c r="E1728" t="s">
        <v>94</v>
      </c>
      <c r="H1728" t="s">
        <v>588</v>
      </c>
    </row>
    <row r="1729" spans="2:8">
      <c r="B1729" t="s">
        <v>1360</v>
      </c>
      <c r="C1729" t="s">
        <v>673</v>
      </c>
      <c r="D1729">
        <v>1.2549120673444901E-6</v>
      </c>
      <c r="E1729" t="s">
        <v>94</v>
      </c>
      <c r="H1729" t="s">
        <v>588</v>
      </c>
    </row>
    <row r="1730" spans="2:8">
      <c r="B1730" t="s">
        <v>3524</v>
      </c>
      <c r="C1730" t="s">
        <v>809</v>
      </c>
      <c r="D1730">
        <v>1.7116357685635899E-4</v>
      </c>
      <c r="E1730" t="s">
        <v>94</v>
      </c>
      <c r="H1730" t="s">
        <v>588</v>
      </c>
    </row>
    <row r="1731" spans="2:8">
      <c r="B1731" t="s">
        <v>3524</v>
      </c>
      <c r="C1731" t="s">
        <v>809</v>
      </c>
      <c r="D1731">
        <v>8.1635963681967003E-5</v>
      </c>
      <c r="E1731" t="s">
        <v>94</v>
      </c>
      <c r="H1731" t="s">
        <v>588</v>
      </c>
    </row>
    <row r="1732" spans="2:8">
      <c r="B1732" t="s">
        <v>3524</v>
      </c>
      <c r="C1732" t="s">
        <v>809</v>
      </c>
      <c r="D1732">
        <v>2.3755436613465998E-6</v>
      </c>
      <c r="E1732" t="s">
        <v>94</v>
      </c>
      <c r="H1732" t="s">
        <v>588</v>
      </c>
    </row>
    <row r="1733" spans="2:8">
      <c r="B1733" t="s">
        <v>3524</v>
      </c>
      <c r="C1733" t="s">
        <v>809</v>
      </c>
      <c r="D1733">
        <v>7.9301463317928706E-5</v>
      </c>
      <c r="E1733" t="s">
        <v>94</v>
      </c>
      <c r="H1733" t="s">
        <v>588</v>
      </c>
    </row>
    <row r="1734" spans="2:8">
      <c r="B1734" t="s">
        <v>1363</v>
      </c>
      <c r="C1734" t="s">
        <v>673</v>
      </c>
      <c r="D1734">
        <v>1.21882383911158E-8</v>
      </c>
      <c r="E1734" t="s">
        <v>94</v>
      </c>
      <c r="H1734" t="s">
        <v>588</v>
      </c>
    </row>
    <row r="1735" spans="2:8">
      <c r="B1735" t="s">
        <v>3527</v>
      </c>
      <c r="C1735" t="s">
        <v>809</v>
      </c>
      <c r="D1735">
        <v>2.3258135979510201E-4</v>
      </c>
      <c r="E1735" t="s">
        <v>94</v>
      </c>
      <c r="H1735" t="s">
        <v>588</v>
      </c>
    </row>
    <row r="1736" spans="2:8">
      <c r="B1736" t="s">
        <v>3527</v>
      </c>
      <c r="C1736" t="s">
        <v>809</v>
      </c>
      <c r="D1736">
        <v>1.6393663195026501E-4</v>
      </c>
      <c r="E1736" t="s">
        <v>94</v>
      </c>
      <c r="H1736" t="s">
        <v>588</v>
      </c>
    </row>
    <row r="1737" spans="2:8">
      <c r="B1737" t="s">
        <v>3531</v>
      </c>
      <c r="C1737" t="s">
        <v>587</v>
      </c>
      <c r="D1737">
        <v>7.2122924341173402E-6</v>
      </c>
      <c r="E1737" t="s">
        <v>94</v>
      </c>
      <c r="H1737" t="s">
        <v>588</v>
      </c>
    </row>
    <row r="1738" spans="2:8">
      <c r="B1738" t="s">
        <v>3532</v>
      </c>
      <c r="C1738" t="s">
        <v>1830</v>
      </c>
      <c r="D1738">
        <v>4.16560987428282E-4</v>
      </c>
      <c r="E1738" t="s">
        <v>94</v>
      </c>
    </row>
    <row r="1739" spans="2:8">
      <c r="B1739" t="s">
        <v>3532</v>
      </c>
      <c r="C1739" t="s">
        <v>1830</v>
      </c>
      <c r="D1739">
        <v>5.63198270399352E-4</v>
      </c>
      <c r="E1739" t="s">
        <v>94</v>
      </c>
    </row>
    <row r="1740" spans="2:8">
      <c r="B1740" t="s">
        <v>3532</v>
      </c>
      <c r="C1740" t="s">
        <v>1830</v>
      </c>
      <c r="D1740">
        <v>7.4237823781171703E-6</v>
      </c>
      <c r="E1740" t="s">
        <v>94</v>
      </c>
    </row>
    <row r="1741" spans="2:8">
      <c r="B1741" t="s">
        <v>3532</v>
      </c>
      <c r="C1741" t="s">
        <v>1830</v>
      </c>
      <c r="D1741">
        <v>2.7893637000457302E-4</v>
      </c>
      <c r="E1741" t="s">
        <v>94</v>
      </c>
    </row>
    <row r="1742" spans="2:8">
      <c r="B1742" t="s">
        <v>3532</v>
      </c>
      <c r="C1742" t="s">
        <v>1830</v>
      </c>
      <c r="D1742">
        <v>3.1243138304524299E-4</v>
      </c>
      <c r="E1742" t="s">
        <v>94</v>
      </c>
    </row>
    <row r="1743" spans="2:8">
      <c r="B1743" t="s">
        <v>3532</v>
      </c>
      <c r="C1743" t="s">
        <v>1830</v>
      </c>
      <c r="D1743">
        <v>1.22265781665756E-3</v>
      </c>
      <c r="E1743" t="s">
        <v>94</v>
      </c>
    </row>
    <row r="1744" spans="2:8">
      <c r="B1744" t="s">
        <v>3532</v>
      </c>
      <c r="C1744" t="s">
        <v>1830</v>
      </c>
      <c r="D1744">
        <v>6.3571044885267405E-4</v>
      </c>
      <c r="E1744" t="s">
        <v>94</v>
      </c>
      <c r="H1744" t="s">
        <v>588</v>
      </c>
    </row>
    <row r="1745" spans="2:8">
      <c r="B1745" t="s">
        <v>3532</v>
      </c>
      <c r="C1745" t="s">
        <v>1830</v>
      </c>
      <c r="D1745">
        <v>2.4963784638591599E-3</v>
      </c>
      <c r="E1745" t="s">
        <v>94</v>
      </c>
    </row>
    <row r="1746" spans="2:8">
      <c r="B1746" t="s">
        <v>3535</v>
      </c>
      <c r="C1746" t="s">
        <v>1810</v>
      </c>
      <c r="D1746">
        <v>5.8833054169521995E-7</v>
      </c>
      <c r="E1746" t="s">
        <v>1811</v>
      </c>
      <c r="H1746" t="s">
        <v>588</v>
      </c>
    </row>
    <row r="1747" spans="2:8">
      <c r="B1747" t="s">
        <v>3538</v>
      </c>
      <c r="C1747" t="s">
        <v>2682</v>
      </c>
      <c r="D1747">
        <v>4.9296906079958401E-4</v>
      </c>
      <c r="E1747" t="s">
        <v>94</v>
      </c>
      <c r="H1747" t="s">
        <v>588</v>
      </c>
    </row>
    <row r="1748" spans="2:8">
      <c r="B1748" t="s">
        <v>3541</v>
      </c>
      <c r="C1748" t="s">
        <v>787</v>
      </c>
      <c r="D1748">
        <v>4.2612807713908398E-4</v>
      </c>
      <c r="E1748" t="s">
        <v>94</v>
      </c>
      <c r="H1748" t="s">
        <v>588</v>
      </c>
    </row>
    <row r="1749" spans="2:8">
      <c r="B1749" t="s">
        <v>3544</v>
      </c>
      <c r="C1749" t="s">
        <v>1417</v>
      </c>
      <c r="D1749">
        <v>6.40378205572995E-5</v>
      </c>
      <c r="E1749" t="s">
        <v>626</v>
      </c>
      <c r="H1749" t="s">
        <v>588</v>
      </c>
    </row>
    <row r="1750" spans="2:8">
      <c r="B1750" t="s">
        <v>3544</v>
      </c>
      <c r="C1750" t="s">
        <v>1417</v>
      </c>
      <c r="D1750">
        <v>4.6914023968895103E-6</v>
      </c>
      <c r="E1750" t="s">
        <v>626</v>
      </c>
      <c r="H1750" t="s">
        <v>588</v>
      </c>
    </row>
    <row r="1751" spans="2:8">
      <c r="B1751" t="s">
        <v>3549</v>
      </c>
      <c r="C1751" t="s">
        <v>1417</v>
      </c>
      <c r="D1751">
        <v>5.1442853015397302E-6</v>
      </c>
      <c r="E1751" t="s">
        <v>626</v>
      </c>
      <c r="H1751" t="s">
        <v>588</v>
      </c>
    </row>
    <row r="1752" spans="2:8">
      <c r="B1752" t="s">
        <v>3549</v>
      </c>
      <c r="C1752" t="s">
        <v>1417</v>
      </c>
      <c r="D1752">
        <v>6.2811688173895199E-6</v>
      </c>
      <c r="E1752" t="s">
        <v>626</v>
      </c>
      <c r="H1752" t="s">
        <v>588</v>
      </c>
    </row>
    <row r="1753" spans="2:8">
      <c r="B1753" t="s">
        <v>3552</v>
      </c>
      <c r="C1753" t="s">
        <v>1489</v>
      </c>
      <c r="D1753">
        <v>1.2795268183031801E-6</v>
      </c>
      <c r="E1753" t="s">
        <v>616</v>
      </c>
      <c r="H1753" t="s">
        <v>588</v>
      </c>
    </row>
    <row r="1754" spans="2:8">
      <c r="B1754" t="s">
        <v>3555</v>
      </c>
      <c r="C1754" t="s">
        <v>1489</v>
      </c>
      <c r="D1754">
        <v>4.0409931701404198E-5</v>
      </c>
      <c r="E1754" t="s">
        <v>616</v>
      </c>
      <c r="H1754" t="s">
        <v>588</v>
      </c>
    </row>
    <row r="1755" spans="2:8">
      <c r="B1755" t="s">
        <v>3558</v>
      </c>
      <c r="C1755" t="s">
        <v>1489</v>
      </c>
      <c r="D1755">
        <v>3.82896692911956E-7</v>
      </c>
      <c r="E1755" t="s">
        <v>94</v>
      </c>
      <c r="H1755" t="s">
        <v>588</v>
      </c>
    </row>
    <row r="1756" spans="2:8">
      <c r="B1756" t="s">
        <v>3560</v>
      </c>
      <c r="C1756" t="s">
        <v>1489</v>
      </c>
      <c r="D1756">
        <v>2.85868626018492E-6</v>
      </c>
      <c r="E1756" t="s">
        <v>616</v>
      </c>
      <c r="H1756" t="s">
        <v>588</v>
      </c>
    </row>
    <row r="1757" spans="2:8">
      <c r="B1757" t="s">
        <v>1367</v>
      </c>
      <c r="C1757" t="s">
        <v>857</v>
      </c>
      <c r="D1757">
        <v>1.2641370167709499E-13</v>
      </c>
      <c r="E1757" t="s">
        <v>616</v>
      </c>
      <c r="H1757" t="s">
        <v>588</v>
      </c>
    </row>
    <row r="1758" spans="2:8">
      <c r="B1758" t="s">
        <v>3563</v>
      </c>
      <c r="C1758" t="s">
        <v>3564</v>
      </c>
      <c r="D1758">
        <v>5.5109638152292998E-7</v>
      </c>
      <c r="E1758" t="s">
        <v>94</v>
      </c>
      <c r="H1758" t="s">
        <v>588</v>
      </c>
    </row>
    <row r="1759" spans="2:8">
      <c r="B1759" t="s">
        <v>3566</v>
      </c>
      <c r="C1759" t="s">
        <v>615</v>
      </c>
      <c r="D1759">
        <v>2.5104270815329301E-11</v>
      </c>
      <c r="E1759" t="s">
        <v>616</v>
      </c>
      <c r="H1759" t="s">
        <v>588</v>
      </c>
    </row>
    <row r="1760" spans="2:8">
      <c r="B1760" t="s">
        <v>3568</v>
      </c>
      <c r="C1760" t="s">
        <v>615</v>
      </c>
      <c r="D1760">
        <v>4.5574774947598802E-10</v>
      </c>
      <c r="E1760" t="s">
        <v>616</v>
      </c>
      <c r="H1760" t="s">
        <v>588</v>
      </c>
    </row>
    <row r="1761" spans="2:8">
      <c r="B1761" t="s">
        <v>3571</v>
      </c>
      <c r="C1761" t="s">
        <v>615</v>
      </c>
      <c r="D1761">
        <v>3.7978979122999E-10</v>
      </c>
      <c r="E1761" t="s">
        <v>616</v>
      </c>
      <c r="H1761" t="s">
        <v>588</v>
      </c>
    </row>
    <row r="1762" spans="2:8">
      <c r="B1762" t="s">
        <v>3574</v>
      </c>
      <c r="C1762" t="s">
        <v>1170</v>
      </c>
      <c r="D1762">
        <v>1.1148876414721201E-8</v>
      </c>
      <c r="E1762" t="s">
        <v>626</v>
      </c>
      <c r="H1762" t="s">
        <v>588</v>
      </c>
    </row>
    <row r="1763" spans="2:8">
      <c r="B1763" t="s">
        <v>3577</v>
      </c>
      <c r="C1763" t="s">
        <v>1170</v>
      </c>
      <c r="D1763">
        <v>6.4947139571305805E-7</v>
      </c>
      <c r="E1763" t="s">
        <v>626</v>
      </c>
      <c r="H1763" t="s">
        <v>588</v>
      </c>
    </row>
    <row r="1764" spans="2:8">
      <c r="B1764" t="s">
        <v>3579</v>
      </c>
      <c r="C1764" t="s">
        <v>1170</v>
      </c>
      <c r="D1764">
        <v>4.3103271431068302E-7</v>
      </c>
      <c r="E1764" t="s">
        <v>94</v>
      </c>
      <c r="H1764" t="s">
        <v>588</v>
      </c>
    </row>
    <row r="1765" spans="2:8">
      <c r="B1765" t="s">
        <v>1374</v>
      </c>
      <c r="C1765" t="s">
        <v>1170</v>
      </c>
      <c r="D1765">
        <v>2.6367820643623498E-7</v>
      </c>
      <c r="E1765" t="s">
        <v>94</v>
      </c>
      <c r="H1765" t="s">
        <v>588</v>
      </c>
    </row>
    <row r="1766" spans="2:8">
      <c r="B1766" t="s">
        <v>3581</v>
      </c>
      <c r="C1766" t="s">
        <v>1170</v>
      </c>
      <c r="D1766">
        <v>2.8961943393442798E-7</v>
      </c>
      <c r="E1766" t="s">
        <v>94</v>
      </c>
      <c r="H1766" t="s">
        <v>588</v>
      </c>
    </row>
    <row r="1767" spans="2:8">
      <c r="B1767" t="s">
        <v>3584</v>
      </c>
      <c r="C1767" t="s">
        <v>1170</v>
      </c>
      <c r="D1767">
        <v>1.6637041646401201E-7</v>
      </c>
      <c r="E1767" t="s">
        <v>626</v>
      </c>
      <c r="H1767" t="s">
        <v>588</v>
      </c>
    </row>
    <row r="1768" spans="2:8">
      <c r="B1768" t="s">
        <v>3587</v>
      </c>
      <c r="C1768" t="s">
        <v>1170</v>
      </c>
      <c r="D1768">
        <v>6.8829928910625302E-6</v>
      </c>
      <c r="E1768" t="s">
        <v>94</v>
      </c>
      <c r="H1768" t="s">
        <v>588</v>
      </c>
    </row>
    <row r="1769" spans="2:8">
      <c r="B1769" t="s">
        <v>1376</v>
      </c>
      <c r="C1769" t="s">
        <v>1170</v>
      </c>
      <c r="D1769">
        <v>6.0672608711865103E-6</v>
      </c>
      <c r="E1769" t="s">
        <v>94</v>
      </c>
      <c r="H1769" t="s">
        <v>588</v>
      </c>
    </row>
    <row r="1770" spans="2:8">
      <c r="B1770" t="s">
        <v>3590</v>
      </c>
      <c r="C1770" t="s">
        <v>1143</v>
      </c>
      <c r="D1770">
        <v>1.19296219936006E-4</v>
      </c>
      <c r="E1770" t="s">
        <v>94</v>
      </c>
      <c r="H1770" t="s">
        <v>588</v>
      </c>
    </row>
    <row r="1771" spans="2:8">
      <c r="B1771" t="s">
        <v>3590</v>
      </c>
      <c r="C1771" t="s">
        <v>1143</v>
      </c>
      <c r="D1771">
        <v>1.29097272433107E-4</v>
      </c>
      <c r="E1771" t="s">
        <v>94</v>
      </c>
      <c r="H1771" t="s">
        <v>588</v>
      </c>
    </row>
    <row r="1772" spans="2:8">
      <c r="B1772" t="s">
        <v>3593</v>
      </c>
      <c r="C1772" t="s">
        <v>673</v>
      </c>
      <c r="D1772">
        <v>4.04434439283971E-6</v>
      </c>
      <c r="E1772" t="s">
        <v>94</v>
      </c>
      <c r="H1772" t="s">
        <v>588</v>
      </c>
    </row>
    <row r="1773" spans="2:8">
      <c r="B1773" t="s">
        <v>1380</v>
      </c>
      <c r="C1773" t="s">
        <v>592</v>
      </c>
      <c r="D1773">
        <v>1.7001795213738099E-4</v>
      </c>
      <c r="E1773" t="s">
        <v>607</v>
      </c>
      <c r="H1773" t="s">
        <v>588</v>
      </c>
    </row>
    <row r="1774" spans="2:8">
      <c r="B1774" t="s">
        <v>1383</v>
      </c>
      <c r="C1774" t="s">
        <v>673</v>
      </c>
      <c r="D1774">
        <v>6.6725721453245503E-6</v>
      </c>
      <c r="E1774" t="s">
        <v>94</v>
      </c>
      <c r="H1774" t="s">
        <v>588</v>
      </c>
    </row>
    <row r="1775" spans="2:8">
      <c r="B1775" t="s">
        <v>1383</v>
      </c>
      <c r="C1775" t="s">
        <v>673</v>
      </c>
      <c r="D1775">
        <v>6.6282576637073296E-4</v>
      </c>
      <c r="E1775" t="s">
        <v>94</v>
      </c>
      <c r="H1775" t="s">
        <v>588</v>
      </c>
    </row>
    <row r="1776" spans="2:8">
      <c r="B1776" t="s">
        <v>3598</v>
      </c>
      <c r="C1776" t="s">
        <v>615</v>
      </c>
      <c r="D1776">
        <v>3.54276358994044E-13</v>
      </c>
      <c r="E1776" t="s">
        <v>616</v>
      </c>
      <c r="H1776" t="s">
        <v>588</v>
      </c>
    </row>
    <row r="1777" spans="2:8">
      <c r="B1777" t="s">
        <v>3598</v>
      </c>
      <c r="C1777" t="s">
        <v>615</v>
      </c>
      <c r="D1777">
        <v>1.7100071706408899E-12</v>
      </c>
      <c r="E1777" t="s">
        <v>616</v>
      </c>
      <c r="H1777" t="s">
        <v>588</v>
      </c>
    </row>
    <row r="1778" spans="2:8">
      <c r="B1778" t="s">
        <v>3603</v>
      </c>
      <c r="C1778" t="s">
        <v>2092</v>
      </c>
      <c r="D1778">
        <v>3.6093458276666702E-6</v>
      </c>
      <c r="E1778" t="s">
        <v>640</v>
      </c>
      <c r="H1778" t="s">
        <v>588</v>
      </c>
    </row>
    <row r="1779" spans="2:8">
      <c r="B1779" t="s">
        <v>3603</v>
      </c>
      <c r="C1779" t="s">
        <v>2092</v>
      </c>
      <c r="D1779">
        <v>1.3201898793505099E-5</v>
      </c>
      <c r="E1779" t="s">
        <v>640</v>
      </c>
      <c r="H1779" t="s">
        <v>588</v>
      </c>
    </row>
    <row r="1780" spans="2:8">
      <c r="B1780" t="s">
        <v>3603</v>
      </c>
      <c r="C1780" t="s">
        <v>2092</v>
      </c>
      <c r="D1780">
        <v>1.0027589341941701E-7</v>
      </c>
      <c r="E1780" t="s">
        <v>640</v>
      </c>
      <c r="H1780" t="s">
        <v>588</v>
      </c>
    </row>
    <row r="1781" spans="2:8">
      <c r="B1781" t="s">
        <v>3603</v>
      </c>
      <c r="C1781" t="s">
        <v>2092</v>
      </c>
      <c r="D1781">
        <v>3.08126067135483E-5</v>
      </c>
      <c r="E1781" t="s">
        <v>640</v>
      </c>
      <c r="H1781" t="s">
        <v>588</v>
      </c>
    </row>
    <row r="1782" spans="2:8">
      <c r="B1782" t="s">
        <v>3608</v>
      </c>
      <c r="C1782" t="s">
        <v>2092</v>
      </c>
      <c r="D1782">
        <v>2.7749889562615302E-6</v>
      </c>
      <c r="E1782" t="s">
        <v>640</v>
      </c>
      <c r="H1782" t="s">
        <v>588</v>
      </c>
    </row>
    <row r="1783" spans="2:8">
      <c r="B1783" t="s">
        <v>3608</v>
      </c>
      <c r="C1783" t="s">
        <v>2092</v>
      </c>
      <c r="D1783">
        <v>7.4191484727939206E-5</v>
      </c>
      <c r="E1783" t="s">
        <v>640</v>
      </c>
      <c r="H1783" t="s">
        <v>588</v>
      </c>
    </row>
    <row r="1784" spans="2:8">
      <c r="B1784" t="s">
        <v>3608</v>
      </c>
      <c r="C1784" t="s">
        <v>2092</v>
      </c>
      <c r="D1784">
        <v>2.88183583700734E-7</v>
      </c>
      <c r="E1784" t="s">
        <v>640</v>
      </c>
      <c r="H1784" t="s">
        <v>588</v>
      </c>
    </row>
    <row r="1785" spans="2:8">
      <c r="B1785" t="s">
        <v>3608</v>
      </c>
      <c r="C1785" t="s">
        <v>2092</v>
      </c>
      <c r="D1785">
        <v>1.6535502387365399E-5</v>
      </c>
      <c r="E1785" t="s">
        <v>640</v>
      </c>
      <c r="H1785" t="s">
        <v>588</v>
      </c>
    </row>
    <row r="1786" spans="2:8">
      <c r="B1786" t="s">
        <v>3608</v>
      </c>
      <c r="C1786" t="s">
        <v>2092</v>
      </c>
      <c r="D1786">
        <v>2.48180830486289E-6</v>
      </c>
      <c r="E1786" t="s">
        <v>640</v>
      </c>
      <c r="H1786" t="s">
        <v>588</v>
      </c>
    </row>
    <row r="1787" spans="2:8">
      <c r="B1787" t="s">
        <v>3608</v>
      </c>
      <c r="C1787" t="s">
        <v>2092</v>
      </c>
      <c r="D1787">
        <v>6.7233960478239602E-6</v>
      </c>
      <c r="E1787" t="s">
        <v>640</v>
      </c>
      <c r="H1787" t="s">
        <v>588</v>
      </c>
    </row>
    <row r="1788" spans="2:8">
      <c r="B1788" t="s">
        <v>3608</v>
      </c>
      <c r="C1788" t="s">
        <v>2092</v>
      </c>
      <c r="D1788">
        <v>1.1065843925208101E-5</v>
      </c>
      <c r="E1788" t="s">
        <v>640</v>
      </c>
      <c r="H1788" t="s">
        <v>588</v>
      </c>
    </row>
    <row r="1789" spans="2:8">
      <c r="B1789" t="s">
        <v>3619</v>
      </c>
      <c r="C1789" t="s">
        <v>676</v>
      </c>
      <c r="D1789">
        <v>5.3910923168897798E-2</v>
      </c>
      <c r="E1789" t="s">
        <v>94</v>
      </c>
      <c r="H1789" t="s">
        <v>588</v>
      </c>
    </row>
    <row r="1790" spans="2:8">
      <c r="B1790" t="s">
        <v>3621</v>
      </c>
      <c r="C1790" t="s">
        <v>701</v>
      </c>
      <c r="D1790">
        <v>1.28463638091622E-3</v>
      </c>
      <c r="E1790" t="s">
        <v>94</v>
      </c>
      <c r="H1790" t="s">
        <v>588</v>
      </c>
    </row>
    <row r="1791" spans="2:8">
      <c r="B1791" t="s">
        <v>1386</v>
      </c>
      <c r="C1791" t="s">
        <v>673</v>
      </c>
      <c r="D1791">
        <v>8.3248265748623199E-12</v>
      </c>
      <c r="E1791" t="s">
        <v>94</v>
      </c>
      <c r="H1791" t="s">
        <v>588</v>
      </c>
    </row>
    <row r="1792" spans="2:8">
      <c r="B1792" t="s">
        <v>3623</v>
      </c>
      <c r="C1792" t="s">
        <v>650</v>
      </c>
      <c r="D1792">
        <v>1.4619222481935401E-4</v>
      </c>
      <c r="E1792" t="s">
        <v>94</v>
      </c>
      <c r="H1792" t="s">
        <v>588</v>
      </c>
    </row>
    <row r="1793" spans="2:8">
      <c r="B1793" t="s">
        <v>3623</v>
      </c>
      <c r="C1793" t="s">
        <v>650</v>
      </c>
      <c r="D1793">
        <v>3.1102811876111198E-4</v>
      </c>
      <c r="E1793" t="s">
        <v>94</v>
      </c>
      <c r="H1793" t="s">
        <v>588</v>
      </c>
    </row>
    <row r="1794" spans="2:8">
      <c r="B1794" t="s">
        <v>860</v>
      </c>
      <c r="C1794" t="s">
        <v>650</v>
      </c>
      <c r="D1794">
        <v>7.9230181881058593E-5</v>
      </c>
      <c r="E1794" t="s">
        <v>94</v>
      </c>
      <c r="H1794" t="s">
        <v>588</v>
      </c>
    </row>
    <row r="1795" spans="2:8">
      <c r="B1795" t="s">
        <v>860</v>
      </c>
      <c r="C1795" t="s">
        <v>650</v>
      </c>
      <c r="D1795">
        <v>2.05560512637061E-3</v>
      </c>
      <c r="E1795" t="s">
        <v>94</v>
      </c>
      <c r="H1795" t="s">
        <v>588</v>
      </c>
    </row>
    <row r="1796" spans="2:8">
      <c r="B1796" t="s">
        <v>698</v>
      </c>
      <c r="C1796" t="s">
        <v>650</v>
      </c>
      <c r="D1796">
        <v>2.2464506456135098E-3</v>
      </c>
      <c r="E1796" t="s">
        <v>94</v>
      </c>
      <c r="H1796" t="s">
        <v>588</v>
      </c>
    </row>
    <row r="1797" spans="2:8">
      <c r="B1797" t="s">
        <v>698</v>
      </c>
      <c r="C1797" t="s">
        <v>650</v>
      </c>
      <c r="D1797">
        <v>2.0951792324658898E-3</v>
      </c>
      <c r="E1797" t="s">
        <v>94</v>
      </c>
      <c r="H1797" t="s">
        <v>588</v>
      </c>
    </row>
    <row r="1798" spans="2:8">
      <c r="B1798" t="s">
        <v>3626</v>
      </c>
      <c r="C1798" t="s">
        <v>1830</v>
      </c>
      <c r="D1798">
        <v>2.4678386018992999E-3</v>
      </c>
      <c r="E1798" t="s">
        <v>94</v>
      </c>
    </row>
    <row r="1799" spans="2:8">
      <c r="B1799" t="s">
        <v>3626</v>
      </c>
      <c r="C1799" t="s">
        <v>1830</v>
      </c>
      <c r="D1799">
        <v>2.9614063222791598E-4</v>
      </c>
      <c r="E1799" t="s">
        <v>94</v>
      </c>
      <c r="H1799" t="s">
        <v>588</v>
      </c>
    </row>
    <row r="1800" spans="2:8">
      <c r="B1800" t="s">
        <v>3629</v>
      </c>
      <c r="C1800" t="s">
        <v>2163</v>
      </c>
      <c r="D1800">
        <v>4.6238946927310501E-6</v>
      </c>
      <c r="E1800" t="s">
        <v>94</v>
      </c>
      <c r="H1800" t="s">
        <v>588</v>
      </c>
    </row>
    <row r="1801" spans="2:8">
      <c r="B1801" t="s">
        <v>3629</v>
      </c>
      <c r="C1801" t="s">
        <v>2163</v>
      </c>
      <c r="D1801">
        <v>2.7736519084630702E-3</v>
      </c>
      <c r="E1801" t="s">
        <v>94</v>
      </c>
    </row>
    <row r="1802" spans="2:8">
      <c r="B1802" t="s">
        <v>3629</v>
      </c>
      <c r="C1802" t="s">
        <v>2163</v>
      </c>
      <c r="D1802">
        <v>1.7293073464895701E-6</v>
      </c>
      <c r="E1802" t="s">
        <v>94</v>
      </c>
      <c r="H1802" t="s">
        <v>588</v>
      </c>
    </row>
    <row r="1803" spans="2:8">
      <c r="B1803" t="s">
        <v>3633</v>
      </c>
      <c r="C1803" t="s">
        <v>569</v>
      </c>
      <c r="D1803">
        <v>3.5113988504483802E-4</v>
      </c>
      <c r="E1803" t="s">
        <v>94</v>
      </c>
      <c r="H1803" t="s">
        <v>588</v>
      </c>
    </row>
    <row r="1804" spans="2:8">
      <c r="B1804" t="s">
        <v>3636</v>
      </c>
      <c r="C1804" t="s">
        <v>667</v>
      </c>
      <c r="D1804">
        <v>5.7009934115258504E-4</v>
      </c>
      <c r="E1804" t="s">
        <v>94</v>
      </c>
      <c r="H1804" t="s">
        <v>588</v>
      </c>
    </row>
    <row r="1805" spans="2:8">
      <c r="B1805" t="s">
        <v>3638</v>
      </c>
      <c r="C1805" t="s">
        <v>625</v>
      </c>
      <c r="D1805">
        <v>2.4093357011617799E-7</v>
      </c>
      <c r="E1805" t="s">
        <v>626</v>
      </c>
      <c r="H1805" t="s">
        <v>588</v>
      </c>
    </row>
    <row r="1806" spans="2:8">
      <c r="B1806" t="s">
        <v>3638</v>
      </c>
      <c r="C1806" t="s">
        <v>625</v>
      </c>
      <c r="D1806">
        <v>2.4087068155499297E-7</v>
      </c>
      <c r="E1806" t="s">
        <v>626</v>
      </c>
      <c r="H1806" t="s">
        <v>588</v>
      </c>
    </row>
    <row r="1807" spans="2:8">
      <c r="B1807" t="s">
        <v>3642</v>
      </c>
      <c r="C1807" t="s">
        <v>625</v>
      </c>
      <c r="D1807">
        <v>3.58816713260314E-6</v>
      </c>
      <c r="E1807" t="s">
        <v>626</v>
      </c>
      <c r="H1807" t="s">
        <v>588</v>
      </c>
    </row>
    <row r="1808" spans="2:8">
      <c r="B1808" t="s">
        <v>3642</v>
      </c>
      <c r="C1808" t="s">
        <v>625</v>
      </c>
      <c r="D1808">
        <v>3.5881330334715101E-6</v>
      </c>
      <c r="E1808" t="s">
        <v>626</v>
      </c>
      <c r="H1808" t="s">
        <v>588</v>
      </c>
    </row>
    <row r="1809" spans="2:8">
      <c r="B1809" t="s">
        <v>3647</v>
      </c>
      <c r="C1809" t="s">
        <v>964</v>
      </c>
      <c r="D1809">
        <v>3.5747871411990298E-5</v>
      </c>
      <c r="E1809" t="s">
        <v>94</v>
      </c>
      <c r="H1809" t="s">
        <v>588</v>
      </c>
    </row>
    <row r="1810" spans="2:8">
      <c r="B1810" t="s">
        <v>963</v>
      </c>
      <c r="C1810" t="s">
        <v>964</v>
      </c>
      <c r="D1810">
        <v>1.9629810072486599E-3</v>
      </c>
      <c r="E1810" t="s">
        <v>94</v>
      </c>
      <c r="H1810" t="s">
        <v>588</v>
      </c>
    </row>
    <row r="1811" spans="2:8">
      <c r="B1811" t="s">
        <v>963</v>
      </c>
      <c r="C1811" t="s">
        <v>964</v>
      </c>
      <c r="D1811">
        <v>1.31735987580055E-6</v>
      </c>
      <c r="E1811" t="s">
        <v>94</v>
      </c>
      <c r="H1811" t="s">
        <v>588</v>
      </c>
    </row>
    <row r="1812" spans="2:8">
      <c r="B1812" t="s">
        <v>3653</v>
      </c>
      <c r="C1812" t="s">
        <v>964</v>
      </c>
      <c r="D1812">
        <v>1.3280430449801799E-5</v>
      </c>
      <c r="E1812" t="s">
        <v>94</v>
      </c>
      <c r="H1812" t="s">
        <v>588</v>
      </c>
    </row>
    <row r="1813" spans="2:8">
      <c r="B1813" t="s">
        <v>3655</v>
      </c>
      <c r="C1813" t="s">
        <v>673</v>
      </c>
      <c r="D1813">
        <v>4.40625376662455E-7</v>
      </c>
      <c r="E1813" t="s">
        <v>94</v>
      </c>
      <c r="H1813" t="s">
        <v>588</v>
      </c>
    </row>
    <row r="1814" spans="2:8">
      <c r="B1814" t="s">
        <v>3658</v>
      </c>
      <c r="C1814" t="s">
        <v>3659</v>
      </c>
      <c r="D1814">
        <v>1.4002661648856201E-7</v>
      </c>
      <c r="E1814" t="s">
        <v>616</v>
      </c>
      <c r="H1814" t="s">
        <v>588</v>
      </c>
    </row>
    <row r="1815" spans="2:8">
      <c r="B1815" t="s">
        <v>3662</v>
      </c>
      <c r="C1815" t="s">
        <v>3659</v>
      </c>
      <c r="D1815">
        <v>1.4002661648856201E-7</v>
      </c>
      <c r="E1815" t="s">
        <v>616</v>
      </c>
      <c r="H1815" t="s">
        <v>588</v>
      </c>
    </row>
    <row r="1816" spans="2:8">
      <c r="B1816" t="s">
        <v>3664</v>
      </c>
      <c r="C1816" t="s">
        <v>2173</v>
      </c>
      <c r="D1816">
        <v>3.1165472212447598E-7</v>
      </c>
      <c r="E1816" t="s">
        <v>616</v>
      </c>
      <c r="H1816" t="s">
        <v>588</v>
      </c>
    </row>
    <row r="1817" spans="2:8">
      <c r="B1817" t="s">
        <v>1078</v>
      </c>
      <c r="C1817" t="s">
        <v>821</v>
      </c>
      <c r="D1817">
        <v>1.9518058506762501E-2</v>
      </c>
      <c r="E1817" t="s">
        <v>94</v>
      </c>
      <c r="H1817" t="s">
        <v>588</v>
      </c>
    </row>
    <row r="1818" spans="2:8">
      <c r="B1818" t="s">
        <v>3667</v>
      </c>
      <c r="C1818" t="s">
        <v>1408</v>
      </c>
      <c r="D1818">
        <v>2.9213555510557801E-5</v>
      </c>
      <c r="E1818" t="s">
        <v>640</v>
      </c>
      <c r="H1818" t="s">
        <v>588</v>
      </c>
    </row>
    <row r="1819" spans="2:8">
      <c r="B1819" t="s">
        <v>3667</v>
      </c>
      <c r="C1819" t="s">
        <v>1408</v>
      </c>
      <c r="D1819">
        <v>2.08474356960204E-7</v>
      </c>
      <c r="E1819" t="s">
        <v>640</v>
      </c>
      <c r="H1819" t="s">
        <v>588</v>
      </c>
    </row>
    <row r="1820" spans="2:8">
      <c r="B1820" t="s">
        <v>1392</v>
      </c>
      <c r="C1820" t="s">
        <v>1170</v>
      </c>
      <c r="D1820">
        <v>2.4971176954950901E-7</v>
      </c>
      <c r="E1820" t="s">
        <v>94</v>
      </c>
      <c r="H1820" t="s">
        <v>588</v>
      </c>
    </row>
    <row r="1821" spans="2:8">
      <c r="B1821" t="s">
        <v>1394</v>
      </c>
      <c r="C1821" t="s">
        <v>1170</v>
      </c>
      <c r="D1821">
        <v>2.4971176954950901E-7</v>
      </c>
      <c r="E1821" t="s">
        <v>94</v>
      </c>
      <c r="H1821" t="s">
        <v>588</v>
      </c>
    </row>
    <row r="1822" spans="2:8">
      <c r="B1822" t="s">
        <v>1398</v>
      </c>
      <c r="C1822" t="s">
        <v>673</v>
      </c>
      <c r="D1822">
        <v>7.3407995840353199E-6</v>
      </c>
      <c r="E1822" t="s">
        <v>94</v>
      </c>
      <c r="H1822" t="s">
        <v>588</v>
      </c>
    </row>
    <row r="1823" spans="2:8">
      <c r="B1823" t="s">
        <v>3670</v>
      </c>
      <c r="C1823" t="s">
        <v>3671</v>
      </c>
      <c r="D1823">
        <v>9.5719283993549208E-7</v>
      </c>
      <c r="E1823" t="s">
        <v>3672</v>
      </c>
      <c r="H1823" t="s">
        <v>588</v>
      </c>
    </row>
    <row r="1824" spans="2:8">
      <c r="B1824" t="s">
        <v>3670</v>
      </c>
      <c r="C1824" t="s">
        <v>3671</v>
      </c>
      <c r="D1824">
        <v>1.9041232178524601E-4</v>
      </c>
      <c r="E1824" t="s">
        <v>3672</v>
      </c>
      <c r="H1824" t="s">
        <v>588</v>
      </c>
    </row>
    <row r="1825" spans="2:8">
      <c r="B1825" t="s">
        <v>1401</v>
      </c>
      <c r="C1825" t="s">
        <v>857</v>
      </c>
      <c r="D1825">
        <v>2.73955009313689E-13</v>
      </c>
      <c r="E1825" t="s">
        <v>616</v>
      </c>
      <c r="H1825" t="s">
        <v>588</v>
      </c>
    </row>
    <row r="1826" spans="2:8">
      <c r="B1826" t="s">
        <v>1401</v>
      </c>
      <c r="C1826" t="s">
        <v>857</v>
      </c>
      <c r="D1826">
        <v>5.84845014143569E-14</v>
      </c>
      <c r="E1826" t="s">
        <v>616</v>
      </c>
      <c r="H1826" t="s">
        <v>588</v>
      </c>
    </row>
    <row r="1827" spans="2:8">
      <c r="B1827" t="s">
        <v>3679</v>
      </c>
      <c r="C1827" t="s">
        <v>3671</v>
      </c>
      <c r="D1827">
        <v>2.77052391856355E-5</v>
      </c>
      <c r="E1827" t="s">
        <v>622</v>
      </c>
      <c r="H1827" t="s">
        <v>588</v>
      </c>
    </row>
    <row r="1828" spans="2:8">
      <c r="B1828" t="s">
        <v>1403</v>
      </c>
      <c r="C1828" t="s">
        <v>1404</v>
      </c>
      <c r="D1828">
        <v>2.7254998529336001E-10</v>
      </c>
      <c r="E1828" t="s">
        <v>616</v>
      </c>
      <c r="H1828" t="s">
        <v>588</v>
      </c>
    </row>
    <row r="1829" spans="2:8">
      <c r="B1829" t="s">
        <v>1403</v>
      </c>
      <c r="C1829" t="s">
        <v>1404</v>
      </c>
      <c r="D1829">
        <v>1.6025554123313499E-10</v>
      </c>
      <c r="E1829" t="s">
        <v>616</v>
      </c>
      <c r="H1829" t="s">
        <v>588</v>
      </c>
    </row>
    <row r="1830" spans="2:8">
      <c r="B1830" t="s">
        <v>3682</v>
      </c>
      <c r="C1830" t="s">
        <v>1698</v>
      </c>
      <c r="D1830">
        <v>9.4339609724007902E-5</v>
      </c>
      <c r="E1830" t="s">
        <v>616</v>
      </c>
      <c r="H1830" t="s">
        <v>588</v>
      </c>
    </row>
    <row r="1831" spans="2:8">
      <c r="B1831" t="s">
        <v>3684</v>
      </c>
      <c r="C1831" t="s">
        <v>1138</v>
      </c>
      <c r="D1831">
        <v>4.7365110052563801E-5</v>
      </c>
      <c r="E1831" t="s">
        <v>94</v>
      </c>
      <c r="H1831" t="s">
        <v>588</v>
      </c>
    </row>
    <row r="1832" spans="2:8">
      <c r="B1832" t="s">
        <v>3684</v>
      </c>
      <c r="C1832" t="s">
        <v>1138</v>
      </c>
      <c r="D1832">
        <v>2.7557961023008901E-5</v>
      </c>
      <c r="E1832" t="s">
        <v>94</v>
      </c>
      <c r="H1832" t="s">
        <v>588</v>
      </c>
    </row>
    <row r="1833" spans="2:8">
      <c r="B1833" t="s">
        <v>3686</v>
      </c>
      <c r="C1833" t="s">
        <v>676</v>
      </c>
      <c r="D1833">
        <v>3.5912599347230401E-2</v>
      </c>
      <c r="E1833" t="s">
        <v>94</v>
      </c>
      <c r="H1833" t="s">
        <v>588</v>
      </c>
    </row>
    <row r="1834" spans="2:8">
      <c r="B1834" t="s">
        <v>3686</v>
      </c>
      <c r="C1834" t="s">
        <v>676</v>
      </c>
      <c r="D1834">
        <v>6.3337259237400596E-6</v>
      </c>
      <c r="E1834" t="s">
        <v>94</v>
      </c>
      <c r="H1834" t="s">
        <v>588</v>
      </c>
    </row>
    <row r="1835" spans="2:8">
      <c r="B1835" t="s">
        <v>3686</v>
      </c>
      <c r="C1835" t="s">
        <v>676</v>
      </c>
      <c r="D1835">
        <v>1.36783358525867E-3</v>
      </c>
      <c r="E1835" t="s">
        <v>94</v>
      </c>
      <c r="H1835" t="s">
        <v>588</v>
      </c>
    </row>
    <row r="1836" spans="2:8">
      <c r="B1836" t="s">
        <v>3686</v>
      </c>
      <c r="C1836" t="s">
        <v>676</v>
      </c>
      <c r="D1836">
        <v>7.7598587529299906E-2</v>
      </c>
      <c r="E1836" t="s">
        <v>94</v>
      </c>
      <c r="H1836" t="s">
        <v>588</v>
      </c>
    </row>
    <row r="1837" spans="2:8">
      <c r="B1837" t="s">
        <v>3688</v>
      </c>
      <c r="C1837" t="s">
        <v>587</v>
      </c>
      <c r="D1837">
        <v>9.0008419588771696E-4</v>
      </c>
      <c r="E1837" t="s">
        <v>94</v>
      </c>
      <c r="H1837" t="s">
        <v>588</v>
      </c>
    </row>
    <row r="1838" spans="2:8">
      <c r="B1838" t="s">
        <v>3689</v>
      </c>
      <c r="C1838" t="s">
        <v>2088</v>
      </c>
      <c r="D1838">
        <v>1.45455379041257E-4</v>
      </c>
      <c r="E1838" t="s">
        <v>94</v>
      </c>
      <c r="H1838" t="s">
        <v>588</v>
      </c>
    </row>
    <row r="1839" spans="2:8">
      <c r="B1839" t="s">
        <v>3692</v>
      </c>
      <c r="C1839" t="s">
        <v>1408</v>
      </c>
      <c r="D1839">
        <v>4.0891375021665497E-4</v>
      </c>
      <c r="E1839" t="s">
        <v>94</v>
      </c>
      <c r="H1839" t="s">
        <v>588</v>
      </c>
    </row>
    <row r="1840" spans="2:8">
      <c r="B1840" t="s">
        <v>3692</v>
      </c>
      <c r="C1840" t="s">
        <v>1408</v>
      </c>
      <c r="D1840">
        <v>4.7048512355976104E-6</v>
      </c>
      <c r="E1840" t="s">
        <v>94</v>
      </c>
      <c r="H1840" t="s">
        <v>588</v>
      </c>
    </row>
    <row r="1841" spans="2:8">
      <c r="B1841" t="s">
        <v>3692</v>
      </c>
      <c r="C1841" t="s">
        <v>1408</v>
      </c>
      <c r="D1841">
        <v>4.0506372039584502E-4</v>
      </c>
      <c r="E1841" t="s">
        <v>94</v>
      </c>
      <c r="H1841" t="s">
        <v>588</v>
      </c>
    </row>
    <row r="1842" spans="2:8">
      <c r="B1842" t="s">
        <v>3692</v>
      </c>
      <c r="C1842" t="s">
        <v>1408</v>
      </c>
      <c r="D1842">
        <v>8.2539085000407903E-6</v>
      </c>
      <c r="E1842" t="s">
        <v>94</v>
      </c>
      <c r="H1842" t="s">
        <v>588</v>
      </c>
    </row>
    <row r="1843" spans="2:8">
      <c r="B1843" t="s">
        <v>3695</v>
      </c>
      <c r="C1843" t="s">
        <v>2092</v>
      </c>
      <c r="D1843">
        <v>7.1040610549634702E-6</v>
      </c>
      <c r="E1843" t="s">
        <v>640</v>
      </c>
      <c r="H1843" t="s">
        <v>588</v>
      </c>
    </row>
    <row r="1844" spans="2:8">
      <c r="B1844" t="s">
        <v>3697</v>
      </c>
      <c r="C1844" t="s">
        <v>2092</v>
      </c>
      <c r="D1844">
        <v>1.30074303115514E-5</v>
      </c>
      <c r="E1844" t="s">
        <v>640</v>
      </c>
      <c r="H1844" t="s">
        <v>588</v>
      </c>
    </row>
    <row r="1845" spans="2:8">
      <c r="B1845" t="s">
        <v>3700</v>
      </c>
      <c r="C1845" t="s">
        <v>2092</v>
      </c>
      <c r="D1845">
        <v>1.10444366316972E-5</v>
      </c>
      <c r="E1845" t="s">
        <v>640</v>
      </c>
      <c r="H1845" t="s">
        <v>588</v>
      </c>
    </row>
    <row r="1846" spans="2:8">
      <c r="B1846" t="s">
        <v>3702</v>
      </c>
      <c r="C1846" t="s">
        <v>2092</v>
      </c>
      <c r="D1846">
        <v>2.9029453668592901E-8</v>
      </c>
      <c r="E1846" t="s">
        <v>640</v>
      </c>
      <c r="H1846" t="s">
        <v>588</v>
      </c>
    </row>
    <row r="1847" spans="2:8">
      <c r="B1847" t="s">
        <v>3704</v>
      </c>
      <c r="C1847" t="s">
        <v>2092</v>
      </c>
      <c r="D1847">
        <v>7.0687558396848504E-8</v>
      </c>
      <c r="E1847" t="s">
        <v>640</v>
      </c>
      <c r="H1847" t="s">
        <v>588</v>
      </c>
    </row>
    <row r="1848" spans="2:8">
      <c r="B1848" t="s">
        <v>3704</v>
      </c>
      <c r="C1848" t="s">
        <v>2092</v>
      </c>
      <c r="D1848">
        <v>1.4778799663045701E-5</v>
      </c>
      <c r="E1848" t="s">
        <v>640</v>
      </c>
      <c r="H1848" t="s">
        <v>588</v>
      </c>
    </row>
    <row r="1849" spans="2:8">
      <c r="B1849" t="s">
        <v>3704</v>
      </c>
      <c r="C1849" t="s">
        <v>2092</v>
      </c>
      <c r="D1849">
        <v>9.0604467787363005E-10</v>
      </c>
      <c r="E1849" t="s">
        <v>640</v>
      </c>
      <c r="H1849" t="s">
        <v>588</v>
      </c>
    </row>
    <row r="1850" spans="2:8">
      <c r="B1850" t="s">
        <v>3707</v>
      </c>
      <c r="C1850" t="s">
        <v>615</v>
      </c>
      <c r="D1850">
        <v>2.18586493998876E-12</v>
      </c>
      <c r="E1850" t="s">
        <v>616</v>
      </c>
      <c r="H1850" t="s">
        <v>588</v>
      </c>
    </row>
    <row r="1851" spans="2:8">
      <c r="B1851" t="s">
        <v>3709</v>
      </c>
      <c r="C1851" t="s">
        <v>1408</v>
      </c>
      <c r="D1851">
        <v>6.7166242844871794E-8</v>
      </c>
      <c r="E1851" t="s">
        <v>640</v>
      </c>
      <c r="H1851" t="s">
        <v>588</v>
      </c>
    </row>
    <row r="1852" spans="2:8">
      <c r="B1852" t="s">
        <v>3712</v>
      </c>
      <c r="C1852" t="s">
        <v>1408</v>
      </c>
      <c r="D1852">
        <v>1.76990996280604E-7</v>
      </c>
      <c r="E1852" t="s">
        <v>640</v>
      </c>
      <c r="H1852" t="s">
        <v>588</v>
      </c>
    </row>
    <row r="1853" spans="2:8">
      <c r="B1853" t="s">
        <v>3715</v>
      </c>
      <c r="C1853" t="s">
        <v>1408</v>
      </c>
      <c r="D1853">
        <v>4.4986450440359698E-8</v>
      </c>
      <c r="E1853" t="s">
        <v>640</v>
      </c>
      <c r="H1853" t="s">
        <v>1733</v>
      </c>
    </row>
    <row r="1854" spans="2:8">
      <c r="B1854" t="s">
        <v>3718</v>
      </c>
      <c r="C1854" t="s">
        <v>1408</v>
      </c>
      <c r="D1854">
        <v>4.4046700555461599E-6</v>
      </c>
      <c r="E1854" t="s">
        <v>640</v>
      </c>
      <c r="H1854" t="s">
        <v>588</v>
      </c>
    </row>
    <row r="1855" spans="2:8">
      <c r="B1855" t="s">
        <v>3720</v>
      </c>
      <c r="C1855" t="s">
        <v>1408</v>
      </c>
      <c r="D1855">
        <v>7.18601600470497E-10</v>
      </c>
      <c r="E1855" t="s">
        <v>640</v>
      </c>
      <c r="H1855" t="s">
        <v>588</v>
      </c>
    </row>
    <row r="1856" spans="2:8">
      <c r="B1856" t="s">
        <v>3720</v>
      </c>
      <c r="C1856" t="s">
        <v>1408</v>
      </c>
      <c r="D1856">
        <v>1.68026420639486E-10</v>
      </c>
      <c r="E1856" t="s">
        <v>640</v>
      </c>
      <c r="H1856" t="s">
        <v>588</v>
      </c>
    </row>
    <row r="1857" spans="2:8">
      <c r="B1857" t="s">
        <v>3723</v>
      </c>
      <c r="C1857" t="s">
        <v>1408</v>
      </c>
      <c r="D1857">
        <v>1.6199222713185101E-9</v>
      </c>
      <c r="E1857" t="s">
        <v>640</v>
      </c>
      <c r="H1857" t="s">
        <v>588</v>
      </c>
    </row>
    <row r="1858" spans="2:8">
      <c r="B1858" t="s">
        <v>3723</v>
      </c>
      <c r="C1858" t="s">
        <v>1408</v>
      </c>
      <c r="D1858">
        <v>1.61992731278734E-9</v>
      </c>
      <c r="E1858" t="s">
        <v>640</v>
      </c>
      <c r="H1858" t="s">
        <v>588</v>
      </c>
    </row>
    <row r="1859" spans="2:8">
      <c r="B1859" t="s">
        <v>3725</v>
      </c>
      <c r="C1859" t="s">
        <v>1408</v>
      </c>
      <c r="D1859">
        <v>3.52403423556922E-6</v>
      </c>
      <c r="E1859" t="s">
        <v>640</v>
      </c>
      <c r="H1859" t="s">
        <v>588</v>
      </c>
    </row>
    <row r="1860" spans="2:8">
      <c r="B1860" t="s">
        <v>1407</v>
      </c>
      <c r="C1860" t="s">
        <v>1408</v>
      </c>
      <c r="D1860">
        <v>7.1537216541471199E-7</v>
      </c>
      <c r="E1860" t="s">
        <v>640</v>
      </c>
      <c r="H1860" t="s">
        <v>588</v>
      </c>
    </row>
    <row r="1861" spans="2:8">
      <c r="B1861" t="s">
        <v>1407</v>
      </c>
      <c r="C1861" t="s">
        <v>1408</v>
      </c>
      <c r="D1861">
        <v>7.7802399343773901E-7</v>
      </c>
      <c r="E1861" t="s">
        <v>640</v>
      </c>
      <c r="H1861" t="s">
        <v>588</v>
      </c>
    </row>
    <row r="1862" spans="2:8">
      <c r="B1862" t="s">
        <v>3728</v>
      </c>
      <c r="C1862" t="s">
        <v>1138</v>
      </c>
      <c r="D1862">
        <v>3.00498675778215E-6</v>
      </c>
      <c r="E1862" t="s">
        <v>94</v>
      </c>
      <c r="H1862" t="s">
        <v>588</v>
      </c>
    </row>
    <row r="1863" spans="2:8">
      <c r="B1863" t="s">
        <v>3732</v>
      </c>
      <c r="C1863" t="s">
        <v>1249</v>
      </c>
      <c r="D1863">
        <v>2.1198416496365801E-3</v>
      </c>
      <c r="E1863" t="s">
        <v>1171</v>
      </c>
      <c r="H1863" t="s">
        <v>588</v>
      </c>
    </row>
    <row r="1864" spans="2:8">
      <c r="B1864" t="s">
        <v>3734</v>
      </c>
      <c r="C1864" t="s">
        <v>813</v>
      </c>
      <c r="D1864">
        <v>5.2004590110278099E-6</v>
      </c>
      <c r="E1864" t="s">
        <v>626</v>
      </c>
      <c r="H1864" t="s">
        <v>588</v>
      </c>
    </row>
    <row r="1865" spans="2:8">
      <c r="B1865" t="s">
        <v>3734</v>
      </c>
      <c r="C1865" t="s">
        <v>813</v>
      </c>
      <c r="D1865">
        <v>1.04009180446969E-5</v>
      </c>
      <c r="E1865" t="s">
        <v>626</v>
      </c>
      <c r="H1865" t="s">
        <v>588</v>
      </c>
    </row>
    <row r="1866" spans="2:8">
      <c r="B1866" t="s">
        <v>1411</v>
      </c>
      <c r="C1866" t="s">
        <v>667</v>
      </c>
      <c r="D1866">
        <v>2.9312904051279499E-4</v>
      </c>
      <c r="E1866" t="s">
        <v>94</v>
      </c>
      <c r="H1866" t="s">
        <v>588</v>
      </c>
    </row>
    <row r="1867" spans="2:8">
      <c r="B1867" t="s">
        <v>1411</v>
      </c>
      <c r="C1867" t="s">
        <v>667</v>
      </c>
      <c r="D1867">
        <v>4.0261657714032997E-3</v>
      </c>
      <c r="E1867" t="s">
        <v>94</v>
      </c>
      <c r="H1867" t="s">
        <v>588</v>
      </c>
    </row>
    <row r="1868" spans="2:8">
      <c r="B1868" t="s">
        <v>1414</v>
      </c>
      <c r="C1868" t="s">
        <v>821</v>
      </c>
      <c r="D1868">
        <v>2.4906869100711502E-3</v>
      </c>
      <c r="E1868" t="s">
        <v>94</v>
      </c>
      <c r="H1868" t="s">
        <v>588</v>
      </c>
    </row>
    <row r="1869" spans="2:8">
      <c r="B1869" t="s">
        <v>1414</v>
      </c>
      <c r="C1869" t="s">
        <v>821</v>
      </c>
      <c r="D1869">
        <v>1.0149391677778E-3</v>
      </c>
      <c r="E1869" t="s">
        <v>94</v>
      </c>
      <c r="H1869" t="s">
        <v>588</v>
      </c>
    </row>
    <row r="1870" spans="2:8">
      <c r="B1870" t="s">
        <v>3741</v>
      </c>
      <c r="C1870" t="s">
        <v>1417</v>
      </c>
      <c r="D1870">
        <v>1.7533214396778302E-5</v>
      </c>
      <c r="E1870" t="s">
        <v>626</v>
      </c>
      <c r="H1870" t="s">
        <v>588</v>
      </c>
    </row>
    <row r="1871" spans="2:8">
      <c r="B1871" t="s">
        <v>3743</v>
      </c>
      <c r="C1871" t="s">
        <v>673</v>
      </c>
      <c r="D1871">
        <v>1.15207870153685E-7</v>
      </c>
      <c r="E1871" t="s">
        <v>94</v>
      </c>
      <c r="H1871" t="s">
        <v>588</v>
      </c>
    </row>
    <row r="1872" spans="2:8">
      <c r="B1872" t="s">
        <v>3746</v>
      </c>
      <c r="C1872" t="s">
        <v>587</v>
      </c>
      <c r="D1872">
        <v>1.31778498956442E-6</v>
      </c>
      <c r="E1872" t="s">
        <v>94</v>
      </c>
    </row>
    <row r="1873" spans="2:8">
      <c r="B1873" t="s">
        <v>3747</v>
      </c>
      <c r="C1873" t="s">
        <v>857</v>
      </c>
      <c r="D1873">
        <v>1.3069704440385801E-9</v>
      </c>
      <c r="E1873" t="s">
        <v>626</v>
      </c>
      <c r="H1873" t="s">
        <v>588</v>
      </c>
    </row>
    <row r="1874" spans="2:8">
      <c r="B1874" t="s">
        <v>1419</v>
      </c>
      <c r="C1874" t="s">
        <v>667</v>
      </c>
      <c r="D1874">
        <v>4.5245558234258002E-4</v>
      </c>
      <c r="E1874" t="s">
        <v>94</v>
      </c>
      <c r="H1874" t="s">
        <v>588</v>
      </c>
    </row>
    <row r="1875" spans="2:8">
      <c r="B1875" t="s">
        <v>1419</v>
      </c>
      <c r="C1875" t="s">
        <v>667</v>
      </c>
      <c r="D1875">
        <v>1.16000874097449E-3</v>
      </c>
      <c r="E1875" t="s">
        <v>94</v>
      </c>
      <c r="H1875" t="s">
        <v>588</v>
      </c>
    </row>
    <row r="1876" spans="2:8">
      <c r="B1876" t="s">
        <v>1421</v>
      </c>
      <c r="C1876" t="s">
        <v>821</v>
      </c>
      <c r="D1876">
        <v>1.0726964253523701E-5</v>
      </c>
      <c r="E1876" t="s">
        <v>94</v>
      </c>
    </row>
    <row r="1877" spans="2:8">
      <c r="B1877" t="s">
        <v>1421</v>
      </c>
      <c r="C1877" t="s">
        <v>821</v>
      </c>
      <c r="D1877">
        <v>6.2487406950135897E-4</v>
      </c>
      <c r="E1877" t="s">
        <v>94</v>
      </c>
      <c r="H1877" t="s">
        <v>588</v>
      </c>
    </row>
    <row r="1878" spans="2:8">
      <c r="B1878" t="s">
        <v>3756</v>
      </c>
      <c r="C1878" t="s">
        <v>667</v>
      </c>
      <c r="D1878">
        <v>5.87881058475588E-5</v>
      </c>
      <c r="E1878" t="s">
        <v>94</v>
      </c>
      <c r="H1878" t="s">
        <v>588</v>
      </c>
    </row>
    <row r="1879" spans="2:8">
      <c r="B1879" t="s">
        <v>3756</v>
      </c>
      <c r="C1879" t="s">
        <v>667</v>
      </c>
      <c r="D1879">
        <v>2.5034903710643698E-4</v>
      </c>
      <c r="E1879" t="s">
        <v>94</v>
      </c>
      <c r="H1879" t="s">
        <v>588</v>
      </c>
    </row>
    <row r="1880" spans="2:8">
      <c r="B1880" t="s">
        <v>1423</v>
      </c>
      <c r="C1880" t="s">
        <v>821</v>
      </c>
      <c r="D1880">
        <v>2.4716961946178E-3</v>
      </c>
      <c r="E1880" t="s">
        <v>94</v>
      </c>
      <c r="H1880" t="s">
        <v>588</v>
      </c>
    </row>
    <row r="1881" spans="2:8">
      <c r="B1881" t="s">
        <v>1423</v>
      </c>
      <c r="C1881" t="s">
        <v>821</v>
      </c>
      <c r="D1881">
        <v>6.4579815680399603E-3</v>
      </c>
      <c r="E1881" t="s">
        <v>94</v>
      </c>
      <c r="H1881" t="s">
        <v>588</v>
      </c>
    </row>
    <row r="1882" spans="2:8">
      <c r="B1882" t="s">
        <v>3763</v>
      </c>
      <c r="C1882" t="s">
        <v>1698</v>
      </c>
      <c r="D1882">
        <v>1.3877651516335299E-4</v>
      </c>
      <c r="E1882" t="s">
        <v>616</v>
      </c>
      <c r="H1882" t="s">
        <v>588</v>
      </c>
    </row>
    <row r="1883" spans="2:8">
      <c r="B1883" t="s">
        <v>3765</v>
      </c>
      <c r="C1883" t="s">
        <v>1698</v>
      </c>
      <c r="D1883">
        <v>3.8980414133729401E-6</v>
      </c>
      <c r="E1883" t="s">
        <v>616</v>
      </c>
      <c r="H1883" t="s">
        <v>588</v>
      </c>
    </row>
    <row r="1884" spans="2:8">
      <c r="B1884" t="s">
        <v>1425</v>
      </c>
      <c r="C1884" t="s">
        <v>676</v>
      </c>
      <c r="D1884">
        <v>2.3584012754471299E-2</v>
      </c>
      <c r="E1884" t="s">
        <v>94</v>
      </c>
      <c r="H1884" t="s">
        <v>588</v>
      </c>
    </row>
    <row r="1885" spans="2:8">
      <c r="B1885" t="s">
        <v>1428</v>
      </c>
      <c r="C1885" t="s">
        <v>670</v>
      </c>
      <c r="D1885">
        <v>9.3742355979204106E-5</v>
      </c>
      <c r="E1885" t="s">
        <v>94</v>
      </c>
      <c r="H1885" t="s">
        <v>588</v>
      </c>
    </row>
    <row r="1886" spans="2:8">
      <c r="B1886" t="s">
        <v>3769</v>
      </c>
      <c r="C1886" t="s">
        <v>673</v>
      </c>
      <c r="D1886">
        <v>3.66013402066239E-6</v>
      </c>
      <c r="E1886" t="s">
        <v>94</v>
      </c>
      <c r="H1886" t="s">
        <v>588</v>
      </c>
    </row>
    <row r="1887" spans="2:8">
      <c r="B1887" t="s">
        <v>3772</v>
      </c>
      <c r="C1887" t="s">
        <v>673</v>
      </c>
      <c r="D1887">
        <v>1.9133244134704101E-8</v>
      </c>
      <c r="E1887" t="s">
        <v>94</v>
      </c>
      <c r="H1887" t="s">
        <v>588</v>
      </c>
    </row>
    <row r="1888" spans="2:8">
      <c r="B1888" t="s">
        <v>3774</v>
      </c>
      <c r="C1888" t="s">
        <v>667</v>
      </c>
      <c r="D1888">
        <v>3.5855628479172601E-4</v>
      </c>
      <c r="E1888" t="s">
        <v>94</v>
      </c>
      <c r="H1888" t="s">
        <v>588</v>
      </c>
    </row>
    <row r="1889" spans="2:8">
      <c r="B1889" t="s">
        <v>3777</v>
      </c>
      <c r="C1889" t="s">
        <v>673</v>
      </c>
      <c r="D1889">
        <v>1.12920461330383E-5</v>
      </c>
      <c r="E1889" t="s">
        <v>94</v>
      </c>
      <c r="H1889" t="s">
        <v>588</v>
      </c>
    </row>
    <row r="1890" spans="2:8">
      <c r="B1890" t="s">
        <v>3780</v>
      </c>
      <c r="C1890" t="s">
        <v>615</v>
      </c>
      <c r="D1890">
        <v>3.1409371154744598E-14</v>
      </c>
      <c r="E1890" t="s">
        <v>616</v>
      </c>
      <c r="H1890" t="s">
        <v>588</v>
      </c>
    </row>
    <row r="1891" spans="2:8">
      <c r="B1891" t="s">
        <v>700</v>
      </c>
      <c r="C1891" t="s">
        <v>701</v>
      </c>
      <c r="D1891">
        <v>4.8126075090665199E-5</v>
      </c>
      <c r="E1891" t="s">
        <v>94</v>
      </c>
      <c r="H1891" t="s">
        <v>588</v>
      </c>
    </row>
    <row r="1892" spans="2:8">
      <c r="B1892" t="s">
        <v>700</v>
      </c>
      <c r="C1892" t="s">
        <v>701</v>
      </c>
      <c r="D1892">
        <v>3.5169573565266098E-5</v>
      </c>
      <c r="E1892" t="s">
        <v>94</v>
      </c>
      <c r="H1892" t="s">
        <v>588</v>
      </c>
    </row>
    <row r="1893" spans="2:8">
      <c r="B1893" t="s">
        <v>700</v>
      </c>
      <c r="C1893" t="s">
        <v>701</v>
      </c>
      <c r="D1893">
        <v>1.03041483871433E-5</v>
      </c>
      <c r="E1893" t="s">
        <v>94</v>
      </c>
      <c r="H1893" t="s">
        <v>588</v>
      </c>
    </row>
    <row r="1894" spans="2:8">
      <c r="B1894" t="s">
        <v>1433</v>
      </c>
      <c r="C1894" t="s">
        <v>667</v>
      </c>
      <c r="D1894">
        <v>4.4328254441152202E-8</v>
      </c>
      <c r="E1894" t="s">
        <v>94</v>
      </c>
      <c r="H1894" t="s">
        <v>588</v>
      </c>
    </row>
    <row r="1895" spans="2:8">
      <c r="B1895" t="s">
        <v>3784</v>
      </c>
      <c r="C1895" t="s">
        <v>587</v>
      </c>
      <c r="D1895">
        <v>3.05224861303546E-6</v>
      </c>
      <c r="E1895" t="s">
        <v>94</v>
      </c>
      <c r="H1895" t="s">
        <v>588</v>
      </c>
    </row>
    <row r="1896" spans="2:8">
      <c r="B1896" t="s">
        <v>3785</v>
      </c>
      <c r="C1896" t="s">
        <v>2275</v>
      </c>
      <c r="D1896">
        <v>7.40513279458537E-5</v>
      </c>
      <c r="E1896" t="s">
        <v>94</v>
      </c>
      <c r="H1896" t="s">
        <v>588</v>
      </c>
    </row>
    <row r="1897" spans="2:8">
      <c r="B1897" t="s">
        <v>3787</v>
      </c>
      <c r="C1897" t="s">
        <v>1408</v>
      </c>
      <c r="D1897">
        <v>1.86972472838783E-4</v>
      </c>
      <c r="E1897" t="s">
        <v>94</v>
      </c>
      <c r="H1897" t="s">
        <v>588</v>
      </c>
    </row>
    <row r="1898" spans="2:8">
      <c r="B1898" t="s">
        <v>3787</v>
      </c>
      <c r="C1898" t="s">
        <v>1408</v>
      </c>
      <c r="D1898">
        <v>9.0233346573374395E-4</v>
      </c>
      <c r="E1898" t="s">
        <v>94</v>
      </c>
      <c r="H1898" t="s">
        <v>588</v>
      </c>
    </row>
    <row r="1899" spans="2:8">
      <c r="B1899" t="s">
        <v>3787</v>
      </c>
      <c r="C1899" t="s">
        <v>1408</v>
      </c>
      <c r="D1899">
        <v>6.0742492859750202E-4</v>
      </c>
      <c r="E1899" t="s">
        <v>94</v>
      </c>
      <c r="H1899" t="s">
        <v>588</v>
      </c>
    </row>
    <row r="1900" spans="2:8">
      <c r="B1900" t="s">
        <v>3787</v>
      </c>
      <c r="C1900" t="s">
        <v>1408</v>
      </c>
      <c r="D1900">
        <v>7.2500359979153599E-4</v>
      </c>
      <c r="E1900" t="s">
        <v>94</v>
      </c>
      <c r="H1900" t="s">
        <v>588</v>
      </c>
    </row>
    <row r="1901" spans="2:8">
      <c r="B1901" t="s">
        <v>1437</v>
      </c>
      <c r="C1901" t="s">
        <v>708</v>
      </c>
      <c r="D1901">
        <v>1.48461285022461E-4</v>
      </c>
      <c r="E1901" t="s">
        <v>94</v>
      </c>
      <c r="H1901" t="s">
        <v>588</v>
      </c>
    </row>
    <row r="1902" spans="2:8">
      <c r="B1902" t="s">
        <v>1439</v>
      </c>
      <c r="C1902" t="s">
        <v>673</v>
      </c>
      <c r="D1902">
        <v>2.2018679536084699E-4</v>
      </c>
      <c r="E1902" t="s">
        <v>94</v>
      </c>
      <c r="H1902" t="s">
        <v>588</v>
      </c>
    </row>
    <row r="1903" spans="2:8">
      <c r="B1903" t="s">
        <v>928</v>
      </c>
      <c r="C1903" t="s">
        <v>673</v>
      </c>
      <c r="D1903">
        <v>2.63927558298723E-5</v>
      </c>
      <c r="E1903" t="s">
        <v>94</v>
      </c>
      <c r="H1903" t="s">
        <v>588</v>
      </c>
    </row>
    <row r="1904" spans="2:8">
      <c r="B1904" t="s">
        <v>928</v>
      </c>
      <c r="C1904" t="s">
        <v>673</v>
      </c>
      <c r="D1904">
        <v>8.5255417797724699E-3</v>
      </c>
      <c r="E1904" t="s">
        <v>94</v>
      </c>
      <c r="H1904" t="s">
        <v>588</v>
      </c>
    </row>
    <row r="1905" spans="2:8">
      <c r="B1905" t="s">
        <v>3793</v>
      </c>
      <c r="C1905" t="s">
        <v>853</v>
      </c>
      <c r="D1905">
        <v>1.0099188285409699E-4</v>
      </c>
      <c r="E1905" t="s">
        <v>94</v>
      </c>
      <c r="H1905" t="s">
        <v>588</v>
      </c>
    </row>
    <row r="1906" spans="2:8">
      <c r="B1906" t="s">
        <v>3793</v>
      </c>
      <c r="C1906" t="s">
        <v>853</v>
      </c>
      <c r="D1906">
        <v>1.4562803065000399E-4</v>
      </c>
      <c r="E1906" t="s">
        <v>94</v>
      </c>
      <c r="H1906" t="s">
        <v>588</v>
      </c>
    </row>
    <row r="1907" spans="2:8">
      <c r="B1907" t="s">
        <v>3796</v>
      </c>
      <c r="C1907" t="s">
        <v>673</v>
      </c>
      <c r="D1907">
        <v>5.8804118749080205E-4</v>
      </c>
      <c r="E1907" t="s">
        <v>94</v>
      </c>
      <c r="H1907" t="s">
        <v>588</v>
      </c>
    </row>
    <row r="1908" spans="2:8">
      <c r="B1908" t="s">
        <v>3796</v>
      </c>
      <c r="C1908" t="s">
        <v>673</v>
      </c>
      <c r="D1908">
        <v>1.4986960751044699E-4</v>
      </c>
      <c r="E1908" t="s">
        <v>94</v>
      </c>
      <c r="H1908" t="s">
        <v>588</v>
      </c>
    </row>
    <row r="1909" spans="2:8">
      <c r="B1909" t="s">
        <v>3798</v>
      </c>
      <c r="C1909" t="s">
        <v>587</v>
      </c>
      <c r="D1909">
        <v>2.1602143482910799E-2</v>
      </c>
      <c r="E1909" t="s">
        <v>94</v>
      </c>
    </row>
    <row r="1910" spans="2:8">
      <c r="B1910" t="s">
        <v>930</v>
      </c>
      <c r="C1910" t="s">
        <v>569</v>
      </c>
      <c r="D1910">
        <v>8.8180839443517296E-3</v>
      </c>
      <c r="E1910" t="s">
        <v>94</v>
      </c>
      <c r="H1910" t="s">
        <v>588</v>
      </c>
    </row>
    <row r="1911" spans="2:8">
      <c r="B1911" t="s">
        <v>3799</v>
      </c>
      <c r="C1911" t="s">
        <v>673</v>
      </c>
      <c r="D1911">
        <v>1.51341513130341E-5</v>
      </c>
      <c r="E1911" t="s">
        <v>94</v>
      </c>
      <c r="H1911" t="s">
        <v>588</v>
      </c>
    </row>
    <row r="1912" spans="2:8">
      <c r="B1912" t="s">
        <v>3799</v>
      </c>
      <c r="C1912" t="s">
        <v>673</v>
      </c>
      <c r="D1912">
        <v>4.8649633785575905E-7</v>
      </c>
      <c r="E1912" t="s">
        <v>94</v>
      </c>
      <c r="H1912" t="s">
        <v>588</v>
      </c>
    </row>
    <row r="1913" spans="2:8">
      <c r="B1913" t="s">
        <v>3801</v>
      </c>
      <c r="C1913" t="s">
        <v>673</v>
      </c>
      <c r="D1913">
        <v>9.6042050586102898E-4</v>
      </c>
      <c r="E1913" t="s">
        <v>94</v>
      </c>
      <c r="H1913" t="s">
        <v>588</v>
      </c>
    </row>
    <row r="1914" spans="2:8">
      <c r="B1914" t="s">
        <v>1442</v>
      </c>
      <c r="C1914" t="s">
        <v>673</v>
      </c>
      <c r="D1914">
        <v>2.07489522155007E-8</v>
      </c>
      <c r="E1914" t="s">
        <v>94</v>
      </c>
      <c r="H1914" t="s">
        <v>588</v>
      </c>
    </row>
    <row r="1915" spans="2:8">
      <c r="B1915" t="s">
        <v>1442</v>
      </c>
      <c r="C1915" t="s">
        <v>673</v>
      </c>
      <c r="D1915">
        <v>2.0268925446224001E-5</v>
      </c>
      <c r="E1915" t="s">
        <v>94</v>
      </c>
      <c r="H1915" t="s">
        <v>588</v>
      </c>
    </row>
    <row r="1916" spans="2:8">
      <c r="B1916" t="s">
        <v>3803</v>
      </c>
      <c r="C1916" t="s">
        <v>673</v>
      </c>
      <c r="D1916">
        <v>3.7616771010780098E-6</v>
      </c>
      <c r="E1916" t="s">
        <v>94</v>
      </c>
      <c r="H1916" t="s">
        <v>588</v>
      </c>
    </row>
    <row r="1917" spans="2:8">
      <c r="B1917" t="s">
        <v>3803</v>
      </c>
      <c r="C1917" t="s">
        <v>673</v>
      </c>
      <c r="D1917">
        <v>3.90805461928098E-6</v>
      </c>
      <c r="E1917" t="s">
        <v>94</v>
      </c>
      <c r="H1917" t="s">
        <v>588</v>
      </c>
    </row>
    <row r="1918" spans="2:8">
      <c r="B1918" t="s">
        <v>3805</v>
      </c>
      <c r="C1918" t="s">
        <v>673</v>
      </c>
      <c r="D1918">
        <v>9.3541306311085102E-7</v>
      </c>
      <c r="E1918" t="s">
        <v>94</v>
      </c>
      <c r="H1918" t="s">
        <v>588</v>
      </c>
    </row>
    <row r="1919" spans="2:8">
      <c r="B1919" t="s">
        <v>3807</v>
      </c>
      <c r="C1919" t="s">
        <v>673</v>
      </c>
      <c r="D1919">
        <v>1.83722658523283E-5</v>
      </c>
      <c r="E1919" t="s">
        <v>94</v>
      </c>
      <c r="H1919" t="s">
        <v>588</v>
      </c>
    </row>
    <row r="1920" spans="2:8">
      <c r="B1920" t="s">
        <v>703</v>
      </c>
      <c r="C1920" t="s">
        <v>673</v>
      </c>
      <c r="D1920">
        <v>1.09455919368797E-8</v>
      </c>
      <c r="E1920" t="s">
        <v>94</v>
      </c>
      <c r="H1920" t="s">
        <v>588</v>
      </c>
    </row>
    <row r="1921" spans="2:8">
      <c r="B1921" t="s">
        <v>703</v>
      </c>
      <c r="C1921" t="s">
        <v>673</v>
      </c>
      <c r="D1921">
        <v>1.81705349278245E-11</v>
      </c>
      <c r="E1921" t="s">
        <v>94</v>
      </c>
      <c r="H1921" t="s">
        <v>588</v>
      </c>
    </row>
    <row r="1922" spans="2:8">
      <c r="B1922" t="s">
        <v>703</v>
      </c>
      <c r="C1922" t="s">
        <v>673</v>
      </c>
      <c r="D1922">
        <v>7.7668230691502202E-3</v>
      </c>
      <c r="E1922" t="s">
        <v>94</v>
      </c>
      <c r="H1922" t="s">
        <v>588</v>
      </c>
    </row>
    <row r="1923" spans="2:8">
      <c r="B1923" t="s">
        <v>3809</v>
      </c>
      <c r="C1923" t="s">
        <v>673</v>
      </c>
      <c r="D1923">
        <v>1.1476083920832E-4</v>
      </c>
      <c r="E1923" t="s">
        <v>94</v>
      </c>
      <c r="H1923" t="s">
        <v>588</v>
      </c>
    </row>
    <row r="1924" spans="2:8">
      <c r="B1924" t="s">
        <v>3809</v>
      </c>
      <c r="C1924" t="s">
        <v>673</v>
      </c>
      <c r="D1924">
        <v>5.2920920010528596E-4</v>
      </c>
      <c r="E1924" t="s">
        <v>94</v>
      </c>
      <c r="H1924" t="s">
        <v>588</v>
      </c>
    </row>
    <row r="1925" spans="2:8">
      <c r="B1925" t="s">
        <v>3811</v>
      </c>
      <c r="C1925" t="s">
        <v>708</v>
      </c>
      <c r="D1925">
        <v>7.1828220554989305E-8</v>
      </c>
      <c r="E1925" t="s">
        <v>94</v>
      </c>
      <c r="H1925" t="s">
        <v>588</v>
      </c>
    </row>
    <row r="1926" spans="2:8">
      <c r="B1926" t="s">
        <v>3811</v>
      </c>
      <c r="C1926" t="s">
        <v>708</v>
      </c>
      <c r="D1926">
        <v>4.4623005226942203E-8</v>
      </c>
      <c r="E1926" t="s">
        <v>94</v>
      </c>
      <c r="H1926" t="s">
        <v>588</v>
      </c>
    </row>
    <row r="1927" spans="2:8">
      <c r="B1927" t="s">
        <v>3814</v>
      </c>
      <c r="C1927" t="s">
        <v>673</v>
      </c>
      <c r="D1927">
        <v>8.2179706557689504E-7</v>
      </c>
      <c r="E1927" t="s">
        <v>94</v>
      </c>
      <c r="H1927" t="s">
        <v>588</v>
      </c>
    </row>
    <row r="1928" spans="2:8">
      <c r="B1928" t="s">
        <v>3817</v>
      </c>
      <c r="C1928" t="s">
        <v>587</v>
      </c>
      <c r="D1928">
        <v>7.2731031655502701E-12</v>
      </c>
      <c r="E1928" t="s">
        <v>94</v>
      </c>
    </row>
    <row r="1929" spans="2:8">
      <c r="B1929" t="s">
        <v>3818</v>
      </c>
      <c r="C1929" t="s">
        <v>708</v>
      </c>
      <c r="D1929">
        <v>4.2606785263370801E-7</v>
      </c>
      <c r="E1929" t="s">
        <v>94</v>
      </c>
      <c r="H1929" t="s">
        <v>588</v>
      </c>
    </row>
    <row r="1930" spans="2:8">
      <c r="B1930" t="s">
        <v>3818</v>
      </c>
      <c r="C1930" t="s">
        <v>708</v>
      </c>
      <c r="D1930">
        <v>7.8807353311658106E-8</v>
      </c>
      <c r="E1930" t="s">
        <v>94</v>
      </c>
      <c r="H1930" t="s">
        <v>588</v>
      </c>
    </row>
    <row r="1931" spans="2:8">
      <c r="B1931" t="s">
        <v>3820</v>
      </c>
      <c r="C1931" t="s">
        <v>673</v>
      </c>
      <c r="D1931">
        <v>6.6904450883563702E-5</v>
      </c>
      <c r="E1931" t="s">
        <v>94</v>
      </c>
      <c r="H1931" t="s">
        <v>588</v>
      </c>
    </row>
    <row r="1932" spans="2:8">
      <c r="B1932" t="s">
        <v>3823</v>
      </c>
      <c r="C1932" t="s">
        <v>673</v>
      </c>
      <c r="D1932">
        <v>2.7964407394252801E-6</v>
      </c>
      <c r="E1932" t="s">
        <v>94</v>
      </c>
      <c r="H1932" t="s">
        <v>588</v>
      </c>
    </row>
    <row r="1933" spans="2:8">
      <c r="B1933" t="s">
        <v>3825</v>
      </c>
      <c r="C1933" t="s">
        <v>673</v>
      </c>
      <c r="D1933">
        <v>6.3218671530372998E-9</v>
      </c>
      <c r="E1933" t="s">
        <v>94</v>
      </c>
      <c r="H1933" t="s">
        <v>588</v>
      </c>
    </row>
    <row r="1934" spans="2:8">
      <c r="B1934" t="s">
        <v>3825</v>
      </c>
      <c r="C1934" t="s">
        <v>673</v>
      </c>
      <c r="D1934">
        <v>3.12210494456097E-9</v>
      </c>
      <c r="E1934" t="s">
        <v>94</v>
      </c>
      <c r="H1934" t="s">
        <v>588</v>
      </c>
    </row>
    <row r="1935" spans="2:8">
      <c r="B1935" t="s">
        <v>3827</v>
      </c>
      <c r="C1935" t="s">
        <v>673</v>
      </c>
      <c r="D1935">
        <v>3.8824861378095803E-4</v>
      </c>
      <c r="E1935" t="s">
        <v>94</v>
      </c>
      <c r="H1935" t="s">
        <v>588</v>
      </c>
    </row>
    <row r="1936" spans="2:8">
      <c r="B1936" t="s">
        <v>1449</v>
      </c>
      <c r="C1936" t="s">
        <v>673</v>
      </c>
      <c r="D1936">
        <v>1.48807713922361E-8</v>
      </c>
      <c r="E1936" t="s">
        <v>94</v>
      </c>
      <c r="H1936" t="s">
        <v>588</v>
      </c>
    </row>
    <row r="1937" spans="2:8">
      <c r="B1937" t="s">
        <v>1449</v>
      </c>
      <c r="C1937" t="s">
        <v>673</v>
      </c>
      <c r="D1937">
        <v>8.0691903618865499E-13</v>
      </c>
      <c r="E1937" t="s">
        <v>94</v>
      </c>
      <c r="H1937" t="s">
        <v>588</v>
      </c>
    </row>
    <row r="1938" spans="2:8">
      <c r="B1938" t="s">
        <v>1452</v>
      </c>
      <c r="C1938" t="s">
        <v>673</v>
      </c>
      <c r="D1938">
        <v>4.2642368471043902E-5</v>
      </c>
      <c r="E1938" t="s">
        <v>94</v>
      </c>
      <c r="H1938" t="s">
        <v>588</v>
      </c>
    </row>
    <row r="1939" spans="2:8">
      <c r="B1939" t="s">
        <v>1452</v>
      </c>
      <c r="C1939" t="s">
        <v>673</v>
      </c>
      <c r="D1939">
        <v>2.0301352854421101E-5</v>
      </c>
      <c r="E1939" t="s">
        <v>94</v>
      </c>
      <c r="H1939" t="s">
        <v>588</v>
      </c>
    </row>
    <row r="1940" spans="2:8">
      <c r="B1940" t="s">
        <v>1455</v>
      </c>
      <c r="C1940" t="s">
        <v>673</v>
      </c>
      <c r="D1940">
        <v>2.92973835551477E-7</v>
      </c>
      <c r="E1940" t="s">
        <v>94</v>
      </c>
      <c r="H1940" t="s">
        <v>588</v>
      </c>
    </row>
    <row r="1941" spans="2:8">
      <c r="B1941" t="s">
        <v>3829</v>
      </c>
      <c r="C1941" t="s">
        <v>673</v>
      </c>
      <c r="D1941">
        <v>1.4295937143362801E-7</v>
      </c>
      <c r="E1941" t="s">
        <v>94</v>
      </c>
      <c r="H1941" t="s">
        <v>588</v>
      </c>
    </row>
    <row r="1942" spans="2:8">
      <c r="B1942" t="s">
        <v>3829</v>
      </c>
      <c r="C1942" t="s">
        <v>673</v>
      </c>
      <c r="D1942">
        <v>1.4291766406919201E-7</v>
      </c>
      <c r="E1942" t="s">
        <v>94</v>
      </c>
      <c r="H1942" t="s">
        <v>588</v>
      </c>
    </row>
    <row r="1943" spans="2:8">
      <c r="B1943" t="s">
        <v>3831</v>
      </c>
      <c r="C1943" t="s">
        <v>587</v>
      </c>
      <c r="D1943">
        <v>2.2022258276312599E-7</v>
      </c>
      <c r="E1943" t="s">
        <v>94</v>
      </c>
      <c r="H1943" t="s">
        <v>588</v>
      </c>
    </row>
    <row r="1944" spans="2:8">
      <c r="B1944" t="s">
        <v>3832</v>
      </c>
      <c r="C1944" t="s">
        <v>1138</v>
      </c>
      <c r="D1944">
        <v>5.1902608093504403E-8</v>
      </c>
      <c r="E1944" t="s">
        <v>94</v>
      </c>
      <c r="H1944" t="s">
        <v>588</v>
      </c>
    </row>
    <row r="1945" spans="2:8">
      <c r="B1945" t="s">
        <v>3834</v>
      </c>
      <c r="C1945" t="s">
        <v>857</v>
      </c>
      <c r="D1945">
        <v>1.75295860853473E-12</v>
      </c>
      <c r="E1945" t="s">
        <v>616</v>
      </c>
      <c r="H1945" t="s">
        <v>588</v>
      </c>
    </row>
    <row r="1946" spans="2:8">
      <c r="B1946" t="s">
        <v>3834</v>
      </c>
      <c r="C1946" t="s">
        <v>857</v>
      </c>
      <c r="D1946">
        <v>1.75368427082093E-12</v>
      </c>
      <c r="E1946" t="s">
        <v>616</v>
      </c>
      <c r="H1946" t="s">
        <v>588</v>
      </c>
    </row>
    <row r="1947" spans="2:8">
      <c r="B1947" t="s">
        <v>3840</v>
      </c>
      <c r="C1947" t="s">
        <v>1243</v>
      </c>
      <c r="D1947">
        <v>6.0019892168231405E-4</v>
      </c>
      <c r="E1947" t="s">
        <v>94</v>
      </c>
      <c r="H1947" t="s">
        <v>588</v>
      </c>
    </row>
    <row r="1948" spans="2:8">
      <c r="B1948" t="s">
        <v>3842</v>
      </c>
      <c r="C1948" t="s">
        <v>857</v>
      </c>
      <c r="D1948">
        <v>3.22241251222392E-14</v>
      </c>
      <c r="E1948" t="s">
        <v>616</v>
      </c>
      <c r="H1948" t="s">
        <v>588</v>
      </c>
    </row>
    <row r="1949" spans="2:8">
      <c r="B1949" t="s">
        <v>3845</v>
      </c>
      <c r="C1949" t="s">
        <v>1848</v>
      </c>
      <c r="D1949">
        <v>5.0766448629195301E-4</v>
      </c>
      <c r="E1949" t="s">
        <v>94</v>
      </c>
      <c r="H1949" t="s">
        <v>588</v>
      </c>
    </row>
    <row r="1950" spans="2:8">
      <c r="B1950" t="s">
        <v>3845</v>
      </c>
      <c r="C1950" t="s">
        <v>1848</v>
      </c>
      <c r="D1950">
        <v>4.4307519229888501E-4</v>
      </c>
      <c r="E1950" t="s">
        <v>94</v>
      </c>
      <c r="H1950" t="s">
        <v>588</v>
      </c>
    </row>
    <row r="1951" spans="2:8">
      <c r="B1951" t="s">
        <v>3848</v>
      </c>
      <c r="C1951" t="s">
        <v>1810</v>
      </c>
      <c r="D1951">
        <v>3.8862694416931598E-3</v>
      </c>
      <c r="E1951" t="s">
        <v>94</v>
      </c>
      <c r="H1951" t="s">
        <v>588</v>
      </c>
    </row>
    <row r="1952" spans="2:8">
      <c r="B1952" t="s">
        <v>3848</v>
      </c>
      <c r="C1952" t="s">
        <v>1810</v>
      </c>
      <c r="D1952">
        <v>5.3742749664893201E-3</v>
      </c>
      <c r="E1952" t="s">
        <v>94</v>
      </c>
      <c r="H1952" t="s">
        <v>588</v>
      </c>
    </row>
    <row r="1953" spans="2:8">
      <c r="B1953" t="s">
        <v>3852</v>
      </c>
      <c r="C1953" t="s">
        <v>3853</v>
      </c>
      <c r="D1953">
        <v>2.4810745631494499E-4</v>
      </c>
      <c r="E1953" t="s">
        <v>94</v>
      </c>
      <c r="H1953" t="s">
        <v>588</v>
      </c>
    </row>
    <row r="1954" spans="2:8">
      <c r="B1954" t="s">
        <v>3855</v>
      </c>
      <c r="C1954" t="s">
        <v>597</v>
      </c>
      <c r="D1954">
        <v>1.4814643648541101E-3</v>
      </c>
      <c r="E1954" t="s">
        <v>607</v>
      </c>
    </row>
    <row r="1955" spans="2:8">
      <c r="B1955" t="s">
        <v>3858</v>
      </c>
      <c r="C1955" t="s">
        <v>1810</v>
      </c>
      <c r="D1955">
        <v>4.32438953217754E-7</v>
      </c>
      <c r="E1955" t="s">
        <v>1811</v>
      </c>
      <c r="H1955" t="s">
        <v>588</v>
      </c>
    </row>
    <row r="1956" spans="2:8">
      <c r="B1956" t="s">
        <v>3858</v>
      </c>
      <c r="C1956" t="s">
        <v>1810</v>
      </c>
      <c r="D1956">
        <v>4.3228942085739701E-7</v>
      </c>
      <c r="E1956" t="s">
        <v>1811</v>
      </c>
      <c r="H1956" t="s">
        <v>588</v>
      </c>
    </row>
    <row r="1957" spans="2:8">
      <c r="B1957" t="s">
        <v>3861</v>
      </c>
      <c r="C1957" t="s">
        <v>3862</v>
      </c>
      <c r="D1957">
        <v>2.4628483171984699E-3</v>
      </c>
      <c r="E1957" t="s">
        <v>94</v>
      </c>
      <c r="H1957" t="s">
        <v>588</v>
      </c>
    </row>
    <row r="1958" spans="2:8">
      <c r="B1958" t="s">
        <v>3861</v>
      </c>
      <c r="C1958" t="s">
        <v>3862</v>
      </c>
      <c r="D1958">
        <v>6.7970859933149698E-4</v>
      </c>
      <c r="E1958" t="s">
        <v>94</v>
      </c>
      <c r="H1958" t="s">
        <v>588</v>
      </c>
    </row>
    <row r="1959" spans="2:8">
      <c r="B1959" t="s">
        <v>3861</v>
      </c>
      <c r="C1959" t="s">
        <v>3862</v>
      </c>
      <c r="D1959">
        <v>1.7827648207479499E-3</v>
      </c>
      <c r="E1959" t="s">
        <v>94</v>
      </c>
      <c r="H1959" t="s">
        <v>588</v>
      </c>
    </row>
    <row r="1960" spans="2:8">
      <c r="B1960" t="s">
        <v>3866</v>
      </c>
      <c r="C1960" t="s">
        <v>3862</v>
      </c>
      <c r="D1960">
        <v>1.1276189847459E-2</v>
      </c>
      <c r="E1960" t="s">
        <v>94</v>
      </c>
      <c r="H1960" t="s">
        <v>588</v>
      </c>
    </row>
    <row r="1961" spans="2:8">
      <c r="B1961" t="s">
        <v>3868</v>
      </c>
      <c r="C1961" t="s">
        <v>1830</v>
      </c>
      <c r="D1961">
        <v>1.2018115099131899E-3</v>
      </c>
      <c r="E1961" t="s">
        <v>94</v>
      </c>
    </row>
    <row r="1962" spans="2:8">
      <c r="B1962" t="s">
        <v>3868</v>
      </c>
      <c r="C1962" t="s">
        <v>1830</v>
      </c>
      <c r="D1962">
        <v>1.44217381189583E-4</v>
      </c>
      <c r="E1962" t="s">
        <v>94</v>
      </c>
      <c r="H1962" t="s">
        <v>588</v>
      </c>
    </row>
    <row r="1963" spans="2:8">
      <c r="B1963" t="s">
        <v>3871</v>
      </c>
      <c r="C1963" t="s">
        <v>1698</v>
      </c>
      <c r="D1963">
        <v>6.2893073149338606E-5</v>
      </c>
      <c r="E1963" t="s">
        <v>1171</v>
      </c>
      <c r="H1963" t="s">
        <v>588</v>
      </c>
    </row>
    <row r="1964" spans="2:8">
      <c r="B1964" t="s">
        <v>3873</v>
      </c>
      <c r="C1964" t="s">
        <v>1698</v>
      </c>
      <c r="D1964">
        <v>1.09481352252683E-4</v>
      </c>
      <c r="E1964" t="s">
        <v>1171</v>
      </c>
      <c r="H1964" t="s">
        <v>588</v>
      </c>
    </row>
    <row r="1965" spans="2:8">
      <c r="B1965" t="s">
        <v>3875</v>
      </c>
      <c r="C1965" t="s">
        <v>2275</v>
      </c>
      <c r="D1965">
        <v>7.68120357609807E-6</v>
      </c>
      <c r="E1965" t="s">
        <v>94</v>
      </c>
      <c r="H1965" t="s">
        <v>588</v>
      </c>
    </row>
    <row r="1966" spans="2:8">
      <c r="B1966" t="s">
        <v>863</v>
      </c>
      <c r="C1966" t="s">
        <v>673</v>
      </c>
      <c r="D1966">
        <v>5.2412288444911199E-2</v>
      </c>
      <c r="E1966" t="s">
        <v>94</v>
      </c>
      <c r="H1966" t="s">
        <v>588</v>
      </c>
    </row>
    <row r="1967" spans="2:8">
      <c r="B1967" t="s">
        <v>863</v>
      </c>
      <c r="C1967" t="s">
        <v>673</v>
      </c>
      <c r="D1967">
        <v>1.4434392004705801E-2</v>
      </c>
      <c r="E1967" t="s">
        <v>94</v>
      </c>
      <c r="H1967" t="s">
        <v>588</v>
      </c>
    </row>
    <row r="1968" spans="2:8">
      <c r="B1968" t="s">
        <v>3878</v>
      </c>
      <c r="C1968" t="s">
        <v>1417</v>
      </c>
      <c r="D1968">
        <v>4.8784753501713401E-6</v>
      </c>
      <c r="E1968" t="s">
        <v>94</v>
      </c>
      <c r="H1968" t="s">
        <v>588</v>
      </c>
    </row>
    <row r="1969" spans="2:8">
      <c r="B1969" t="s">
        <v>3881</v>
      </c>
      <c r="C1969" t="s">
        <v>821</v>
      </c>
      <c r="D1969">
        <v>2.4686181576797999E-3</v>
      </c>
      <c r="E1969" t="s">
        <v>94</v>
      </c>
      <c r="H1969" t="s">
        <v>588</v>
      </c>
    </row>
    <row r="1970" spans="2:8">
      <c r="B1970" t="s">
        <v>1457</v>
      </c>
      <c r="C1970" t="s">
        <v>821</v>
      </c>
      <c r="D1970">
        <v>3.8942205935011999E-3</v>
      </c>
      <c r="E1970" t="s">
        <v>94</v>
      </c>
      <c r="H1970" t="s">
        <v>588</v>
      </c>
    </row>
    <row r="1971" spans="2:8">
      <c r="B1971" t="s">
        <v>1459</v>
      </c>
      <c r="C1971" t="s">
        <v>821</v>
      </c>
      <c r="D1971">
        <v>9.1502232020037409E-3</v>
      </c>
      <c r="E1971" t="s">
        <v>94</v>
      </c>
      <c r="H1971" t="s">
        <v>588</v>
      </c>
    </row>
    <row r="1972" spans="2:8">
      <c r="B1972" t="s">
        <v>1462</v>
      </c>
      <c r="C1972" t="s">
        <v>821</v>
      </c>
      <c r="D1972">
        <v>1.43627122127908E-2</v>
      </c>
      <c r="E1972" t="s">
        <v>94</v>
      </c>
      <c r="H1972" t="s">
        <v>588</v>
      </c>
    </row>
    <row r="1973" spans="2:8">
      <c r="B1973" t="s">
        <v>1465</v>
      </c>
      <c r="C1973" t="s">
        <v>821</v>
      </c>
      <c r="D1973">
        <v>5.8772281686184698E-3</v>
      </c>
      <c r="E1973" t="s">
        <v>94</v>
      </c>
      <c r="H1973" t="s">
        <v>588</v>
      </c>
    </row>
    <row r="1974" spans="2:8">
      <c r="B1974" t="s">
        <v>3886</v>
      </c>
      <c r="C1974" t="s">
        <v>1892</v>
      </c>
      <c r="D1974">
        <v>1.6361898402880799E-4</v>
      </c>
      <c r="E1974" t="s">
        <v>94</v>
      </c>
      <c r="H1974" t="s">
        <v>588</v>
      </c>
    </row>
    <row r="1975" spans="2:8">
      <c r="B1975" t="s">
        <v>3888</v>
      </c>
      <c r="C1975" t="s">
        <v>615</v>
      </c>
      <c r="D1975">
        <v>3.4764109895312598E-12</v>
      </c>
      <c r="E1975" t="s">
        <v>616</v>
      </c>
      <c r="H1975" t="s">
        <v>588</v>
      </c>
    </row>
    <row r="1976" spans="2:8">
      <c r="B1976" t="s">
        <v>3888</v>
      </c>
      <c r="C1976" t="s">
        <v>615</v>
      </c>
      <c r="D1976">
        <v>3.1747668891603498E-12</v>
      </c>
      <c r="E1976" t="s">
        <v>616</v>
      </c>
      <c r="H1976" t="s">
        <v>588</v>
      </c>
    </row>
    <row r="1977" spans="2:8">
      <c r="B1977" t="s">
        <v>3892</v>
      </c>
      <c r="C1977" t="s">
        <v>1892</v>
      </c>
      <c r="D1977">
        <v>7.74909503508227E-5</v>
      </c>
      <c r="E1977" t="s">
        <v>94</v>
      </c>
      <c r="H1977" t="s">
        <v>588</v>
      </c>
    </row>
    <row r="1978" spans="2:8">
      <c r="B1978" t="s">
        <v>3894</v>
      </c>
      <c r="C1978" t="s">
        <v>3862</v>
      </c>
      <c r="D1978">
        <v>2.0530386487118301E-6</v>
      </c>
      <c r="E1978" t="s">
        <v>94</v>
      </c>
      <c r="H1978" t="s">
        <v>588</v>
      </c>
    </row>
    <row r="1979" spans="2:8">
      <c r="B1979" t="s">
        <v>3896</v>
      </c>
      <c r="C1979" t="s">
        <v>1725</v>
      </c>
      <c r="D1979">
        <v>5.1760807490157902E-6</v>
      </c>
      <c r="E1979" t="s">
        <v>94</v>
      </c>
    </row>
    <row r="1980" spans="2:8">
      <c r="B1980" t="s">
        <v>3896</v>
      </c>
      <c r="C1980" t="s">
        <v>1725</v>
      </c>
      <c r="D1980">
        <v>2.1674233661856201E-7</v>
      </c>
      <c r="E1980" t="s">
        <v>94</v>
      </c>
    </row>
    <row r="1981" spans="2:8">
      <c r="B1981" t="s">
        <v>3896</v>
      </c>
      <c r="C1981" t="s">
        <v>1725</v>
      </c>
      <c r="D1981">
        <v>1.47749309807126E-4</v>
      </c>
      <c r="E1981" t="s">
        <v>94</v>
      </c>
      <c r="H1981" t="s">
        <v>588</v>
      </c>
    </row>
    <row r="1982" spans="2:8">
      <c r="B1982" t="s">
        <v>3896</v>
      </c>
      <c r="C1982" t="s">
        <v>1725</v>
      </c>
      <c r="D1982">
        <v>5.1178909573604901E-5</v>
      </c>
      <c r="E1982" t="s">
        <v>94</v>
      </c>
    </row>
    <row r="1983" spans="2:8">
      <c r="B1983" t="s">
        <v>3896</v>
      </c>
      <c r="C1983" t="s">
        <v>1725</v>
      </c>
      <c r="D1983">
        <v>5.2056010471729396E-4</v>
      </c>
      <c r="E1983" t="s">
        <v>94</v>
      </c>
    </row>
    <row r="1984" spans="2:8">
      <c r="B1984" t="s">
        <v>3896</v>
      </c>
      <c r="C1984" t="s">
        <v>1725</v>
      </c>
      <c r="D1984">
        <v>2.4476408781734602E-4</v>
      </c>
      <c r="E1984" t="s">
        <v>94</v>
      </c>
    </row>
    <row r="1985" spans="2:8">
      <c r="B1985" t="s">
        <v>3896</v>
      </c>
      <c r="C1985" t="s">
        <v>1725</v>
      </c>
      <c r="D1985">
        <v>1.7253602496694399E-6</v>
      </c>
      <c r="E1985" t="s">
        <v>94</v>
      </c>
    </row>
    <row r="1986" spans="2:8">
      <c r="B1986" t="s">
        <v>3896</v>
      </c>
      <c r="C1986" t="s">
        <v>1725</v>
      </c>
      <c r="D1986">
        <v>7.2247445539520704E-8</v>
      </c>
      <c r="E1986" t="s">
        <v>94</v>
      </c>
    </row>
    <row r="1987" spans="2:8">
      <c r="B1987" t="s">
        <v>3901</v>
      </c>
      <c r="C1987" t="s">
        <v>1249</v>
      </c>
      <c r="D1987">
        <v>3.9634510557966898E-6</v>
      </c>
      <c r="E1987" t="s">
        <v>94</v>
      </c>
      <c r="H1987" t="s">
        <v>588</v>
      </c>
    </row>
    <row r="1988" spans="2:8">
      <c r="B1988" t="s">
        <v>1468</v>
      </c>
      <c r="C1988" t="s">
        <v>673</v>
      </c>
      <c r="D1988">
        <v>3.2235934190910598E-7</v>
      </c>
      <c r="E1988" t="s">
        <v>94</v>
      </c>
      <c r="H1988" t="s">
        <v>588</v>
      </c>
    </row>
    <row r="1989" spans="2:8">
      <c r="B1989" t="s">
        <v>3903</v>
      </c>
      <c r="C1989" t="s">
        <v>587</v>
      </c>
      <c r="D1989">
        <v>7.7628556734655105E-8</v>
      </c>
      <c r="E1989" t="s">
        <v>94</v>
      </c>
      <c r="H1989" t="s">
        <v>588</v>
      </c>
    </row>
    <row r="1990" spans="2:8">
      <c r="B1990" t="s">
        <v>3904</v>
      </c>
      <c r="C1990" t="s">
        <v>2202</v>
      </c>
      <c r="D1990">
        <v>1.11980616638112E-4</v>
      </c>
      <c r="E1990" t="s">
        <v>94</v>
      </c>
      <c r="H1990" t="s">
        <v>588</v>
      </c>
    </row>
    <row r="1991" spans="2:8">
      <c r="B1991" t="s">
        <v>3906</v>
      </c>
      <c r="C1991" t="s">
        <v>673</v>
      </c>
      <c r="D1991">
        <v>1.9957091934715001E-3</v>
      </c>
      <c r="E1991" t="s">
        <v>94</v>
      </c>
      <c r="H1991" t="s">
        <v>588</v>
      </c>
    </row>
    <row r="1992" spans="2:8">
      <c r="B1992" t="s">
        <v>3908</v>
      </c>
      <c r="C1992" t="s">
        <v>701</v>
      </c>
      <c r="D1992">
        <v>2.25884625258606E-5</v>
      </c>
      <c r="E1992" t="s">
        <v>94</v>
      </c>
      <c r="H1992" t="s">
        <v>588</v>
      </c>
    </row>
    <row r="1993" spans="2:8">
      <c r="B1993" t="s">
        <v>3910</v>
      </c>
      <c r="C1993" t="s">
        <v>3911</v>
      </c>
      <c r="D1993">
        <v>1.8159228718281999E-6</v>
      </c>
      <c r="E1993" t="s">
        <v>94</v>
      </c>
      <c r="H1993" t="s">
        <v>588</v>
      </c>
    </row>
    <row r="1994" spans="2:8">
      <c r="B1994" t="s">
        <v>3913</v>
      </c>
      <c r="C1994" t="s">
        <v>3129</v>
      </c>
      <c r="D1994">
        <v>5.2894815908507802E-5</v>
      </c>
      <c r="E1994" t="s">
        <v>94</v>
      </c>
      <c r="H1994" t="s">
        <v>588</v>
      </c>
    </row>
    <row r="1995" spans="2:8">
      <c r="B1995" t="s">
        <v>3915</v>
      </c>
      <c r="C1995" t="s">
        <v>3129</v>
      </c>
      <c r="D1995">
        <v>2.97098077329976E-5</v>
      </c>
      <c r="E1995" t="s">
        <v>94</v>
      </c>
      <c r="H1995" t="s">
        <v>588</v>
      </c>
    </row>
    <row r="1996" spans="2:8">
      <c r="B1996" t="s">
        <v>3918</v>
      </c>
      <c r="C1996" t="s">
        <v>3919</v>
      </c>
      <c r="D1996">
        <v>4.8480291071218699E-2</v>
      </c>
      <c r="E1996" t="s">
        <v>94</v>
      </c>
      <c r="H1996" t="s">
        <v>588</v>
      </c>
    </row>
    <row r="1997" spans="2:8">
      <c r="B1997" t="s">
        <v>3918</v>
      </c>
      <c r="C1997" t="s">
        <v>3919</v>
      </c>
      <c r="D1997">
        <v>2.34558783964471E-2</v>
      </c>
      <c r="E1997" t="s">
        <v>94</v>
      </c>
      <c r="H1997" t="s">
        <v>588</v>
      </c>
    </row>
    <row r="1998" spans="2:8">
      <c r="B1998" t="s">
        <v>3922</v>
      </c>
      <c r="C1998" t="s">
        <v>673</v>
      </c>
      <c r="D1998">
        <v>2.0304658431988199E-10</v>
      </c>
      <c r="E1998" t="s">
        <v>94</v>
      </c>
      <c r="H1998" t="s">
        <v>588</v>
      </c>
    </row>
    <row r="1999" spans="2:8">
      <c r="B1999" t="s">
        <v>3924</v>
      </c>
      <c r="C1999" t="s">
        <v>1848</v>
      </c>
      <c r="D1999">
        <v>7.3887358841735404E-3</v>
      </c>
      <c r="E1999" t="s">
        <v>94</v>
      </c>
      <c r="H1999" t="s">
        <v>588</v>
      </c>
    </row>
    <row r="2000" spans="2:8">
      <c r="B2000" t="s">
        <v>3924</v>
      </c>
      <c r="C2000" t="s">
        <v>1848</v>
      </c>
      <c r="D2000">
        <v>6.4342562763155804E-4</v>
      </c>
      <c r="E2000" t="s">
        <v>94</v>
      </c>
      <c r="H2000" t="s">
        <v>588</v>
      </c>
    </row>
    <row r="2001" spans="2:8">
      <c r="B2001" t="s">
        <v>3927</v>
      </c>
      <c r="C2001" t="s">
        <v>1848</v>
      </c>
      <c r="D2001">
        <v>4.3114255179497302E-4</v>
      </c>
      <c r="E2001" t="s">
        <v>94</v>
      </c>
      <c r="H2001" t="s">
        <v>588</v>
      </c>
    </row>
    <row r="2002" spans="2:8">
      <c r="B2002" t="s">
        <v>3927</v>
      </c>
      <c r="C2002" t="s">
        <v>1848</v>
      </c>
      <c r="D2002">
        <v>2.12482900097113E-4</v>
      </c>
      <c r="E2002" t="s">
        <v>94</v>
      </c>
      <c r="H2002" t="s">
        <v>588</v>
      </c>
    </row>
    <row r="2003" spans="2:8">
      <c r="B2003" t="s">
        <v>932</v>
      </c>
      <c r="C2003" t="s">
        <v>673</v>
      </c>
      <c r="D2003">
        <v>1.02917288714051E-4</v>
      </c>
      <c r="E2003" t="s">
        <v>94</v>
      </c>
      <c r="H2003" t="s">
        <v>588</v>
      </c>
    </row>
    <row r="2004" spans="2:8">
      <c r="B2004" t="s">
        <v>932</v>
      </c>
      <c r="C2004" t="s">
        <v>673</v>
      </c>
      <c r="D2004">
        <v>2.3784629652603199E-6</v>
      </c>
      <c r="E2004" t="s">
        <v>94</v>
      </c>
      <c r="H2004" t="s">
        <v>588</v>
      </c>
    </row>
    <row r="2005" spans="2:8">
      <c r="B2005" t="s">
        <v>3931</v>
      </c>
      <c r="C2005" t="s">
        <v>1848</v>
      </c>
      <c r="D2005">
        <v>1.1306241291729E-3</v>
      </c>
      <c r="E2005" t="s">
        <v>94</v>
      </c>
      <c r="H2005" t="s">
        <v>588</v>
      </c>
    </row>
    <row r="2006" spans="2:8">
      <c r="B2006" t="s">
        <v>3933</v>
      </c>
      <c r="C2006" t="s">
        <v>3159</v>
      </c>
      <c r="D2006">
        <v>6.1707392604057601E-3</v>
      </c>
      <c r="E2006" t="s">
        <v>94</v>
      </c>
      <c r="H2006" t="s">
        <v>588</v>
      </c>
    </row>
    <row r="2007" spans="2:8">
      <c r="B2007" t="s">
        <v>3935</v>
      </c>
      <c r="C2007" t="s">
        <v>673</v>
      </c>
      <c r="D2007">
        <v>2.2372580501758401E-4</v>
      </c>
      <c r="E2007" t="s">
        <v>94</v>
      </c>
      <c r="H2007" t="s">
        <v>588</v>
      </c>
    </row>
    <row r="2008" spans="2:8">
      <c r="B2008" t="s">
        <v>3935</v>
      </c>
      <c r="C2008" t="s">
        <v>673</v>
      </c>
      <c r="D2008">
        <v>7.4013635582510502E-4</v>
      </c>
      <c r="E2008" t="s">
        <v>94</v>
      </c>
      <c r="H2008" t="s">
        <v>588</v>
      </c>
    </row>
    <row r="2009" spans="2:8">
      <c r="B2009" t="s">
        <v>3937</v>
      </c>
      <c r="C2009" t="s">
        <v>673</v>
      </c>
      <c r="D2009">
        <v>7.2718371460752099E-9</v>
      </c>
      <c r="E2009" t="s">
        <v>94</v>
      </c>
      <c r="H2009" t="s">
        <v>588</v>
      </c>
    </row>
    <row r="2010" spans="2:8">
      <c r="B2010" t="s">
        <v>3939</v>
      </c>
      <c r="C2010" t="s">
        <v>587</v>
      </c>
      <c r="D2010">
        <v>1.04178417125389E-3</v>
      </c>
      <c r="E2010" t="s">
        <v>94</v>
      </c>
      <c r="H2010" t="s">
        <v>588</v>
      </c>
    </row>
    <row r="2011" spans="2:8">
      <c r="B2011" t="s">
        <v>865</v>
      </c>
      <c r="C2011" t="s">
        <v>809</v>
      </c>
      <c r="D2011">
        <v>1.32588871506438E-3</v>
      </c>
      <c r="E2011" t="s">
        <v>94</v>
      </c>
      <c r="H2011" t="s">
        <v>588</v>
      </c>
    </row>
    <row r="2012" spans="2:8">
      <c r="B2012" t="s">
        <v>865</v>
      </c>
      <c r="C2012" t="s">
        <v>809</v>
      </c>
      <c r="D2012">
        <v>8.3978079327720109E-3</v>
      </c>
      <c r="E2012" t="s">
        <v>94</v>
      </c>
      <c r="H2012" t="s">
        <v>588</v>
      </c>
    </row>
    <row r="2013" spans="2:8">
      <c r="B2013" t="s">
        <v>3940</v>
      </c>
      <c r="C2013" t="s">
        <v>1698</v>
      </c>
      <c r="D2013">
        <v>1.5723268287334599E-4</v>
      </c>
      <c r="E2013" t="s">
        <v>616</v>
      </c>
      <c r="H2013" t="s">
        <v>588</v>
      </c>
    </row>
    <row r="2014" spans="2:8">
      <c r="B2014" t="s">
        <v>3942</v>
      </c>
      <c r="C2014" t="s">
        <v>597</v>
      </c>
      <c r="D2014">
        <v>4.26181042157712E-3</v>
      </c>
      <c r="E2014" t="s">
        <v>607</v>
      </c>
      <c r="H2014" t="s">
        <v>588</v>
      </c>
    </row>
    <row r="2015" spans="2:8">
      <c r="B2015" t="s">
        <v>3942</v>
      </c>
      <c r="C2015" t="s">
        <v>597</v>
      </c>
      <c r="D2015">
        <v>8.6202129478958098E-2</v>
      </c>
      <c r="E2015" t="s">
        <v>607</v>
      </c>
      <c r="H2015" t="s">
        <v>588</v>
      </c>
    </row>
    <row r="2016" spans="2:8">
      <c r="B2016" t="s">
        <v>3947</v>
      </c>
      <c r="C2016" t="s">
        <v>3862</v>
      </c>
      <c r="D2016">
        <v>3.6491945132159399E-2</v>
      </c>
      <c r="E2016" t="s">
        <v>94</v>
      </c>
      <c r="H2016" t="s">
        <v>588</v>
      </c>
    </row>
    <row r="2017" spans="2:8">
      <c r="B2017" t="s">
        <v>3950</v>
      </c>
      <c r="C2017" t="s">
        <v>3159</v>
      </c>
      <c r="D2017">
        <v>4.3619492695700897E-3</v>
      </c>
      <c r="E2017" t="s">
        <v>640</v>
      </c>
      <c r="H2017" t="s">
        <v>588</v>
      </c>
    </row>
    <row r="2018" spans="2:8">
      <c r="B2018" t="s">
        <v>3950</v>
      </c>
      <c r="C2018" t="s">
        <v>3159</v>
      </c>
      <c r="D2018">
        <v>2.68041819140495E-3</v>
      </c>
      <c r="E2018" t="s">
        <v>640</v>
      </c>
    </row>
    <row r="2019" spans="2:8">
      <c r="B2019" t="s">
        <v>3955</v>
      </c>
      <c r="C2019" t="s">
        <v>587</v>
      </c>
      <c r="D2019">
        <v>1.96645427327721E-2</v>
      </c>
      <c r="E2019" t="s">
        <v>94</v>
      </c>
      <c r="H2019" t="s">
        <v>588</v>
      </c>
    </row>
    <row r="2020" spans="2:8">
      <c r="B2020" t="s">
        <v>3958</v>
      </c>
      <c r="C2020" t="s">
        <v>615</v>
      </c>
      <c r="D2020">
        <v>4.8324840671310601E-13</v>
      </c>
      <c r="E2020" t="s">
        <v>616</v>
      </c>
      <c r="H2020" t="s">
        <v>588</v>
      </c>
    </row>
    <row r="2021" spans="2:8">
      <c r="B2021" t="s">
        <v>1472</v>
      </c>
      <c r="C2021" t="s">
        <v>701</v>
      </c>
      <c r="D2021">
        <v>5.2358491363910598E-3</v>
      </c>
      <c r="E2021" t="s">
        <v>94</v>
      </c>
      <c r="H2021" t="s">
        <v>588</v>
      </c>
    </row>
    <row r="2022" spans="2:8">
      <c r="B2022" t="s">
        <v>3962</v>
      </c>
      <c r="C2022" t="s">
        <v>587</v>
      </c>
      <c r="D2022">
        <v>2.3781330576295001E-5</v>
      </c>
      <c r="E2022" t="s">
        <v>94</v>
      </c>
    </row>
    <row r="2023" spans="2:8">
      <c r="B2023" t="s">
        <v>868</v>
      </c>
      <c r="C2023" t="s">
        <v>813</v>
      </c>
      <c r="D2023">
        <v>0.19238833584342499</v>
      </c>
      <c r="E2023" t="s">
        <v>94</v>
      </c>
      <c r="H2023" t="s">
        <v>588</v>
      </c>
    </row>
    <row r="2024" spans="2:8">
      <c r="B2024" t="s">
        <v>868</v>
      </c>
      <c r="C2024" t="s">
        <v>813</v>
      </c>
      <c r="D2024">
        <v>5.7639278524345E-2</v>
      </c>
      <c r="E2024" t="s">
        <v>94</v>
      </c>
      <c r="H2024" t="s">
        <v>588</v>
      </c>
    </row>
    <row r="2025" spans="2:8">
      <c r="B2025" t="s">
        <v>868</v>
      </c>
      <c r="C2025" t="s">
        <v>813</v>
      </c>
      <c r="D2025">
        <v>1.04283111952368E-2</v>
      </c>
      <c r="E2025" t="s">
        <v>94</v>
      </c>
      <c r="H2025" t="s">
        <v>588</v>
      </c>
    </row>
    <row r="2026" spans="2:8">
      <c r="B2026" t="s">
        <v>868</v>
      </c>
      <c r="C2026" t="s">
        <v>813</v>
      </c>
      <c r="D2026">
        <v>0.10926012420249299</v>
      </c>
      <c r="E2026" t="s">
        <v>94</v>
      </c>
      <c r="H2026" t="s">
        <v>588</v>
      </c>
    </row>
    <row r="2027" spans="2:8">
      <c r="B2027" t="s">
        <v>868</v>
      </c>
      <c r="C2027" t="s">
        <v>813</v>
      </c>
      <c r="D2027">
        <v>2.1773309683353601E-2</v>
      </c>
      <c r="E2027" t="s">
        <v>94</v>
      </c>
      <c r="H2027" t="s">
        <v>588</v>
      </c>
    </row>
    <row r="2028" spans="2:8">
      <c r="B2028" t="s">
        <v>868</v>
      </c>
      <c r="C2028" t="s">
        <v>813</v>
      </c>
      <c r="D2028">
        <v>0.14709536469086601</v>
      </c>
      <c r="E2028" t="s">
        <v>94</v>
      </c>
      <c r="H2028" t="s">
        <v>588</v>
      </c>
    </row>
    <row r="2029" spans="2:8">
      <c r="B2029" t="s">
        <v>868</v>
      </c>
      <c r="C2029" t="s">
        <v>813</v>
      </c>
      <c r="D2029">
        <v>0.81486211547049503</v>
      </c>
      <c r="E2029" t="s">
        <v>94</v>
      </c>
      <c r="H2029" t="s">
        <v>588</v>
      </c>
    </row>
    <row r="2030" spans="2:8">
      <c r="B2030" t="s">
        <v>868</v>
      </c>
      <c r="C2030" t="s">
        <v>813</v>
      </c>
      <c r="D2030">
        <v>0.34650487572011202</v>
      </c>
      <c r="E2030" t="s">
        <v>94</v>
      </c>
      <c r="H2030" t="s">
        <v>588</v>
      </c>
    </row>
    <row r="2031" spans="2:8">
      <c r="B2031" t="s">
        <v>868</v>
      </c>
      <c r="C2031" t="s">
        <v>813</v>
      </c>
      <c r="D2031">
        <v>0.237721373202259</v>
      </c>
      <c r="E2031" t="s">
        <v>94</v>
      </c>
      <c r="H2031" t="s">
        <v>588</v>
      </c>
    </row>
    <row r="2032" spans="2:8">
      <c r="B2032" t="s">
        <v>868</v>
      </c>
      <c r="C2032" t="s">
        <v>813</v>
      </c>
      <c r="D2032">
        <v>0.21374481152826499</v>
      </c>
      <c r="E2032" t="s">
        <v>94</v>
      </c>
      <c r="H2032" t="s">
        <v>588</v>
      </c>
    </row>
    <row r="2033" spans="2:8">
      <c r="B2033" t="s">
        <v>868</v>
      </c>
      <c r="C2033" t="s">
        <v>813</v>
      </c>
      <c r="D2033">
        <v>2.9362343147151102</v>
      </c>
      <c r="E2033" t="s">
        <v>94</v>
      </c>
      <c r="H2033" t="s">
        <v>588</v>
      </c>
    </row>
    <row r="2034" spans="2:8">
      <c r="B2034" t="s">
        <v>3964</v>
      </c>
      <c r="C2034" t="s">
        <v>3965</v>
      </c>
      <c r="D2034">
        <v>3.1333151196926598E-7</v>
      </c>
      <c r="E2034" t="s">
        <v>616</v>
      </c>
      <c r="H2034" t="s">
        <v>588</v>
      </c>
    </row>
    <row r="2035" spans="2:8">
      <c r="B2035" t="s">
        <v>1476</v>
      </c>
      <c r="C2035" t="s">
        <v>1243</v>
      </c>
      <c r="D2035">
        <v>5.6391136502748201E-5</v>
      </c>
      <c r="E2035" t="s">
        <v>94</v>
      </c>
      <c r="H2035" t="s">
        <v>588</v>
      </c>
    </row>
    <row r="2036" spans="2:8">
      <c r="B2036" t="s">
        <v>1476</v>
      </c>
      <c r="C2036" t="s">
        <v>1243</v>
      </c>
      <c r="D2036">
        <v>4.2412585014373798E-4</v>
      </c>
      <c r="E2036" t="s">
        <v>94</v>
      </c>
      <c r="H2036" t="s">
        <v>588</v>
      </c>
    </row>
    <row r="2037" spans="2:8">
      <c r="B2037" t="s">
        <v>3969</v>
      </c>
      <c r="C2037" t="s">
        <v>701</v>
      </c>
      <c r="D2037">
        <v>2.75136422865717E-8</v>
      </c>
      <c r="E2037" t="s">
        <v>94</v>
      </c>
      <c r="H2037" t="s">
        <v>588</v>
      </c>
    </row>
    <row r="2038" spans="2:8">
      <c r="B2038" t="s">
        <v>3972</v>
      </c>
      <c r="C2038" t="s">
        <v>673</v>
      </c>
      <c r="D2038">
        <v>3.20232878412747E-6</v>
      </c>
      <c r="E2038" t="s">
        <v>94</v>
      </c>
      <c r="H2038" t="s">
        <v>588</v>
      </c>
    </row>
    <row r="2039" spans="2:8">
      <c r="B2039" t="s">
        <v>3974</v>
      </c>
      <c r="C2039" t="s">
        <v>3975</v>
      </c>
      <c r="D2039">
        <v>3.6602868231486902E-5</v>
      </c>
      <c r="E2039" t="s">
        <v>94</v>
      </c>
      <c r="H2039" t="s">
        <v>588</v>
      </c>
    </row>
    <row r="2040" spans="2:8">
      <c r="B2040" t="s">
        <v>3978</v>
      </c>
      <c r="C2040" t="s">
        <v>3979</v>
      </c>
      <c r="D2040">
        <v>6.39867077928215E-8</v>
      </c>
      <c r="E2040" t="s">
        <v>94</v>
      </c>
      <c r="H2040" t="s">
        <v>588</v>
      </c>
    </row>
    <row r="2041" spans="2:8">
      <c r="B2041" t="s">
        <v>3983</v>
      </c>
      <c r="C2041" t="s">
        <v>2739</v>
      </c>
      <c r="D2041">
        <v>2.0655824610933499E-11</v>
      </c>
      <c r="E2041" t="s">
        <v>616</v>
      </c>
      <c r="H2041" t="s">
        <v>588</v>
      </c>
    </row>
    <row r="2042" spans="2:8">
      <c r="B2042" t="s">
        <v>3986</v>
      </c>
      <c r="C2042" t="s">
        <v>1249</v>
      </c>
      <c r="D2042">
        <v>5.3841194611387201E-5</v>
      </c>
      <c r="E2042" t="s">
        <v>94</v>
      </c>
      <c r="H2042" t="s">
        <v>588</v>
      </c>
    </row>
    <row r="2043" spans="2:8">
      <c r="B2043" t="s">
        <v>3989</v>
      </c>
      <c r="C2043" t="s">
        <v>1249</v>
      </c>
      <c r="D2043">
        <v>4.4442941913208297E-8</v>
      </c>
      <c r="E2043" t="s">
        <v>94</v>
      </c>
      <c r="H2043" t="s">
        <v>588</v>
      </c>
    </row>
    <row r="2044" spans="2:8">
      <c r="B2044" t="s">
        <v>3989</v>
      </c>
      <c r="C2044" t="s">
        <v>1249</v>
      </c>
      <c r="D2044">
        <v>4.2412487809797798E-8</v>
      </c>
      <c r="E2044" t="s">
        <v>94</v>
      </c>
      <c r="H2044" t="s">
        <v>588</v>
      </c>
    </row>
    <row r="2045" spans="2:8">
      <c r="B2045" t="s">
        <v>3994</v>
      </c>
      <c r="C2045" t="s">
        <v>1810</v>
      </c>
      <c r="D2045">
        <v>2.0415356323806599E-6</v>
      </c>
      <c r="E2045" t="s">
        <v>1811</v>
      </c>
      <c r="H2045" t="s">
        <v>588</v>
      </c>
    </row>
    <row r="2046" spans="2:8">
      <c r="B2046" t="s">
        <v>3994</v>
      </c>
      <c r="C2046" t="s">
        <v>1810</v>
      </c>
      <c r="D2046">
        <v>8.6457548543047099E-7</v>
      </c>
      <c r="E2046" t="s">
        <v>1811</v>
      </c>
      <c r="H2046" t="s">
        <v>588</v>
      </c>
    </row>
    <row r="2047" spans="2:8">
      <c r="B2047" t="s">
        <v>3998</v>
      </c>
      <c r="C2047" t="s">
        <v>1810</v>
      </c>
      <c r="D2047">
        <v>1.0207694949129699E-6</v>
      </c>
      <c r="E2047" t="s">
        <v>1811</v>
      </c>
      <c r="H2047" t="s">
        <v>588</v>
      </c>
    </row>
    <row r="2048" spans="2:8">
      <c r="B2048" t="s">
        <v>3998</v>
      </c>
      <c r="C2048" t="s">
        <v>1810</v>
      </c>
      <c r="D2048">
        <v>4.3228942085739701E-7</v>
      </c>
      <c r="E2048" t="s">
        <v>1811</v>
      </c>
      <c r="H2048" t="s">
        <v>588</v>
      </c>
    </row>
    <row r="2049" spans="2:8">
      <c r="B2049" t="s">
        <v>1481</v>
      </c>
      <c r="C2049" t="s">
        <v>1482</v>
      </c>
      <c r="D2049">
        <v>1.8048487362892199E-4</v>
      </c>
      <c r="E2049" t="s">
        <v>94</v>
      </c>
      <c r="H2049" t="s">
        <v>588</v>
      </c>
    </row>
    <row r="2050" spans="2:8">
      <c r="B2050" t="s">
        <v>4002</v>
      </c>
      <c r="C2050" t="s">
        <v>821</v>
      </c>
      <c r="D2050">
        <v>1.10035575120111E-4</v>
      </c>
      <c r="E2050" t="s">
        <v>626</v>
      </c>
      <c r="H2050" t="s">
        <v>1733</v>
      </c>
    </row>
    <row r="2051" spans="2:8">
      <c r="B2051" t="s">
        <v>4004</v>
      </c>
      <c r="C2051" t="s">
        <v>1848</v>
      </c>
      <c r="D2051">
        <v>6.86638928831587E-4</v>
      </c>
      <c r="E2051" t="s">
        <v>94</v>
      </c>
      <c r="H2051" t="s">
        <v>588</v>
      </c>
    </row>
    <row r="2052" spans="2:8">
      <c r="B2052" t="s">
        <v>4007</v>
      </c>
      <c r="C2052" t="s">
        <v>667</v>
      </c>
      <c r="D2052">
        <v>5.1066698551357603E-5</v>
      </c>
      <c r="E2052" t="s">
        <v>94</v>
      </c>
      <c r="H2052" t="s">
        <v>588</v>
      </c>
    </row>
    <row r="2053" spans="2:8">
      <c r="B2053" t="s">
        <v>1484</v>
      </c>
      <c r="C2053" t="s">
        <v>673</v>
      </c>
      <c r="D2053">
        <v>5.2898452947249797E-6</v>
      </c>
      <c r="E2053" t="s">
        <v>94</v>
      </c>
      <c r="H2053" t="s">
        <v>588</v>
      </c>
    </row>
    <row r="2054" spans="2:8">
      <c r="B2054" t="s">
        <v>1484</v>
      </c>
      <c r="C2054" t="s">
        <v>673</v>
      </c>
      <c r="D2054">
        <v>1.05792608330976E-7</v>
      </c>
      <c r="E2054" t="s">
        <v>94</v>
      </c>
      <c r="H2054" t="s">
        <v>588</v>
      </c>
    </row>
    <row r="2055" spans="2:8">
      <c r="B2055" t="s">
        <v>4012</v>
      </c>
      <c r="C2055" t="s">
        <v>587</v>
      </c>
      <c r="D2055">
        <v>1.25447869637033E-6</v>
      </c>
      <c r="E2055" t="s">
        <v>94</v>
      </c>
      <c r="H2055" t="s">
        <v>588</v>
      </c>
    </row>
    <row r="2056" spans="2:8">
      <c r="B2056" t="s">
        <v>4013</v>
      </c>
      <c r="C2056" t="s">
        <v>701</v>
      </c>
      <c r="D2056">
        <v>1.01944295287303E-3</v>
      </c>
      <c r="E2056" t="s">
        <v>94</v>
      </c>
      <c r="H2056" t="s">
        <v>588</v>
      </c>
    </row>
    <row r="2057" spans="2:8">
      <c r="B2057" t="s">
        <v>4013</v>
      </c>
      <c r="C2057" t="s">
        <v>701</v>
      </c>
      <c r="D2057">
        <v>1.0173898408324499E-3</v>
      </c>
      <c r="E2057" t="s">
        <v>94</v>
      </c>
      <c r="H2057" t="s">
        <v>588</v>
      </c>
    </row>
    <row r="2058" spans="2:8">
      <c r="B2058" t="s">
        <v>4015</v>
      </c>
      <c r="C2058" t="s">
        <v>673</v>
      </c>
      <c r="D2058">
        <v>2.7121663555129501E-6</v>
      </c>
      <c r="E2058" t="s">
        <v>94</v>
      </c>
      <c r="H2058" t="s">
        <v>588</v>
      </c>
    </row>
    <row r="2059" spans="2:8">
      <c r="B2059" t="s">
        <v>4015</v>
      </c>
      <c r="C2059" t="s">
        <v>673</v>
      </c>
      <c r="D2059">
        <v>2.03451207559042E-5</v>
      </c>
      <c r="E2059" t="s">
        <v>94</v>
      </c>
      <c r="H2059" t="s">
        <v>588</v>
      </c>
    </row>
    <row r="2060" spans="2:8">
      <c r="B2060" t="s">
        <v>4017</v>
      </c>
      <c r="C2060" t="s">
        <v>1830</v>
      </c>
      <c r="D2060">
        <v>2.5259467425151499E-5</v>
      </c>
      <c r="E2060" t="s">
        <v>94</v>
      </c>
    </row>
    <row r="2061" spans="2:8">
      <c r="B2061" t="s">
        <v>4017</v>
      </c>
      <c r="C2061" t="s">
        <v>1830</v>
      </c>
      <c r="D2061">
        <v>1.3428624549262699E-4</v>
      </c>
      <c r="E2061" t="s">
        <v>94</v>
      </c>
    </row>
    <row r="2062" spans="2:8">
      <c r="B2062" t="s">
        <v>4017</v>
      </c>
      <c r="C2062" t="s">
        <v>1830</v>
      </c>
      <c r="D2062">
        <v>7.1625366624632803E-6</v>
      </c>
      <c r="E2062" t="s">
        <v>94</v>
      </c>
    </row>
    <row r="2063" spans="2:8">
      <c r="B2063" t="s">
        <v>4017</v>
      </c>
      <c r="C2063" t="s">
        <v>1830</v>
      </c>
      <c r="D2063">
        <v>6.9264365249823703E-4</v>
      </c>
      <c r="E2063" t="s">
        <v>94</v>
      </c>
    </row>
    <row r="2064" spans="2:8">
      <c r="B2064" t="s">
        <v>4017</v>
      </c>
      <c r="C2064" t="s">
        <v>1830</v>
      </c>
      <c r="D2064">
        <v>7.2117514023361897E-6</v>
      </c>
      <c r="E2064" t="s">
        <v>94</v>
      </c>
    </row>
    <row r="2065" spans="2:8">
      <c r="B2065" t="s">
        <v>4017</v>
      </c>
      <c r="C2065" t="s">
        <v>1830</v>
      </c>
      <c r="D2065">
        <v>4.5464398533216999E-4</v>
      </c>
      <c r="E2065" t="s">
        <v>94</v>
      </c>
    </row>
    <row r="2066" spans="2:8">
      <c r="B2066" t="s">
        <v>4017</v>
      </c>
      <c r="C2066" t="s">
        <v>1830</v>
      </c>
      <c r="D2066">
        <v>8.5367905266587594E-6</v>
      </c>
      <c r="E2066" t="s">
        <v>94</v>
      </c>
    </row>
    <row r="2067" spans="2:8">
      <c r="B2067" t="s">
        <v>4017</v>
      </c>
      <c r="C2067" t="s">
        <v>1830</v>
      </c>
      <c r="D2067">
        <v>1.6403308622377799E-4</v>
      </c>
      <c r="E2067" t="s">
        <v>94</v>
      </c>
      <c r="H2067" t="s">
        <v>588</v>
      </c>
    </row>
    <row r="2068" spans="2:8">
      <c r="B2068" t="s">
        <v>4017</v>
      </c>
      <c r="C2068" t="s">
        <v>1830</v>
      </c>
      <c r="D2068">
        <v>3.71979558585029E-5</v>
      </c>
      <c r="E2068" t="s">
        <v>94</v>
      </c>
    </row>
    <row r="2069" spans="2:8">
      <c r="B2069" t="s">
        <v>4022</v>
      </c>
      <c r="C2069" t="s">
        <v>1830</v>
      </c>
      <c r="D2069">
        <v>1.6403308622377799E-4</v>
      </c>
      <c r="E2069" t="s">
        <v>94</v>
      </c>
      <c r="H2069" t="s">
        <v>588</v>
      </c>
    </row>
    <row r="2070" spans="2:8">
      <c r="B2070" t="s">
        <v>4022</v>
      </c>
      <c r="C2070" t="s">
        <v>1830</v>
      </c>
      <c r="D2070">
        <v>4.0065560207743102E-4</v>
      </c>
      <c r="E2070" t="s">
        <v>94</v>
      </c>
    </row>
    <row r="2071" spans="2:8">
      <c r="B2071" t="s">
        <v>4022</v>
      </c>
      <c r="C2071" t="s">
        <v>1830</v>
      </c>
      <c r="D2071">
        <v>9.6628678312071596E-4</v>
      </c>
      <c r="E2071" t="s">
        <v>94</v>
      </c>
    </row>
    <row r="2072" spans="2:8">
      <c r="B2072" t="s">
        <v>4026</v>
      </c>
      <c r="C2072" t="s">
        <v>4027</v>
      </c>
      <c r="D2072">
        <v>2.9339640473247E-5</v>
      </c>
      <c r="E2072" t="s">
        <v>616</v>
      </c>
      <c r="H2072" t="s">
        <v>588</v>
      </c>
    </row>
    <row r="2073" spans="2:8">
      <c r="B2073" t="s">
        <v>4029</v>
      </c>
      <c r="C2073" t="s">
        <v>4027</v>
      </c>
      <c r="D2073">
        <v>2.9339640473247E-5</v>
      </c>
      <c r="E2073" t="s">
        <v>616</v>
      </c>
      <c r="H2073" t="s">
        <v>588</v>
      </c>
    </row>
    <row r="2074" spans="2:8">
      <c r="B2074" t="s">
        <v>4031</v>
      </c>
      <c r="C2074" t="s">
        <v>857</v>
      </c>
      <c r="D2074">
        <v>7.0725275999898701E-6</v>
      </c>
      <c r="E2074" t="s">
        <v>640</v>
      </c>
      <c r="H2074" t="s">
        <v>588</v>
      </c>
    </row>
    <row r="2075" spans="2:8">
      <c r="B2075" t="s">
        <v>4034</v>
      </c>
      <c r="C2075" t="s">
        <v>1681</v>
      </c>
      <c r="D2075">
        <v>1.19196694939798E-4</v>
      </c>
      <c r="E2075" t="s">
        <v>94</v>
      </c>
    </row>
    <row r="2076" spans="2:8">
      <c r="B2076" t="s">
        <v>629</v>
      </c>
      <c r="C2076" t="s">
        <v>621</v>
      </c>
      <c r="D2076">
        <v>1.7824247787182099E-8</v>
      </c>
      <c r="E2076" t="s">
        <v>626</v>
      </c>
      <c r="H2076" t="s">
        <v>588</v>
      </c>
    </row>
    <row r="2077" spans="2:8">
      <c r="B2077" t="s">
        <v>4038</v>
      </c>
      <c r="C2077" t="s">
        <v>621</v>
      </c>
      <c r="D2077">
        <v>1.45305614971377E-2</v>
      </c>
      <c r="E2077" t="s">
        <v>626</v>
      </c>
      <c r="H2077" t="s">
        <v>588</v>
      </c>
    </row>
    <row r="2078" spans="2:8">
      <c r="B2078" t="s">
        <v>4039</v>
      </c>
      <c r="C2078" t="s">
        <v>621</v>
      </c>
      <c r="D2078">
        <v>4.6039148459306101E-9</v>
      </c>
      <c r="E2078" t="s">
        <v>626</v>
      </c>
      <c r="H2078" t="s">
        <v>588</v>
      </c>
    </row>
    <row r="2079" spans="2:8">
      <c r="B2079" t="s">
        <v>4041</v>
      </c>
      <c r="C2079" t="s">
        <v>621</v>
      </c>
      <c r="D2079">
        <v>2.3526375486923799E-5</v>
      </c>
      <c r="E2079" t="s">
        <v>626</v>
      </c>
      <c r="H2079" t="s">
        <v>588</v>
      </c>
    </row>
    <row r="2080" spans="2:8">
      <c r="B2080" t="s">
        <v>633</v>
      </c>
      <c r="C2080" t="s">
        <v>621</v>
      </c>
      <c r="D2080">
        <v>6.9324483740306603E-5</v>
      </c>
      <c r="E2080" t="s">
        <v>626</v>
      </c>
      <c r="H2080" t="s">
        <v>588</v>
      </c>
    </row>
    <row r="2081" spans="2:8">
      <c r="B2081" t="s">
        <v>4042</v>
      </c>
      <c r="C2081" t="s">
        <v>621</v>
      </c>
      <c r="D2081">
        <v>2.0939834340384901E-6</v>
      </c>
      <c r="E2081" t="s">
        <v>626</v>
      </c>
      <c r="H2081" t="s">
        <v>588</v>
      </c>
    </row>
    <row r="2082" spans="2:8">
      <c r="B2082" t="s">
        <v>4044</v>
      </c>
      <c r="C2082" t="s">
        <v>621</v>
      </c>
      <c r="D2082">
        <v>3.8413583014990397E-5</v>
      </c>
      <c r="E2082" t="s">
        <v>626</v>
      </c>
      <c r="H2082" t="s">
        <v>588</v>
      </c>
    </row>
    <row r="2083" spans="2:8">
      <c r="B2083" t="s">
        <v>872</v>
      </c>
      <c r="C2083" t="s">
        <v>621</v>
      </c>
      <c r="D2083">
        <v>9.4771736079761395E-4</v>
      </c>
      <c r="E2083" t="s">
        <v>626</v>
      </c>
      <c r="H2083" t="s">
        <v>588</v>
      </c>
    </row>
    <row r="2084" spans="2:8">
      <c r="B2084" t="s">
        <v>4047</v>
      </c>
      <c r="C2084" t="s">
        <v>621</v>
      </c>
      <c r="D2084">
        <v>3.6511243426496998E-3</v>
      </c>
      <c r="E2084" t="s">
        <v>626</v>
      </c>
    </row>
    <row r="2085" spans="2:8">
      <c r="B2085" t="s">
        <v>4049</v>
      </c>
      <c r="C2085" t="s">
        <v>621</v>
      </c>
      <c r="D2085">
        <v>5.4006058093399397E-8</v>
      </c>
      <c r="E2085" t="s">
        <v>626</v>
      </c>
      <c r="H2085" t="s">
        <v>588</v>
      </c>
    </row>
    <row r="2086" spans="2:8">
      <c r="B2086" t="s">
        <v>4050</v>
      </c>
      <c r="C2086" t="s">
        <v>621</v>
      </c>
      <c r="D2086">
        <v>3.25726899923088E-7</v>
      </c>
      <c r="E2086" t="s">
        <v>626</v>
      </c>
      <c r="H2086" t="s">
        <v>588</v>
      </c>
    </row>
    <row r="2087" spans="2:8">
      <c r="B2087" t="s">
        <v>874</v>
      </c>
      <c r="C2087" t="s">
        <v>621</v>
      </c>
      <c r="D2087">
        <v>2.7952042350955301E-4</v>
      </c>
      <c r="E2087" t="s">
        <v>626</v>
      </c>
      <c r="H2087" t="s">
        <v>588</v>
      </c>
    </row>
    <row r="2088" spans="2:8">
      <c r="B2088" t="s">
        <v>4051</v>
      </c>
      <c r="C2088" t="s">
        <v>621</v>
      </c>
      <c r="D2088">
        <v>7.9079393758487401E-6</v>
      </c>
      <c r="E2088" t="s">
        <v>626</v>
      </c>
      <c r="H2088" t="s">
        <v>588</v>
      </c>
    </row>
    <row r="2089" spans="2:8">
      <c r="B2089" t="s">
        <v>4053</v>
      </c>
      <c r="C2089" t="s">
        <v>621</v>
      </c>
      <c r="D2089">
        <v>1.23322432528533E-6</v>
      </c>
      <c r="E2089" t="s">
        <v>626</v>
      </c>
      <c r="H2089" t="s">
        <v>588</v>
      </c>
    </row>
    <row r="2090" spans="2:8">
      <c r="B2090" t="s">
        <v>4055</v>
      </c>
      <c r="C2090" t="s">
        <v>621</v>
      </c>
      <c r="D2090">
        <v>1.45305614971377E-2</v>
      </c>
      <c r="E2090" t="s">
        <v>626</v>
      </c>
      <c r="H2090" t="s">
        <v>588</v>
      </c>
    </row>
    <row r="2091" spans="2:8">
      <c r="B2091" t="s">
        <v>4056</v>
      </c>
      <c r="C2091" t="s">
        <v>621</v>
      </c>
      <c r="D2091">
        <v>2.34331549419353E-5</v>
      </c>
      <c r="E2091" t="s">
        <v>626</v>
      </c>
      <c r="H2091" t="s">
        <v>588</v>
      </c>
    </row>
    <row r="2092" spans="2:8">
      <c r="B2092" t="s">
        <v>4057</v>
      </c>
      <c r="C2092" t="s">
        <v>621</v>
      </c>
      <c r="D2092">
        <v>2.0031354245810801E-5</v>
      </c>
      <c r="E2092" t="s">
        <v>626</v>
      </c>
      <c r="H2092" t="s">
        <v>588</v>
      </c>
    </row>
    <row r="2093" spans="2:8">
      <c r="B2093" t="s">
        <v>875</v>
      </c>
      <c r="C2093" t="s">
        <v>621</v>
      </c>
      <c r="D2093">
        <v>1.1464120899017101E-3</v>
      </c>
      <c r="E2093" t="s">
        <v>626</v>
      </c>
      <c r="H2093" t="s">
        <v>588</v>
      </c>
    </row>
    <row r="2094" spans="2:8">
      <c r="B2094" t="s">
        <v>1487</v>
      </c>
      <c r="C2094" t="s">
        <v>621</v>
      </c>
      <c r="D2094">
        <v>1.2759207845757701E-12</v>
      </c>
      <c r="E2094" t="s">
        <v>626</v>
      </c>
      <c r="H2094" t="s">
        <v>588</v>
      </c>
    </row>
    <row r="2095" spans="2:8">
      <c r="B2095" t="s">
        <v>4059</v>
      </c>
      <c r="C2095" t="s">
        <v>621</v>
      </c>
      <c r="D2095">
        <v>8.8728873611340493E-6</v>
      </c>
      <c r="E2095" t="s">
        <v>626</v>
      </c>
      <c r="H2095" t="s">
        <v>588</v>
      </c>
    </row>
    <row r="2096" spans="2:8">
      <c r="B2096" t="s">
        <v>636</v>
      </c>
      <c r="C2096" t="s">
        <v>621</v>
      </c>
      <c r="D2096">
        <v>9.1457815269178897E-5</v>
      </c>
      <c r="E2096" t="s">
        <v>626</v>
      </c>
      <c r="H2096" t="s">
        <v>588</v>
      </c>
    </row>
    <row r="2097" spans="2:8">
      <c r="B2097" t="s">
        <v>4060</v>
      </c>
      <c r="C2097" t="s">
        <v>621</v>
      </c>
      <c r="D2097">
        <v>3.6511243426496998E-3</v>
      </c>
      <c r="E2097" t="s">
        <v>626</v>
      </c>
    </row>
    <row r="2098" spans="2:8">
      <c r="B2098" t="s">
        <v>4061</v>
      </c>
      <c r="C2098" t="s">
        <v>621</v>
      </c>
      <c r="D2098">
        <v>3.25726899923088E-7</v>
      </c>
      <c r="E2098" t="s">
        <v>626</v>
      </c>
      <c r="H2098" t="s">
        <v>588</v>
      </c>
    </row>
    <row r="2099" spans="2:8">
      <c r="B2099" t="s">
        <v>4062</v>
      </c>
      <c r="C2099" t="s">
        <v>621</v>
      </c>
      <c r="D2099">
        <v>5.4006058093399397E-8</v>
      </c>
      <c r="E2099" t="s">
        <v>626</v>
      </c>
      <c r="H2099" t="s">
        <v>588</v>
      </c>
    </row>
    <row r="2100" spans="2:8">
      <c r="B2100" t="s">
        <v>877</v>
      </c>
      <c r="C2100" t="s">
        <v>621</v>
      </c>
      <c r="D2100">
        <v>6.8349581880416401E-5</v>
      </c>
      <c r="E2100" t="s">
        <v>626</v>
      </c>
      <c r="H2100" t="s">
        <v>588</v>
      </c>
    </row>
    <row r="2101" spans="2:8">
      <c r="B2101" t="s">
        <v>4063</v>
      </c>
      <c r="C2101" t="s">
        <v>621</v>
      </c>
      <c r="D2101">
        <v>1.12351471351726E-5</v>
      </c>
      <c r="E2101" t="s">
        <v>626</v>
      </c>
      <c r="H2101" t="s">
        <v>588</v>
      </c>
    </row>
    <row r="2102" spans="2:8">
      <c r="B2102" t="s">
        <v>1488</v>
      </c>
      <c r="C2102" t="s">
        <v>1489</v>
      </c>
      <c r="D2102">
        <v>8.6124215847012599E-7</v>
      </c>
      <c r="E2102" t="s">
        <v>94</v>
      </c>
      <c r="H2102" t="s">
        <v>588</v>
      </c>
    </row>
    <row r="2103" spans="2:8">
      <c r="B2103" t="s">
        <v>1495</v>
      </c>
      <c r="C2103" t="s">
        <v>1170</v>
      </c>
      <c r="D2103">
        <v>3.3294902606601202E-7</v>
      </c>
      <c r="E2103" t="s">
        <v>94</v>
      </c>
      <c r="H2103" t="s">
        <v>588</v>
      </c>
    </row>
    <row r="2104" spans="2:8">
      <c r="B2104" t="s">
        <v>1113</v>
      </c>
      <c r="C2104" t="s">
        <v>1114</v>
      </c>
      <c r="D2104">
        <v>2.9565006215219502E-3</v>
      </c>
      <c r="E2104" t="s">
        <v>1115</v>
      </c>
      <c r="H2104" t="s">
        <v>588</v>
      </c>
    </row>
    <row r="2105" spans="2:8">
      <c r="B2105" t="s">
        <v>1113</v>
      </c>
      <c r="C2105" t="s">
        <v>1114</v>
      </c>
      <c r="D2105">
        <v>5.6439726457906299E-3</v>
      </c>
      <c r="E2105" t="s">
        <v>1115</v>
      </c>
      <c r="H2105" t="s">
        <v>588</v>
      </c>
    </row>
    <row r="2106" spans="2:8">
      <c r="B2106" t="s">
        <v>1113</v>
      </c>
      <c r="C2106" t="s">
        <v>1114</v>
      </c>
      <c r="D2106">
        <v>7.5778419934863899E-6</v>
      </c>
      <c r="E2106" t="s">
        <v>1115</v>
      </c>
      <c r="H2106" t="s">
        <v>588</v>
      </c>
    </row>
    <row r="2107" spans="2:8">
      <c r="B2107" t="s">
        <v>1113</v>
      </c>
      <c r="C2107" t="s">
        <v>1114</v>
      </c>
      <c r="D2107">
        <v>3.1718687891035802E-4</v>
      </c>
      <c r="E2107" t="s">
        <v>1115</v>
      </c>
    </row>
    <row r="2108" spans="2:8">
      <c r="B2108" t="s">
        <v>1113</v>
      </c>
      <c r="C2108" t="s">
        <v>1114</v>
      </c>
      <c r="D2108">
        <v>2.8579866096120699E-3</v>
      </c>
      <c r="E2108" t="s">
        <v>1115</v>
      </c>
      <c r="H2108" t="s">
        <v>588</v>
      </c>
    </row>
    <row r="2109" spans="2:8">
      <c r="B2109" t="s">
        <v>1113</v>
      </c>
      <c r="C2109" t="s">
        <v>1114</v>
      </c>
      <c r="D2109">
        <v>1.3895887797357701E-3</v>
      </c>
      <c r="E2109" t="s">
        <v>1115</v>
      </c>
      <c r="H2109" t="s">
        <v>588</v>
      </c>
    </row>
    <row r="2110" spans="2:8">
      <c r="B2110" t="s">
        <v>1113</v>
      </c>
      <c r="C2110" t="s">
        <v>1114</v>
      </c>
      <c r="D2110">
        <v>3.49279409182781E-4</v>
      </c>
      <c r="E2110" t="s">
        <v>1115</v>
      </c>
      <c r="H2110" t="s">
        <v>588</v>
      </c>
    </row>
    <row r="2111" spans="2:8">
      <c r="B2111" t="s">
        <v>1113</v>
      </c>
      <c r="C2111" t="s">
        <v>1114</v>
      </c>
      <c r="D2111">
        <v>6.0135569240174501E-6</v>
      </c>
      <c r="E2111" t="s">
        <v>1115</v>
      </c>
      <c r="H2111" t="s">
        <v>588</v>
      </c>
    </row>
    <row r="2112" spans="2:8">
      <c r="B2112" t="s">
        <v>1113</v>
      </c>
      <c r="C2112" t="s">
        <v>1114</v>
      </c>
      <c r="D2112">
        <v>8.0434641395897504E-5</v>
      </c>
      <c r="E2112" t="s">
        <v>1115</v>
      </c>
      <c r="H2112" t="s">
        <v>588</v>
      </c>
    </row>
    <row r="2113" spans="2:8">
      <c r="B2113" t="s">
        <v>4074</v>
      </c>
      <c r="C2113" t="s">
        <v>4075</v>
      </c>
      <c r="D2113">
        <v>1.6183911747694901E-4</v>
      </c>
      <c r="E2113" t="s">
        <v>1115</v>
      </c>
      <c r="H2113" t="s">
        <v>588</v>
      </c>
    </row>
    <row r="2114" spans="2:8">
      <c r="B2114" t="s">
        <v>1119</v>
      </c>
      <c r="C2114" t="s">
        <v>1120</v>
      </c>
      <c r="D2114">
        <v>1.94491342475978E-4</v>
      </c>
      <c r="E2114" t="s">
        <v>1115</v>
      </c>
      <c r="H2114" t="s">
        <v>588</v>
      </c>
    </row>
    <row r="2115" spans="2:8">
      <c r="B2115" t="s">
        <v>1119</v>
      </c>
      <c r="C2115" t="s">
        <v>1120</v>
      </c>
      <c r="D2115">
        <v>4.68351549444058E-4</v>
      </c>
      <c r="E2115" t="s">
        <v>1115</v>
      </c>
      <c r="H2115" t="s">
        <v>588</v>
      </c>
    </row>
    <row r="2116" spans="2:8">
      <c r="B2116" t="s">
        <v>1119</v>
      </c>
      <c r="C2116" t="s">
        <v>1120</v>
      </c>
      <c r="D2116">
        <v>1.8813960419574101E-5</v>
      </c>
      <c r="E2116" t="s">
        <v>1115</v>
      </c>
      <c r="H2116" t="s">
        <v>588</v>
      </c>
    </row>
    <row r="2117" spans="2:8">
      <c r="B2117" t="s">
        <v>4081</v>
      </c>
      <c r="C2117" t="s">
        <v>1120</v>
      </c>
      <c r="D2117">
        <v>3.32654044487419E-5</v>
      </c>
      <c r="E2117" t="s">
        <v>1115</v>
      </c>
      <c r="H2117" t="s">
        <v>588</v>
      </c>
    </row>
    <row r="2118" spans="2:8">
      <c r="B2118" t="s">
        <v>4081</v>
      </c>
      <c r="C2118" t="s">
        <v>1120</v>
      </c>
      <c r="D2118">
        <v>5.5345719577256499E-3</v>
      </c>
      <c r="E2118" t="s">
        <v>1115</v>
      </c>
      <c r="H2118" t="s">
        <v>588</v>
      </c>
    </row>
    <row r="2119" spans="2:8">
      <c r="B2119" t="s">
        <v>4083</v>
      </c>
      <c r="C2119" t="s">
        <v>1120</v>
      </c>
      <c r="D2119">
        <v>6.41800589271829E-3</v>
      </c>
      <c r="E2119" t="s">
        <v>1115</v>
      </c>
    </row>
    <row r="2120" spans="2:8">
      <c r="B2120" t="s">
        <v>4085</v>
      </c>
      <c r="C2120" t="s">
        <v>1123</v>
      </c>
      <c r="D2120">
        <v>2.1898175893513301E-4</v>
      </c>
      <c r="E2120" t="s">
        <v>1115</v>
      </c>
      <c r="H2120" t="s">
        <v>588</v>
      </c>
    </row>
    <row r="2121" spans="2:8">
      <c r="B2121" t="s">
        <v>4085</v>
      </c>
      <c r="C2121" t="s">
        <v>1123</v>
      </c>
      <c r="D2121">
        <v>1.71641570026553E-6</v>
      </c>
      <c r="E2121" t="s">
        <v>1115</v>
      </c>
      <c r="H2121" t="s">
        <v>588</v>
      </c>
    </row>
    <row r="2122" spans="2:8">
      <c r="B2122" t="s">
        <v>4085</v>
      </c>
      <c r="C2122" t="s">
        <v>1123</v>
      </c>
      <c r="D2122">
        <v>9.2407265230738995E-6</v>
      </c>
      <c r="E2122" t="s">
        <v>1115</v>
      </c>
      <c r="H2122" t="s">
        <v>588</v>
      </c>
    </row>
    <row r="2123" spans="2:8">
      <c r="B2123" t="s">
        <v>4085</v>
      </c>
      <c r="C2123" t="s">
        <v>1123</v>
      </c>
      <c r="D2123">
        <v>5.8413735856889204E-7</v>
      </c>
      <c r="E2123" t="s">
        <v>1115</v>
      </c>
      <c r="H2123" t="s">
        <v>588</v>
      </c>
    </row>
    <row r="2124" spans="2:8">
      <c r="B2124" t="s">
        <v>4085</v>
      </c>
      <c r="C2124" t="s">
        <v>1123</v>
      </c>
      <c r="D2124">
        <v>5.0349146123123802E-5</v>
      </c>
      <c r="E2124" t="s">
        <v>1115</v>
      </c>
      <c r="H2124" t="s">
        <v>588</v>
      </c>
    </row>
    <row r="2125" spans="2:8">
      <c r="B2125" t="s">
        <v>4090</v>
      </c>
      <c r="C2125" t="s">
        <v>1123</v>
      </c>
      <c r="D2125">
        <v>1.8100883518298801E-5</v>
      </c>
      <c r="E2125" t="s">
        <v>1115</v>
      </c>
      <c r="H2125" t="s">
        <v>588</v>
      </c>
    </row>
    <row r="2126" spans="2:8">
      <c r="B2126" t="s">
        <v>4090</v>
      </c>
      <c r="C2126" t="s">
        <v>1123</v>
      </c>
      <c r="D2126">
        <v>4.7014804919635697E-6</v>
      </c>
      <c r="E2126" t="s">
        <v>1115</v>
      </c>
      <c r="H2126" t="s">
        <v>588</v>
      </c>
    </row>
    <row r="2127" spans="2:8">
      <c r="B2127" t="s">
        <v>4090</v>
      </c>
      <c r="C2127" t="s">
        <v>1123</v>
      </c>
      <c r="D2127">
        <v>4.3465463880125698E-4</v>
      </c>
      <c r="E2127" t="s">
        <v>1115</v>
      </c>
      <c r="H2127" t="s">
        <v>588</v>
      </c>
    </row>
    <row r="2128" spans="2:8">
      <c r="B2128" t="s">
        <v>4093</v>
      </c>
      <c r="C2128" t="s">
        <v>1123</v>
      </c>
      <c r="D2128">
        <v>2.5058411487005102E-7</v>
      </c>
      <c r="E2128" t="s">
        <v>1115</v>
      </c>
      <c r="H2128" t="s">
        <v>588</v>
      </c>
    </row>
    <row r="2129" spans="2:8">
      <c r="B2129" t="s">
        <v>4095</v>
      </c>
      <c r="C2129" t="s">
        <v>1123</v>
      </c>
      <c r="D2129">
        <v>2.6555430890897099E-5</v>
      </c>
      <c r="E2129" t="s">
        <v>1115</v>
      </c>
      <c r="H2129" t="s">
        <v>588</v>
      </c>
    </row>
    <row r="2130" spans="2:8">
      <c r="B2130" t="s">
        <v>4095</v>
      </c>
      <c r="C2130" t="s">
        <v>1123</v>
      </c>
      <c r="D2130">
        <v>7.3747904083641799E-4</v>
      </c>
      <c r="E2130" t="s">
        <v>1115</v>
      </c>
      <c r="H2130" t="s">
        <v>588</v>
      </c>
    </row>
    <row r="2131" spans="2:8">
      <c r="B2131" t="s">
        <v>4098</v>
      </c>
      <c r="C2131" t="s">
        <v>1123</v>
      </c>
      <c r="D2131">
        <v>3.4444540344579999E-10</v>
      </c>
      <c r="E2131" t="s">
        <v>1115</v>
      </c>
      <c r="H2131" t="s">
        <v>588</v>
      </c>
    </row>
    <row r="2132" spans="2:8">
      <c r="B2132" t="s">
        <v>4100</v>
      </c>
      <c r="C2132" t="s">
        <v>1123</v>
      </c>
      <c r="D2132">
        <v>2.2187246500850399E-6</v>
      </c>
      <c r="E2132" t="s">
        <v>1115</v>
      </c>
      <c r="H2132" t="s">
        <v>588</v>
      </c>
    </row>
    <row r="2133" spans="2:8">
      <c r="B2133" t="s">
        <v>4102</v>
      </c>
      <c r="C2133" t="s">
        <v>1123</v>
      </c>
      <c r="D2133">
        <v>2.2911039152179302E-3</v>
      </c>
      <c r="E2133" t="s">
        <v>1115</v>
      </c>
      <c r="H2133" t="s">
        <v>588</v>
      </c>
    </row>
    <row r="2134" spans="2:8">
      <c r="B2134" t="s">
        <v>4102</v>
      </c>
      <c r="C2134" t="s">
        <v>1123</v>
      </c>
      <c r="D2134">
        <v>6.9500013304345199E-4</v>
      </c>
      <c r="E2134" t="s">
        <v>1115</v>
      </c>
      <c r="H2134" t="s">
        <v>588</v>
      </c>
    </row>
    <row r="2135" spans="2:8">
      <c r="B2135" t="s">
        <v>4102</v>
      </c>
      <c r="C2135" t="s">
        <v>1123</v>
      </c>
      <c r="D2135">
        <v>1.1136932668144299E-3</v>
      </c>
      <c r="E2135" t="s">
        <v>1115</v>
      </c>
      <c r="H2135" t="s">
        <v>588</v>
      </c>
    </row>
    <row r="2136" spans="2:8">
      <c r="B2136" t="s">
        <v>4104</v>
      </c>
      <c r="C2136" t="s">
        <v>1123</v>
      </c>
      <c r="D2136">
        <v>3.5407895183928798E-2</v>
      </c>
      <c r="E2136" t="s">
        <v>1115</v>
      </c>
    </row>
    <row r="2137" spans="2:8">
      <c r="B2137" t="s">
        <v>4107</v>
      </c>
      <c r="C2137" t="s">
        <v>1123</v>
      </c>
      <c r="D2137">
        <v>3.9342105759920896E-3</v>
      </c>
      <c r="E2137" t="s">
        <v>1115</v>
      </c>
    </row>
    <row r="2138" spans="2:8">
      <c r="B2138" t="s">
        <v>1122</v>
      </c>
      <c r="C2138" t="s">
        <v>1123</v>
      </c>
      <c r="D2138">
        <v>2.8945324119494299E-3</v>
      </c>
      <c r="E2138" t="s">
        <v>1115</v>
      </c>
      <c r="H2138" t="s">
        <v>588</v>
      </c>
    </row>
    <row r="2139" spans="2:8">
      <c r="B2139" t="s">
        <v>1122</v>
      </c>
      <c r="C2139" t="s">
        <v>1123</v>
      </c>
      <c r="D2139">
        <v>1.9008752997988099E-3</v>
      </c>
      <c r="E2139" t="s">
        <v>1115</v>
      </c>
      <c r="H2139" t="s">
        <v>588</v>
      </c>
    </row>
    <row r="2140" spans="2:8">
      <c r="B2140" t="s">
        <v>1122</v>
      </c>
      <c r="C2140" t="s">
        <v>1123</v>
      </c>
      <c r="D2140">
        <v>2.7852413398948301E-3</v>
      </c>
      <c r="E2140" t="s">
        <v>1115</v>
      </c>
      <c r="H2140" t="s">
        <v>588</v>
      </c>
    </row>
    <row r="2141" spans="2:8">
      <c r="B2141" t="s">
        <v>1122</v>
      </c>
      <c r="C2141" t="s">
        <v>1123</v>
      </c>
      <c r="D2141">
        <v>5.5697503387254496E-3</v>
      </c>
      <c r="E2141" t="s">
        <v>1115</v>
      </c>
      <c r="H2141" t="s">
        <v>588</v>
      </c>
    </row>
    <row r="2142" spans="2:8">
      <c r="B2142" t="s">
        <v>4111</v>
      </c>
      <c r="C2142" t="s">
        <v>1127</v>
      </c>
      <c r="D2142">
        <v>1.2509373280720701E-3</v>
      </c>
      <c r="E2142" t="s">
        <v>1115</v>
      </c>
      <c r="H2142" t="s">
        <v>588</v>
      </c>
    </row>
    <row r="2143" spans="2:8">
      <c r="B2143" t="s">
        <v>1126</v>
      </c>
      <c r="C2143" t="s">
        <v>1127</v>
      </c>
      <c r="D2143">
        <v>5.3203720765843999E-4</v>
      </c>
      <c r="E2143" t="s">
        <v>1115</v>
      </c>
      <c r="H2143" t="s">
        <v>588</v>
      </c>
    </row>
    <row r="2144" spans="2:8">
      <c r="B2144" t="s">
        <v>4113</v>
      </c>
      <c r="C2144" t="s">
        <v>1127</v>
      </c>
      <c r="D2144">
        <v>5.4491694957418499E-2</v>
      </c>
      <c r="E2144" t="s">
        <v>1115</v>
      </c>
    </row>
    <row r="2145" spans="2:8">
      <c r="B2145" t="s">
        <v>4116</v>
      </c>
      <c r="C2145" t="s">
        <v>1127</v>
      </c>
      <c r="D2145">
        <v>2.00935743672916E-3</v>
      </c>
      <c r="E2145" t="s">
        <v>1115</v>
      </c>
      <c r="H2145" t="s">
        <v>588</v>
      </c>
    </row>
    <row r="2146" spans="2:8">
      <c r="B2146" t="s">
        <v>4119</v>
      </c>
      <c r="C2146" t="s">
        <v>1127</v>
      </c>
      <c r="D2146">
        <v>5.8192793511261602E-2</v>
      </c>
      <c r="E2146" t="s">
        <v>1115</v>
      </c>
      <c r="H2146" t="s">
        <v>588</v>
      </c>
    </row>
    <row r="2147" spans="2:8">
      <c r="B2147" t="s">
        <v>4121</v>
      </c>
      <c r="C2147" t="s">
        <v>1114</v>
      </c>
      <c r="D2147">
        <v>1.2971295727431E-2</v>
      </c>
      <c r="E2147" t="s">
        <v>1115</v>
      </c>
    </row>
    <row r="2148" spans="2:8">
      <c r="B2148" t="s">
        <v>4123</v>
      </c>
      <c r="C2148" t="s">
        <v>4124</v>
      </c>
      <c r="D2148">
        <v>1.8406443273482901E-7</v>
      </c>
      <c r="E2148" t="s">
        <v>4125</v>
      </c>
      <c r="H2148" t="s">
        <v>588</v>
      </c>
    </row>
    <row r="2149" spans="2:8">
      <c r="B2149" t="s">
        <v>4127</v>
      </c>
      <c r="C2149" t="s">
        <v>4124</v>
      </c>
      <c r="D2149">
        <v>5.0569109133605001E-8</v>
      </c>
      <c r="E2149" t="s">
        <v>616</v>
      </c>
      <c r="H2149" t="s">
        <v>588</v>
      </c>
    </row>
    <row r="2150" spans="2:8">
      <c r="B2150" t="s">
        <v>4130</v>
      </c>
      <c r="C2150" t="s">
        <v>1502</v>
      </c>
      <c r="D2150">
        <v>6.0979844901303795E-4</v>
      </c>
      <c r="E2150" t="s">
        <v>475</v>
      </c>
      <c r="H2150" t="s">
        <v>588</v>
      </c>
    </row>
    <row r="2151" spans="2:8">
      <c r="B2151" t="s">
        <v>4130</v>
      </c>
      <c r="C2151" t="s">
        <v>1502</v>
      </c>
      <c r="D2151">
        <v>5.9894434125507196E-4</v>
      </c>
      <c r="E2151" t="s">
        <v>475</v>
      </c>
      <c r="H2151" t="s">
        <v>588</v>
      </c>
    </row>
    <row r="2152" spans="2:8">
      <c r="B2152" t="s">
        <v>1501</v>
      </c>
      <c r="C2152" t="s">
        <v>1502</v>
      </c>
      <c r="D2152">
        <v>1.14014394279707E-5</v>
      </c>
      <c r="E2152" t="s">
        <v>475</v>
      </c>
      <c r="H2152" t="s">
        <v>588</v>
      </c>
    </row>
    <row r="2153" spans="2:8">
      <c r="B2153" t="s">
        <v>4132</v>
      </c>
      <c r="C2153" t="s">
        <v>685</v>
      </c>
      <c r="D2153">
        <v>7.6709246546907806E-2</v>
      </c>
      <c r="E2153" t="s">
        <v>1115</v>
      </c>
      <c r="H2153" t="s">
        <v>588</v>
      </c>
    </row>
    <row r="2154" spans="2:8">
      <c r="B2154" t="s">
        <v>4134</v>
      </c>
      <c r="C2154" t="s">
        <v>1810</v>
      </c>
      <c r="D2154">
        <v>1.9583051526267999E-4</v>
      </c>
      <c r="E2154" t="s">
        <v>1115</v>
      </c>
      <c r="H2154" t="s">
        <v>588</v>
      </c>
    </row>
    <row r="2155" spans="2:8">
      <c r="B2155" t="s">
        <v>4134</v>
      </c>
      <c r="C2155" t="s">
        <v>1810</v>
      </c>
      <c r="D2155">
        <v>3.5998133102617001E-4</v>
      </c>
      <c r="E2155" t="s">
        <v>1115</v>
      </c>
      <c r="H2155" t="s">
        <v>588</v>
      </c>
    </row>
    <row r="2156" spans="2:8">
      <c r="B2156" t="s">
        <v>4137</v>
      </c>
      <c r="C2156" t="s">
        <v>857</v>
      </c>
      <c r="D2156">
        <v>7.3022486853035796E-6</v>
      </c>
      <c r="E2156" t="s">
        <v>1811</v>
      </c>
      <c r="H2156" t="s">
        <v>588</v>
      </c>
    </row>
    <row r="2157" spans="2:8">
      <c r="B2157" t="s">
        <v>4141</v>
      </c>
      <c r="C2157" t="s">
        <v>1635</v>
      </c>
      <c r="D2157">
        <v>2.2890964418988501E-6</v>
      </c>
      <c r="E2157" t="s">
        <v>94</v>
      </c>
      <c r="H2157" t="s">
        <v>588</v>
      </c>
    </row>
    <row r="2158" spans="2:8">
      <c r="B2158" t="s">
        <v>4143</v>
      </c>
      <c r="C2158" t="s">
        <v>670</v>
      </c>
      <c r="D2158">
        <v>2.8471757555390599E-5</v>
      </c>
      <c r="E2158" t="s">
        <v>94</v>
      </c>
      <c r="H2158" t="s">
        <v>588</v>
      </c>
    </row>
    <row r="2159" spans="2:8">
      <c r="B2159" t="s">
        <v>4145</v>
      </c>
      <c r="C2159" t="s">
        <v>673</v>
      </c>
      <c r="D2159">
        <v>1.3986472867654899E-7</v>
      </c>
      <c r="E2159" t="s">
        <v>94</v>
      </c>
      <c r="H2159" t="s">
        <v>588</v>
      </c>
    </row>
    <row r="2160" spans="2:8">
      <c r="B2160" t="s">
        <v>4148</v>
      </c>
      <c r="C2160" t="s">
        <v>673</v>
      </c>
      <c r="D2160">
        <v>9.9019563369673498E-5</v>
      </c>
      <c r="E2160" t="s">
        <v>94</v>
      </c>
      <c r="H2160" t="s">
        <v>588</v>
      </c>
    </row>
    <row r="2161" spans="2:8">
      <c r="B2161" t="s">
        <v>4151</v>
      </c>
      <c r="C2161" t="s">
        <v>673</v>
      </c>
      <c r="D2161">
        <v>1.9119370462968802E-6</v>
      </c>
      <c r="E2161" t="s">
        <v>94</v>
      </c>
      <c r="H2161" t="s">
        <v>588</v>
      </c>
    </row>
    <row r="2162" spans="2:8">
      <c r="B2162" t="s">
        <v>4154</v>
      </c>
      <c r="C2162" t="s">
        <v>857</v>
      </c>
      <c r="D2162">
        <v>4.8363118918206401E-12</v>
      </c>
      <c r="E2162" t="s">
        <v>616</v>
      </c>
      <c r="H2162" t="s">
        <v>588</v>
      </c>
    </row>
    <row r="2163" spans="2:8">
      <c r="B2163" t="s">
        <v>4154</v>
      </c>
      <c r="C2163" t="s">
        <v>857</v>
      </c>
      <c r="D2163">
        <v>4.8856712264239696E-12</v>
      </c>
      <c r="E2163" t="s">
        <v>616</v>
      </c>
      <c r="H2163" t="s">
        <v>588</v>
      </c>
    </row>
    <row r="2164" spans="2:8">
      <c r="B2164" t="s">
        <v>4157</v>
      </c>
      <c r="C2164" t="s">
        <v>569</v>
      </c>
      <c r="D2164">
        <v>9.4490809501566702E-5</v>
      </c>
      <c r="E2164" t="s">
        <v>94</v>
      </c>
      <c r="H2164" t="s">
        <v>588</v>
      </c>
    </row>
    <row r="2165" spans="2:8">
      <c r="B2165" t="s">
        <v>4159</v>
      </c>
      <c r="C2165" t="s">
        <v>587</v>
      </c>
      <c r="D2165">
        <v>4.6139529027394001E-5</v>
      </c>
      <c r="E2165" t="s">
        <v>94</v>
      </c>
    </row>
    <row r="2166" spans="2:8">
      <c r="B2166" t="s">
        <v>4160</v>
      </c>
      <c r="C2166" t="s">
        <v>615</v>
      </c>
      <c r="D2166">
        <v>3.3664023447186399E-13</v>
      </c>
      <c r="E2166" t="s">
        <v>616</v>
      </c>
      <c r="H2166" t="s">
        <v>588</v>
      </c>
    </row>
    <row r="2167" spans="2:8">
      <c r="B2167" t="s">
        <v>4160</v>
      </c>
      <c r="C2167" t="s">
        <v>615</v>
      </c>
      <c r="D2167">
        <v>2.2262000201643799E-13</v>
      </c>
      <c r="E2167" t="s">
        <v>616</v>
      </c>
      <c r="H2167" t="s">
        <v>588</v>
      </c>
    </row>
    <row r="2168" spans="2:8">
      <c r="B2168" t="s">
        <v>4163</v>
      </c>
      <c r="C2168" t="s">
        <v>673</v>
      </c>
      <c r="D2168">
        <v>5.0537031853692602E-6</v>
      </c>
      <c r="E2168" t="s">
        <v>94</v>
      </c>
      <c r="H2168" t="s">
        <v>588</v>
      </c>
    </row>
    <row r="2169" spans="2:8">
      <c r="B2169" t="s">
        <v>4163</v>
      </c>
      <c r="C2169" t="s">
        <v>673</v>
      </c>
      <c r="D2169">
        <v>1.6568645169517099E-5</v>
      </c>
      <c r="E2169" t="s">
        <v>94</v>
      </c>
      <c r="H2169" t="s">
        <v>588</v>
      </c>
    </row>
    <row r="2170" spans="2:8">
      <c r="B2170" t="s">
        <v>4163</v>
      </c>
      <c r="C2170" t="s">
        <v>673</v>
      </c>
      <c r="D2170">
        <v>2.17297740163229E-5</v>
      </c>
      <c r="E2170" t="s">
        <v>94</v>
      </c>
      <c r="H2170" t="s">
        <v>588</v>
      </c>
    </row>
    <row r="2171" spans="2:8">
      <c r="B2171" t="s">
        <v>4166</v>
      </c>
      <c r="C2171" t="s">
        <v>673</v>
      </c>
      <c r="D2171">
        <v>6.9314099368592095E-7</v>
      </c>
      <c r="E2171" t="s">
        <v>94</v>
      </c>
      <c r="H2171" t="s">
        <v>588</v>
      </c>
    </row>
    <row r="2172" spans="2:8">
      <c r="B2172" t="s">
        <v>4168</v>
      </c>
      <c r="C2172" t="s">
        <v>587</v>
      </c>
      <c r="D2172">
        <v>7.2585530067958805E-7</v>
      </c>
      <c r="E2172" t="s">
        <v>94</v>
      </c>
    </row>
    <row r="2173" spans="2:8">
      <c r="B2173" t="s">
        <v>1505</v>
      </c>
      <c r="C2173" t="s">
        <v>809</v>
      </c>
      <c r="D2173">
        <v>1.9411086521126699E-4</v>
      </c>
      <c r="E2173" t="s">
        <v>94</v>
      </c>
      <c r="H2173" t="s">
        <v>588</v>
      </c>
    </row>
    <row r="2174" spans="2:8">
      <c r="B2174" t="s">
        <v>1505</v>
      </c>
      <c r="C2174" t="s">
        <v>809</v>
      </c>
      <c r="D2174">
        <v>6.6225472494180402E-5</v>
      </c>
      <c r="E2174" t="s">
        <v>94</v>
      </c>
      <c r="H2174" t="s">
        <v>588</v>
      </c>
    </row>
    <row r="2175" spans="2:8">
      <c r="B2175" t="s">
        <v>1505</v>
      </c>
      <c r="C2175" t="s">
        <v>809</v>
      </c>
      <c r="D2175">
        <v>4.8781517660698398E-4</v>
      </c>
      <c r="E2175" t="s">
        <v>94</v>
      </c>
      <c r="H2175" t="s">
        <v>588</v>
      </c>
    </row>
    <row r="2176" spans="2:8">
      <c r="B2176" t="s">
        <v>1505</v>
      </c>
      <c r="C2176" t="s">
        <v>809</v>
      </c>
      <c r="D2176">
        <v>3.0708439661550702E-3</v>
      </c>
      <c r="E2176" t="s">
        <v>94</v>
      </c>
      <c r="H2176" t="s">
        <v>588</v>
      </c>
    </row>
    <row r="2177" spans="2:8">
      <c r="B2177" t="s">
        <v>4170</v>
      </c>
      <c r="C2177" t="s">
        <v>701</v>
      </c>
      <c r="D2177">
        <v>5.8001084415387196E-4</v>
      </c>
      <c r="E2177" t="s">
        <v>94</v>
      </c>
      <c r="H2177" t="s">
        <v>588</v>
      </c>
    </row>
    <row r="2178" spans="2:8">
      <c r="B2178" t="s">
        <v>4170</v>
      </c>
      <c r="C2178" t="s">
        <v>701</v>
      </c>
      <c r="D2178">
        <v>1.65635907436272E-3</v>
      </c>
      <c r="E2178" t="s">
        <v>94</v>
      </c>
      <c r="H2178" t="s">
        <v>588</v>
      </c>
    </row>
    <row r="2179" spans="2:8">
      <c r="B2179" t="s">
        <v>4172</v>
      </c>
      <c r="C2179" t="s">
        <v>2173</v>
      </c>
      <c r="D2179">
        <v>3.6522651577919099E-8</v>
      </c>
      <c r="E2179" t="s">
        <v>616</v>
      </c>
      <c r="H2179" t="s">
        <v>588</v>
      </c>
    </row>
    <row r="2180" spans="2:8">
      <c r="B2180" t="s">
        <v>4175</v>
      </c>
      <c r="C2180" t="s">
        <v>587</v>
      </c>
      <c r="D2180">
        <v>7.3664355995827001E-9</v>
      </c>
      <c r="E2180" t="s">
        <v>94</v>
      </c>
      <c r="H2180" t="s">
        <v>588</v>
      </c>
    </row>
    <row r="2181" spans="2:8">
      <c r="B2181" t="s">
        <v>4176</v>
      </c>
      <c r="C2181" t="s">
        <v>1873</v>
      </c>
      <c r="D2181">
        <v>5.9687731288941003E-6</v>
      </c>
      <c r="E2181" t="s">
        <v>94</v>
      </c>
    </row>
    <row r="2182" spans="2:8">
      <c r="B2182" t="s">
        <v>4176</v>
      </c>
      <c r="C2182" t="s">
        <v>1873</v>
      </c>
      <c r="D2182">
        <v>1.62447737753585E-5</v>
      </c>
      <c r="E2182" t="s">
        <v>94</v>
      </c>
    </row>
    <row r="2183" spans="2:8">
      <c r="B2183" t="s">
        <v>4176</v>
      </c>
      <c r="C2183" t="s">
        <v>1873</v>
      </c>
      <c r="D2183">
        <v>3.3495002298758999E-5</v>
      </c>
      <c r="E2183" t="s">
        <v>94</v>
      </c>
    </row>
    <row r="2184" spans="2:8">
      <c r="B2184" t="s">
        <v>4179</v>
      </c>
      <c r="C2184" t="s">
        <v>2163</v>
      </c>
      <c r="D2184">
        <v>1.8499822842955799E-3</v>
      </c>
      <c r="E2184" t="s">
        <v>94</v>
      </c>
      <c r="H2184" t="s">
        <v>588</v>
      </c>
    </row>
    <row r="2185" spans="2:8">
      <c r="B2185" t="s">
        <v>4181</v>
      </c>
      <c r="C2185" t="s">
        <v>4182</v>
      </c>
      <c r="D2185">
        <v>1.9467572800027098E-6</v>
      </c>
      <c r="E2185" t="s">
        <v>616</v>
      </c>
      <c r="H2185" t="s">
        <v>588</v>
      </c>
    </row>
    <row r="2186" spans="2:8">
      <c r="B2186" t="s">
        <v>4184</v>
      </c>
      <c r="C2186" t="s">
        <v>4182</v>
      </c>
      <c r="D2186">
        <v>2.8864670208582601E-5</v>
      </c>
      <c r="E2186" t="s">
        <v>616</v>
      </c>
      <c r="H2186" t="s">
        <v>588</v>
      </c>
    </row>
    <row r="2187" spans="2:8">
      <c r="B2187" t="s">
        <v>4186</v>
      </c>
      <c r="C2187" t="s">
        <v>1698</v>
      </c>
      <c r="D2187">
        <v>3.2148712914427998E-4</v>
      </c>
      <c r="E2187" t="s">
        <v>616</v>
      </c>
      <c r="H2187" t="s">
        <v>588</v>
      </c>
    </row>
    <row r="2188" spans="2:8">
      <c r="B2188" t="s">
        <v>4188</v>
      </c>
      <c r="C2188" t="s">
        <v>1698</v>
      </c>
      <c r="D2188">
        <v>4.8866043629930596E-4</v>
      </c>
      <c r="E2188" t="s">
        <v>616</v>
      </c>
      <c r="H2188" t="s">
        <v>588</v>
      </c>
    </row>
    <row r="2189" spans="2:8">
      <c r="B2189" t="s">
        <v>4190</v>
      </c>
      <c r="C2189" t="s">
        <v>1698</v>
      </c>
      <c r="D2189">
        <v>1.2859485165771199E-3</v>
      </c>
      <c r="E2189" t="s">
        <v>1171</v>
      </c>
      <c r="H2189" t="s">
        <v>588</v>
      </c>
    </row>
    <row r="2190" spans="2:8">
      <c r="B2190" t="s">
        <v>4192</v>
      </c>
      <c r="C2190" t="s">
        <v>4193</v>
      </c>
      <c r="D2190">
        <v>7.2420708817350699E-8</v>
      </c>
      <c r="E2190" t="s">
        <v>616</v>
      </c>
      <c r="H2190" t="s">
        <v>588</v>
      </c>
    </row>
    <row r="2191" spans="2:8">
      <c r="B2191" t="s">
        <v>4192</v>
      </c>
      <c r="C2191" t="s">
        <v>4193</v>
      </c>
      <c r="D2191">
        <v>7.24405825397061E-8</v>
      </c>
      <c r="E2191" t="s">
        <v>616</v>
      </c>
      <c r="H2191" t="s">
        <v>588</v>
      </c>
    </row>
    <row r="2192" spans="2:8">
      <c r="B2192" t="s">
        <v>4196</v>
      </c>
      <c r="C2192" t="s">
        <v>4193</v>
      </c>
      <c r="D2192">
        <v>7.2439305723838105E-8</v>
      </c>
      <c r="E2192" t="s">
        <v>616</v>
      </c>
      <c r="H2192" t="s">
        <v>588</v>
      </c>
    </row>
    <row r="2193" spans="2:8">
      <c r="B2193" t="s">
        <v>4196</v>
      </c>
      <c r="C2193" t="s">
        <v>4193</v>
      </c>
      <c r="D2193">
        <v>7.2418018440434798E-8</v>
      </c>
      <c r="E2193" t="s">
        <v>616</v>
      </c>
      <c r="H2193" t="s">
        <v>588</v>
      </c>
    </row>
    <row r="2194" spans="2:8">
      <c r="B2194" t="s">
        <v>4199</v>
      </c>
      <c r="C2194" t="s">
        <v>4193</v>
      </c>
      <c r="D2194">
        <v>5.8383100180085603E-8</v>
      </c>
      <c r="E2194" t="s">
        <v>616</v>
      </c>
      <c r="H2194" t="s">
        <v>588</v>
      </c>
    </row>
    <row r="2195" spans="2:8">
      <c r="B2195" t="s">
        <v>4199</v>
      </c>
      <c r="C2195" t="s">
        <v>4193</v>
      </c>
      <c r="D2195">
        <v>5.8298989296225902E-8</v>
      </c>
      <c r="E2195" t="s">
        <v>616</v>
      </c>
      <c r="H2195" t="s">
        <v>588</v>
      </c>
    </row>
    <row r="2196" spans="2:8">
      <c r="B2196" t="s">
        <v>4202</v>
      </c>
      <c r="C2196" t="s">
        <v>4193</v>
      </c>
      <c r="D2196">
        <v>5.8298989296225902E-8</v>
      </c>
      <c r="E2196" t="s">
        <v>616</v>
      </c>
      <c r="H2196" t="s">
        <v>588</v>
      </c>
    </row>
    <row r="2197" spans="2:8">
      <c r="B2197" t="s">
        <v>4202</v>
      </c>
      <c r="C2197" t="s">
        <v>4193</v>
      </c>
      <c r="D2197">
        <v>5.8383100180085603E-8</v>
      </c>
      <c r="E2197" t="s">
        <v>616</v>
      </c>
      <c r="H2197" t="s">
        <v>588</v>
      </c>
    </row>
    <row r="2198" spans="2:8">
      <c r="B2198" t="s">
        <v>4205</v>
      </c>
      <c r="C2198" t="s">
        <v>4193</v>
      </c>
      <c r="D2198">
        <v>5.8382270825607798E-8</v>
      </c>
      <c r="E2198" t="s">
        <v>616</v>
      </c>
      <c r="H2198" t="s">
        <v>588</v>
      </c>
    </row>
    <row r="2199" spans="2:8">
      <c r="B2199" t="s">
        <v>4205</v>
      </c>
      <c r="C2199" t="s">
        <v>4193</v>
      </c>
      <c r="D2199">
        <v>5.8297245833033899E-8</v>
      </c>
      <c r="E2199" t="s">
        <v>616</v>
      </c>
      <c r="H2199" t="s">
        <v>588</v>
      </c>
    </row>
    <row r="2200" spans="2:8">
      <c r="B2200" t="s">
        <v>4208</v>
      </c>
      <c r="C2200" t="s">
        <v>4193</v>
      </c>
      <c r="D2200">
        <v>5.8297245833033899E-8</v>
      </c>
      <c r="E2200" t="s">
        <v>616</v>
      </c>
      <c r="H2200" t="s">
        <v>588</v>
      </c>
    </row>
    <row r="2201" spans="2:8">
      <c r="B2201" t="s">
        <v>4208</v>
      </c>
      <c r="C2201" t="s">
        <v>4193</v>
      </c>
      <c r="D2201">
        <v>5.8382270825607798E-8</v>
      </c>
      <c r="E2201" t="s">
        <v>616</v>
      </c>
      <c r="H2201" t="s">
        <v>588</v>
      </c>
    </row>
    <row r="2202" spans="2:8">
      <c r="B2202" t="s">
        <v>4212</v>
      </c>
      <c r="C2202" t="s">
        <v>701</v>
      </c>
      <c r="D2202">
        <v>2.2618624849214501E-4</v>
      </c>
      <c r="E2202" t="s">
        <v>94</v>
      </c>
      <c r="H2202" t="s">
        <v>588</v>
      </c>
    </row>
    <row r="2203" spans="2:8">
      <c r="B2203" t="s">
        <v>4214</v>
      </c>
      <c r="C2203" t="s">
        <v>701</v>
      </c>
      <c r="D2203">
        <v>1.15868669744326E-3</v>
      </c>
      <c r="E2203" t="s">
        <v>94</v>
      </c>
      <c r="H2203" t="s">
        <v>588</v>
      </c>
    </row>
    <row r="2204" spans="2:8">
      <c r="B2204" t="s">
        <v>4216</v>
      </c>
      <c r="C2204" t="s">
        <v>615</v>
      </c>
      <c r="D2204">
        <v>4.2024734399100499E-11</v>
      </c>
      <c r="E2204" t="s">
        <v>616</v>
      </c>
      <c r="H2204" t="s">
        <v>588</v>
      </c>
    </row>
    <row r="2205" spans="2:8">
      <c r="B2205" t="s">
        <v>4218</v>
      </c>
      <c r="C2205" t="s">
        <v>2173</v>
      </c>
      <c r="D2205">
        <v>2.1786214196242101E-8</v>
      </c>
      <c r="E2205" t="s">
        <v>616</v>
      </c>
      <c r="H2205" t="s">
        <v>588</v>
      </c>
    </row>
    <row r="2206" spans="2:8">
      <c r="B2206" t="s">
        <v>4221</v>
      </c>
      <c r="C2206" t="s">
        <v>4222</v>
      </c>
      <c r="D2206">
        <v>4.2874263682761698E-4</v>
      </c>
      <c r="E2206" t="s">
        <v>94</v>
      </c>
      <c r="H2206" t="s">
        <v>588</v>
      </c>
    </row>
    <row r="2207" spans="2:8">
      <c r="B2207" t="s">
        <v>4226</v>
      </c>
      <c r="C2207" t="s">
        <v>2043</v>
      </c>
      <c r="D2207">
        <v>6.8060738979144296E-3</v>
      </c>
      <c r="E2207" t="s">
        <v>94</v>
      </c>
      <c r="H2207" t="s">
        <v>588</v>
      </c>
    </row>
    <row r="2208" spans="2:8">
      <c r="B2208" t="s">
        <v>4229</v>
      </c>
      <c r="C2208" t="s">
        <v>2661</v>
      </c>
      <c r="D2208">
        <v>2.6813826902803402E-3</v>
      </c>
      <c r="E2208" t="s">
        <v>94</v>
      </c>
      <c r="H2208" t="s">
        <v>588</v>
      </c>
    </row>
    <row r="2209" spans="2:8">
      <c r="B2209" t="s">
        <v>4229</v>
      </c>
      <c r="C2209" t="s">
        <v>2661</v>
      </c>
      <c r="D2209">
        <v>1.3628835672190501E-4</v>
      </c>
      <c r="E2209" t="s">
        <v>94</v>
      </c>
      <c r="H2209" t="s">
        <v>588</v>
      </c>
    </row>
    <row r="2210" spans="2:8">
      <c r="B2210" t="s">
        <v>4229</v>
      </c>
      <c r="C2210" t="s">
        <v>2661</v>
      </c>
      <c r="D2210">
        <v>1.54613262924495E-3</v>
      </c>
      <c r="E2210" t="s">
        <v>94</v>
      </c>
      <c r="H2210" t="s">
        <v>588</v>
      </c>
    </row>
    <row r="2211" spans="2:8">
      <c r="B2211" t="s">
        <v>4229</v>
      </c>
      <c r="C2211" t="s">
        <v>2661</v>
      </c>
      <c r="D2211">
        <v>4.2650784182186301E-3</v>
      </c>
      <c r="E2211" t="s">
        <v>94</v>
      </c>
      <c r="H2211" t="s">
        <v>588</v>
      </c>
    </row>
    <row r="2212" spans="2:8">
      <c r="B2212" t="s">
        <v>4232</v>
      </c>
      <c r="C2212" t="s">
        <v>2661</v>
      </c>
      <c r="D2212">
        <v>9.3467812371313304E-3</v>
      </c>
      <c r="E2212" t="s">
        <v>94</v>
      </c>
      <c r="H2212" t="s">
        <v>588</v>
      </c>
    </row>
    <row r="2213" spans="2:8">
      <c r="B2213" t="s">
        <v>4232</v>
      </c>
      <c r="C2213" t="s">
        <v>2661</v>
      </c>
      <c r="D2213">
        <v>2.2988475164702599E-3</v>
      </c>
      <c r="E2213" t="s">
        <v>94</v>
      </c>
      <c r="H2213" t="s">
        <v>588</v>
      </c>
    </row>
    <row r="2214" spans="2:8">
      <c r="B2214" t="s">
        <v>4234</v>
      </c>
      <c r="C2214" t="s">
        <v>615</v>
      </c>
      <c r="D2214">
        <v>1.20145439279912E-10</v>
      </c>
      <c r="E2214" t="s">
        <v>616</v>
      </c>
      <c r="H2214" t="s">
        <v>588</v>
      </c>
    </row>
    <row r="2215" spans="2:8">
      <c r="B2215" t="s">
        <v>4234</v>
      </c>
      <c r="C2215" t="s">
        <v>615</v>
      </c>
      <c r="D2215">
        <v>1.07130928487706E-10</v>
      </c>
      <c r="E2215" t="s">
        <v>616</v>
      </c>
      <c r="H2215" t="s">
        <v>588</v>
      </c>
    </row>
    <row r="2216" spans="2:8">
      <c r="B2216" t="s">
        <v>4239</v>
      </c>
      <c r="C2216" t="s">
        <v>2739</v>
      </c>
      <c r="D2216">
        <v>4.4440076767012699E-11</v>
      </c>
      <c r="E2216" t="s">
        <v>616</v>
      </c>
      <c r="H2216" t="s">
        <v>588</v>
      </c>
    </row>
    <row r="2217" spans="2:8">
      <c r="B2217" t="s">
        <v>4239</v>
      </c>
      <c r="C2217" t="s">
        <v>2739</v>
      </c>
      <c r="D2217">
        <v>3.8588931574854701E-11</v>
      </c>
      <c r="E2217" t="s">
        <v>616</v>
      </c>
      <c r="H2217" t="s">
        <v>588</v>
      </c>
    </row>
    <row r="2218" spans="2:8">
      <c r="B2218" t="s">
        <v>4243</v>
      </c>
      <c r="C2218" t="s">
        <v>2739</v>
      </c>
      <c r="D2218">
        <v>6.0351212087098901E-12</v>
      </c>
      <c r="E2218" t="s">
        <v>616</v>
      </c>
      <c r="H2218" t="s">
        <v>588</v>
      </c>
    </row>
    <row r="2219" spans="2:8">
      <c r="B2219" t="s">
        <v>4246</v>
      </c>
      <c r="C2219" t="s">
        <v>813</v>
      </c>
      <c r="D2219">
        <v>0.141397940311878</v>
      </c>
      <c r="E2219" t="s">
        <v>94</v>
      </c>
      <c r="H2219" t="s">
        <v>1733</v>
      </c>
    </row>
    <row r="2220" spans="2:8">
      <c r="B2220" t="s">
        <v>4246</v>
      </c>
      <c r="C2220" t="s">
        <v>813</v>
      </c>
      <c r="D2220">
        <v>1.35172578560404E-3</v>
      </c>
      <c r="E2220" t="s">
        <v>94</v>
      </c>
      <c r="H2220" t="s">
        <v>588</v>
      </c>
    </row>
    <row r="2221" spans="2:8">
      <c r="B2221" t="s">
        <v>4246</v>
      </c>
      <c r="C2221" t="s">
        <v>813</v>
      </c>
      <c r="D2221">
        <v>0.26576193763932798</v>
      </c>
      <c r="E2221" t="s">
        <v>94</v>
      </c>
      <c r="H2221" t="s">
        <v>1733</v>
      </c>
    </row>
    <row r="2222" spans="2:8">
      <c r="B2222" t="s">
        <v>4246</v>
      </c>
      <c r="C2222" t="s">
        <v>813</v>
      </c>
      <c r="D2222">
        <v>0.24987304183062101</v>
      </c>
      <c r="E2222" t="s">
        <v>94</v>
      </c>
      <c r="H2222" t="s">
        <v>1733</v>
      </c>
    </row>
    <row r="2223" spans="2:8">
      <c r="B2223" t="s">
        <v>705</v>
      </c>
      <c r="C2223" t="s">
        <v>639</v>
      </c>
      <c r="D2223">
        <v>0.256218745630994</v>
      </c>
      <c r="E2223" t="s">
        <v>640</v>
      </c>
      <c r="H2223" t="s">
        <v>588</v>
      </c>
    </row>
    <row r="2224" spans="2:8">
      <c r="B2224" t="s">
        <v>812</v>
      </c>
      <c r="C2224" t="s">
        <v>813</v>
      </c>
      <c r="D2224">
        <v>0.35786761959659402</v>
      </c>
      <c r="E2224" t="s">
        <v>94</v>
      </c>
      <c r="H2224" t="s">
        <v>588</v>
      </c>
    </row>
    <row r="2225" spans="2:8">
      <c r="B2225" t="s">
        <v>812</v>
      </c>
      <c r="C2225" t="s">
        <v>813</v>
      </c>
      <c r="D2225">
        <v>5.5823810068104697E-2</v>
      </c>
      <c r="E2225" t="s">
        <v>94</v>
      </c>
      <c r="H2225" t="s">
        <v>588</v>
      </c>
    </row>
    <row r="2226" spans="2:8">
      <c r="B2226" t="s">
        <v>812</v>
      </c>
      <c r="C2226" t="s">
        <v>813</v>
      </c>
      <c r="D2226">
        <v>0.10991007312554001</v>
      </c>
      <c r="E2226" t="s">
        <v>94</v>
      </c>
      <c r="H2226" t="s">
        <v>588</v>
      </c>
    </row>
    <row r="2227" spans="2:8">
      <c r="B2227" t="s">
        <v>812</v>
      </c>
      <c r="C2227" t="s">
        <v>813</v>
      </c>
      <c r="D2227">
        <v>0.71217369337029701</v>
      </c>
      <c r="E2227" t="s">
        <v>94</v>
      </c>
      <c r="H2227" t="s">
        <v>588</v>
      </c>
    </row>
    <row r="2228" spans="2:8">
      <c r="B2228" t="s">
        <v>812</v>
      </c>
      <c r="C2228" t="s">
        <v>813</v>
      </c>
      <c r="D2228">
        <v>0.121291760122822</v>
      </c>
      <c r="E2228" t="s">
        <v>94</v>
      </c>
      <c r="H2228" t="s">
        <v>588</v>
      </c>
    </row>
    <row r="2229" spans="2:8">
      <c r="B2229" t="s">
        <v>812</v>
      </c>
      <c r="C2229" t="s">
        <v>813</v>
      </c>
      <c r="D2229">
        <v>1.0199883979669599</v>
      </c>
      <c r="E2229" t="s">
        <v>94</v>
      </c>
      <c r="H2229" t="s">
        <v>588</v>
      </c>
    </row>
    <row r="2230" spans="2:8">
      <c r="B2230" t="s">
        <v>812</v>
      </c>
      <c r="C2230" t="s">
        <v>813</v>
      </c>
      <c r="D2230">
        <v>0.19510122527389601</v>
      </c>
      <c r="E2230" t="s">
        <v>94</v>
      </c>
      <c r="H2230" t="s">
        <v>588</v>
      </c>
    </row>
    <row r="2231" spans="2:8">
      <c r="B2231" t="s">
        <v>812</v>
      </c>
      <c r="C2231" t="s">
        <v>813</v>
      </c>
      <c r="D2231">
        <v>0.116262407887398</v>
      </c>
      <c r="E2231" t="s">
        <v>94</v>
      </c>
      <c r="H2231" t="s">
        <v>588</v>
      </c>
    </row>
    <row r="2232" spans="2:8">
      <c r="B2232" t="s">
        <v>812</v>
      </c>
      <c r="C2232" t="s">
        <v>813</v>
      </c>
      <c r="D2232">
        <v>1.8431505491567</v>
      </c>
      <c r="E2232" t="s">
        <v>94</v>
      </c>
      <c r="H2232" t="s">
        <v>588</v>
      </c>
    </row>
    <row r="2233" spans="2:8">
      <c r="B2233" t="s">
        <v>812</v>
      </c>
      <c r="C2233" t="s">
        <v>813</v>
      </c>
      <c r="D2233">
        <v>0.53941598229558696</v>
      </c>
      <c r="E2233" t="s">
        <v>94</v>
      </c>
      <c r="H2233" t="s">
        <v>588</v>
      </c>
    </row>
    <row r="2234" spans="2:8">
      <c r="B2234" t="s">
        <v>812</v>
      </c>
      <c r="C2234" t="s">
        <v>813</v>
      </c>
      <c r="D2234">
        <v>0.102530302953923</v>
      </c>
      <c r="E2234" t="s">
        <v>94</v>
      </c>
      <c r="H2234" t="s">
        <v>588</v>
      </c>
    </row>
    <row r="2235" spans="2:8">
      <c r="B2235" t="s">
        <v>812</v>
      </c>
      <c r="C2235" t="s">
        <v>813</v>
      </c>
      <c r="D2235">
        <v>0.10483427134413199</v>
      </c>
      <c r="E2235" t="s">
        <v>94</v>
      </c>
      <c r="H2235" t="s">
        <v>588</v>
      </c>
    </row>
    <row r="2236" spans="2:8">
      <c r="B2236" t="s">
        <v>812</v>
      </c>
      <c r="C2236" t="s">
        <v>813</v>
      </c>
      <c r="D2236">
        <v>1.08889051849939</v>
      </c>
      <c r="E2236" t="s">
        <v>94</v>
      </c>
      <c r="H2236" t="s">
        <v>588</v>
      </c>
    </row>
    <row r="2237" spans="2:8">
      <c r="B2237" t="s">
        <v>1508</v>
      </c>
      <c r="C2237" t="s">
        <v>813</v>
      </c>
      <c r="D2237">
        <v>1.21997846764126E-4</v>
      </c>
      <c r="E2237" t="s">
        <v>94</v>
      </c>
      <c r="H2237" t="s">
        <v>588</v>
      </c>
    </row>
    <row r="2238" spans="2:8">
      <c r="B2238" t="s">
        <v>1508</v>
      </c>
      <c r="C2238" t="s">
        <v>813</v>
      </c>
      <c r="D2238">
        <v>1.3365150205341099E-3</v>
      </c>
      <c r="E2238" t="s">
        <v>94</v>
      </c>
      <c r="H2238" t="s">
        <v>588</v>
      </c>
    </row>
    <row r="2239" spans="2:8">
      <c r="B2239" t="s">
        <v>1508</v>
      </c>
      <c r="C2239" t="s">
        <v>813</v>
      </c>
      <c r="D2239">
        <v>8.4280510249611605E-3</v>
      </c>
      <c r="E2239" t="s">
        <v>94</v>
      </c>
      <c r="H2239" t="s">
        <v>588</v>
      </c>
    </row>
    <row r="2240" spans="2:8">
      <c r="B2240" t="s">
        <v>4256</v>
      </c>
      <c r="C2240" t="s">
        <v>2023</v>
      </c>
      <c r="D2240">
        <v>1.94952093305878E-6</v>
      </c>
      <c r="E2240" t="s">
        <v>640</v>
      </c>
      <c r="H2240" t="s">
        <v>588</v>
      </c>
    </row>
    <row r="2241" spans="2:8">
      <c r="B2241" t="s">
        <v>5137</v>
      </c>
      <c r="C2241" t="s">
        <v>639</v>
      </c>
      <c r="D2241">
        <v>3.3487155535713098E-4</v>
      </c>
      <c r="E2241" t="s">
        <v>640</v>
      </c>
      <c r="H2241" t="s">
        <v>588</v>
      </c>
    </row>
    <row r="2242" spans="2:8">
      <c r="B2242" t="s">
        <v>878</v>
      </c>
      <c r="C2242" t="s">
        <v>639</v>
      </c>
      <c r="D2242">
        <v>5.7636270168155996E-3</v>
      </c>
      <c r="E2242" t="s">
        <v>640</v>
      </c>
      <c r="H2242" t="s">
        <v>588</v>
      </c>
    </row>
    <row r="2243" spans="2:8">
      <c r="B2243" t="s">
        <v>969</v>
      </c>
      <c r="C2243" t="s">
        <v>639</v>
      </c>
      <c r="D2243">
        <v>2.5662688366592499E-2</v>
      </c>
      <c r="E2243" t="s">
        <v>640</v>
      </c>
      <c r="H2243" t="s">
        <v>588</v>
      </c>
    </row>
    <row r="2244" spans="2:8">
      <c r="B2244" t="s">
        <v>4262</v>
      </c>
      <c r="C2244" t="s">
        <v>639</v>
      </c>
      <c r="D2244">
        <v>2.7912121829092699E-5</v>
      </c>
      <c r="E2244" t="s">
        <v>640</v>
      </c>
      <c r="H2244" t="s">
        <v>588</v>
      </c>
    </row>
    <row r="2245" spans="2:8">
      <c r="B2245" t="s">
        <v>4265</v>
      </c>
      <c r="C2245" t="s">
        <v>813</v>
      </c>
      <c r="D2245">
        <v>3.6518252998390602E-4</v>
      </c>
      <c r="E2245" t="s">
        <v>94</v>
      </c>
      <c r="H2245" t="s">
        <v>588</v>
      </c>
    </row>
    <row r="2246" spans="2:8">
      <c r="B2246" t="s">
        <v>4265</v>
      </c>
      <c r="C2246" t="s">
        <v>813</v>
      </c>
      <c r="D2246">
        <v>6.3200449005948304E-4</v>
      </c>
      <c r="E2246" t="s">
        <v>94</v>
      </c>
      <c r="H2246" t="s">
        <v>588</v>
      </c>
    </row>
    <row r="2247" spans="2:8">
      <c r="B2247" t="s">
        <v>4265</v>
      </c>
      <c r="C2247" t="s">
        <v>813</v>
      </c>
      <c r="D2247">
        <v>6.7743436409226803E-4</v>
      </c>
      <c r="E2247" t="s">
        <v>94</v>
      </c>
      <c r="H2247" t="s">
        <v>588</v>
      </c>
    </row>
    <row r="2248" spans="2:8">
      <c r="B2248" t="s">
        <v>706</v>
      </c>
      <c r="C2248" t="s">
        <v>639</v>
      </c>
      <c r="D2248">
        <v>1.4823485910622301E-2</v>
      </c>
      <c r="E2248" t="s">
        <v>640</v>
      </c>
      <c r="H2248" t="s">
        <v>588</v>
      </c>
    </row>
    <row r="2249" spans="2:8">
      <c r="B2249" t="s">
        <v>706</v>
      </c>
      <c r="C2249" t="s">
        <v>587</v>
      </c>
      <c r="D2249">
        <v>9.1572267596352205E-5</v>
      </c>
      <c r="E2249" t="s">
        <v>640</v>
      </c>
      <c r="H2249" t="s">
        <v>588</v>
      </c>
    </row>
    <row r="2250" spans="2:8">
      <c r="B2250" t="s">
        <v>879</v>
      </c>
      <c r="C2250" t="s">
        <v>639</v>
      </c>
      <c r="D2250">
        <v>2.6259888563350399E-4</v>
      </c>
      <c r="E2250" t="s">
        <v>640</v>
      </c>
      <c r="H2250" t="s">
        <v>588</v>
      </c>
    </row>
    <row r="2251" spans="2:8">
      <c r="B2251" t="s">
        <v>1512</v>
      </c>
      <c r="C2251" t="s">
        <v>664</v>
      </c>
      <c r="D2251">
        <v>1.4244736875534199E-4</v>
      </c>
      <c r="E2251" t="s">
        <v>94</v>
      </c>
      <c r="H2251" t="s">
        <v>588</v>
      </c>
    </row>
    <row r="2252" spans="2:8">
      <c r="B2252" t="s">
        <v>4271</v>
      </c>
      <c r="C2252" t="s">
        <v>1417</v>
      </c>
      <c r="D2252">
        <v>1.3577147238010499E-5</v>
      </c>
      <c r="E2252" t="s">
        <v>1171</v>
      </c>
      <c r="H2252" t="s">
        <v>588</v>
      </c>
    </row>
    <row r="2253" spans="2:8">
      <c r="B2253" t="s">
        <v>4273</v>
      </c>
      <c r="C2253" t="s">
        <v>1417</v>
      </c>
      <c r="D2253">
        <v>5.55196880858593E-3</v>
      </c>
      <c r="E2253" t="s">
        <v>1171</v>
      </c>
      <c r="H2253" t="s">
        <v>588</v>
      </c>
    </row>
    <row r="2254" spans="2:8">
      <c r="B2254" t="s">
        <v>4275</v>
      </c>
      <c r="C2254" t="s">
        <v>1417</v>
      </c>
      <c r="D2254">
        <v>4.1853931449371398E-2</v>
      </c>
      <c r="E2254" t="s">
        <v>1171</v>
      </c>
      <c r="H2254" t="s">
        <v>588</v>
      </c>
    </row>
    <row r="2255" spans="2:8">
      <c r="B2255" t="s">
        <v>4278</v>
      </c>
      <c r="C2255" t="s">
        <v>3862</v>
      </c>
      <c r="D2255">
        <v>2.3019379802186599E-6</v>
      </c>
      <c r="E2255" t="s">
        <v>94</v>
      </c>
      <c r="H2255" t="s">
        <v>588</v>
      </c>
    </row>
    <row r="2256" spans="2:8">
      <c r="B2256" t="s">
        <v>4281</v>
      </c>
      <c r="C2256" t="s">
        <v>4282</v>
      </c>
      <c r="D2256">
        <v>9.9158334282401607E-6</v>
      </c>
      <c r="E2256" t="s">
        <v>94</v>
      </c>
      <c r="H2256" t="s">
        <v>588</v>
      </c>
    </row>
    <row r="2257" spans="2:8">
      <c r="B2257" t="s">
        <v>4285</v>
      </c>
      <c r="C2257" t="s">
        <v>1830</v>
      </c>
      <c r="D2257">
        <v>1.48179703425784E-6</v>
      </c>
      <c r="E2257" t="s">
        <v>94</v>
      </c>
    </row>
    <row r="2258" spans="2:8">
      <c r="B2258" t="s">
        <v>4285</v>
      </c>
      <c r="C2258" t="s">
        <v>1830</v>
      </c>
      <c r="D2258">
        <v>5.12971629031484E-4</v>
      </c>
      <c r="E2258" t="s">
        <v>94</v>
      </c>
    </row>
    <row r="2259" spans="2:8">
      <c r="B2259" t="s">
        <v>4285</v>
      </c>
      <c r="C2259" t="s">
        <v>1830</v>
      </c>
      <c r="D2259">
        <v>2.6237168582207601E-5</v>
      </c>
      <c r="E2259" t="s">
        <v>94</v>
      </c>
    </row>
    <row r="2260" spans="2:8">
      <c r="B2260" t="s">
        <v>4285</v>
      </c>
      <c r="C2260" t="s">
        <v>1830</v>
      </c>
      <c r="D2260">
        <v>6.9632529819920995E-5</v>
      </c>
      <c r="E2260" t="s">
        <v>94</v>
      </c>
      <c r="H2260" t="s">
        <v>588</v>
      </c>
    </row>
    <row r="2261" spans="2:8">
      <c r="B2261" t="s">
        <v>4285</v>
      </c>
      <c r="C2261" t="s">
        <v>1830</v>
      </c>
      <c r="D2261">
        <v>3.95804871847258E-5</v>
      </c>
      <c r="E2261" t="s">
        <v>94</v>
      </c>
    </row>
    <row r="2262" spans="2:8">
      <c r="B2262" t="s">
        <v>4288</v>
      </c>
      <c r="C2262" t="s">
        <v>664</v>
      </c>
      <c r="D2262">
        <v>1.0899080584541699E-6</v>
      </c>
      <c r="E2262" t="s">
        <v>94</v>
      </c>
      <c r="H2262" t="s">
        <v>588</v>
      </c>
    </row>
    <row r="2263" spans="2:8">
      <c r="B2263" t="s">
        <v>4292</v>
      </c>
      <c r="C2263" t="s">
        <v>2626</v>
      </c>
      <c r="D2263">
        <v>3.9631766567073002E-3</v>
      </c>
      <c r="E2263" t="s">
        <v>616</v>
      </c>
      <c r="H2263" t="s">
        <v>588</v>
      </c>
    </row>
    <row r="2264" spans="2:8">
      <c r="B2264" t="s">
        <v>4292</v>
      </c>
      <c r="C2264" t="s">
        <v>2626</v>
      </c>
      <c r="D2264">
        <v>3.9792856561781699E-3</v>
      </c>
      <c r="E2264" t="s">
        <v>616</v>
      </c>
      <c r="H2264" t="s">
        <v>588</v>
      </c>
    </row>
    <row r="2265" spans="2:8">
      <c r="B2265" t="s">
        <v>4297</v>
      </c>
      <c r="C2265" t="s">
        <v>2363</v>
      </c>
      <c r="D2265">
        <v>3.9462831674227002E-6</v>
      </c>
      <c r="E2265" t="s">
        <v>626</v>
      </c>
      <c r="H2265" t="s">
        <v>588</v>
      </c>
    </row>
    <row r="2266" spans="2:8">
      <c r="B2266" t="s">
        <v>4300</v>
      </c>
      <c r="C2266" t="s">
        <v>2356</v>
      </c>
      <c r="D2266">
        <v>1.5297556809000101E-6</v>
      </c>
      <c r="E2266" t="s">
        <v>626</v>
      </c>
      <c r="H2266" t="s">
        <v>588</v>
      </c>
    </row>
    <row r="2267" spans="2:8">
      <c r="B2267" t="s">
        <v>4302</v>
      </c>
      <c r="C2267" t="s">
        <v>2363</v>
      </c>
      <c r="D2267">
        <v>5.7044293903282098E-8</v>
      </c>
      <c r="E2267" t="s">
        <v>626</v>
      </c>
      <c r="H2267" t="s">
        <v>588</v>
      </c>
    </row>
    <row r="2268" spans="2:8">
      <c r="B2268" t="s">
        <v>1515</v>
      </c>
      <c r="C2268" t="s">
        <v>667</v>
      </c>
      <c r="D2268">
        <v>6.7445746538186797E-4</v>
      </c>
      <c r="E2268" t="s">
        <v>94</v>
      </c>
      <c r="H2268" t="s">
        <v>588</v>
      </c>
    </row>
    <row r="2269" spans="2:8">
      <c r="B2269" t="s">
        <v>1515</v>
      </c>
      <c r="C2269" t="s">
        <v>667</v>
      </c>
      <c r="D2269">
        <v>1.5500876321575801E-5</v>
      </c>
      <c r="E2269" t="s">
        <v>94</v>
      </c>
      <c r="H2269" t="s">
        <v>588</v>
      </c>
    </row>
    <row r="2270" spans="2:8">
      <c r="B2270" t="s">
        <v>4306</v>
      </c>
      <c r="C2270" t="s">
        <v>821</v>
      </c>
      <c r="D2270">
        <v>2.1940007303163799E-4</v>
      </c>
      <c r="E2270" t="s">
        <v>94</v>
      </c>
      <c r="H2270" t="s">
        <v>588</v>
      </c>
    </row>
    <row r="2271" spans="2:8">
      <c r="B2271" t="s">
        <v>4306</v>
      </c>
      <c r="C2271" t="s">
        <v>821</v>
      </c>
      <c r="D2271">
        <v>5.1646504834341805E-4</v>
      </c>
      <c r="E2271" t="s">
        <v>94</v>
      </c>
      <c r="H2271" t="s">
        <v>588</v>
      </c>
    </row>
    <row r="2272" spans="2:8">
      <c r="B2272" t="s">
        <v>4310</v>
      </c>
      <c r="C2272" t="s">
        <v>2356</v>
      </c>
      <c r="D2272">
        <v>1.28037801278118E-2</v>
      </c>
      <c r="E2272" t="s">
        <v>94</v>
      </c>
      <c r="H2272" t="s">
        <v>588</v>
      </c>
    </row>
    <row r="2273" spans="2:8">
      <c r="B2273" t="s">
        <v>4310</v>
      </c>
      <c r="C2273" t="s">
        <v>2356</v>
      </c>
      <c r="D2273">
        <v>8.5987553733862503E-3</v>
      </c>
      <c r="E2273" t="s">
        <v>94</v>
      </c>
      <c r="H2273" t="s">
        <v>588</v>
      </c>
    </row>
    <row r="2274" spans="2:8">
      <c r="B2274" t="s">
        <v>4314</v>
      </c>
      <c r="C2274" t="s">
        <v>670</v>
      </c>
      <c r="D2274">
        <v>2.0872808249553002E-3</v>
      </c>
      <c r="E2274" t="s">
        <v>94</v>
      </c>
      <c r="H2274" t="s">
        <v>588</v>
      </c>
    </row>
    <row r="2275" spans="2:8">
      <c r="B2275" t="s">
        <v>4314</v>
      </c>
      <c r="C2275" t="s">
        <v>670</v>
      </c>
      <c r="D2275">
        <v>2.04689894207474E-3</v>
      </c>
      <c r="E2275" t="s">
        <v>94</v>
      </c>
      <c r="H2275" t="s">
        <v>588</v>
      </c>
    </row>
    <row r="2276" spans="2:8">
      <c r="B2276" t="s">
        <v>4316</v>
      </c>
      <c r="C2276" t="s">
        <v>1408</v>
      </c>
      <c r="D2276">
        <v>0.28629942479208897</v>
      </c>
      <c r="E2276" t="s">
        <v>94</v>
      </c>
      <c r="H2276" t="s">
        <v>588</v>
      </c>
    </row>
    <row r="2277" spans="2:8">
      <c r="B2277" t="s">
        <v>4316</v>
      </c>
      <c r="C2277" t="s">
        <v>1408</v>
      </c>
      <c r="D2277">
        <v>6.5526572942757697E-4</v>
      </c>
      <c r="E2277" t="s">
        <v>94</v>
      </c>
      <c r="H2277" t="s">
        <v>588</v>
      </c>
    </row>
    <row r="2278" spans="2:8">
      <c r="B2278" t="s">
        <v>4316</v>
      </c>
      <c r="C2278" t="s">
        <v>1408</v>
      </c>
      <c r="D2278">
        <v>0.32501561527425099</v>
      </c>
      <c r="E2278" t="s">
        <v>94</v>
      </c>
      <c r="H2278" t="s">
        <v>588</v>
      </c>
    </row>
    <row r="2279" spans="2:8">
      <c r="B2279" t="s">
        <v>4316</v>
      </c>
      <c r="C2279" t="s">
        <v>1408</v>
      </c>
      <c r="D2279">
        <v>6.3909402796223702E-2</v>
      </c>
      <c r="E2279" t="s">
        <v>94</v>
      </c>
      <c r="H2279" t="s">
        <v>588</v>
      </c>
    </row>
    <row r="2280" spans="2:8">
      <c r="B2280" t="s">
        <v>4320</v>
      </c>
      <c r="C2280" t="s">
        <v>1408</v>
      </c>
      <c r="D2280">
        <v>3.38123006067659E-5</v>
      </c>
      <c r="E2280" t="s">
        <v>94</v>
      </c>
      <c r="H2280" t="s">
        <v>588</v>
      </c>
    </row>
    <row r="2281" spans="2:8">
      <c r="B2281" t="s">
        <v>4320</v>
      </c>
      <c r="C2281" t="s">
        <v>1408</v>
      </c>
      <c r="D2281">
        <v>3.3822167980074799E-5</v>
      </c>
      <c r="E2281" t="s">
        <v>94</v>
      </c>
      <c r="H2281" t="s">
        <v>588</v>
      </c>
    </row>
    <row r="2282" spans="2:8">
      <c r="B2282" t="s">
        <v>4323</v>
      </c>
      <c r="C2282" t="s">
        <v>1408</v>
      </c>
      <c r="D2282">
        <v>6.8256263405489499E-6</v>
      </c>
      <c r="E2282" t="s">
        <v>94</v>
      </c>
      <c r="H2282" t="s">
        <v>588</v>
      </c>
    </row>
    <row r="2283" spans="2:8">
      <c r="B2283" t="s">
        <v>4326</v>
      </c>
      <c r="C2283" t="s">
        <v>1408</v>
      </c>
      <c r="D2283">
        <v>5.1652483760835001E-7</v>
      </c>
      <c r="E2283" t="s">
        <v>94</v>
      </c>
      <c r="H2283" t="s">
        <v>588</v>
      </c>
    </row>
    <row r="2284" spans="2:8">
      <c r="B2284" t="s">
        <v>4329</v>
      </c>
      <c r="C2284" t="s">
        <v>1408</v>
      </c>
      <c r="D2284">
        <v>1.0010953571999499E-7</v>
      </c>
      <c r="E2284" t="s">
        <v>94</v>
      </c>
      <c r="H2284" t="s">
        <v>588</v>
      </c>
    </row>
    <row r="2285" spans="2:8">
      <c r="B2285" t="s">
        <v>4331</v>
      </c>
      <c r="C2285" t="s">
        <v>1635</v>
      </c>
      <c r="D2285">
        <v>2.0578103579688598E-6</v>
      </c>
      <c r="E2285" t="s">
        <v>94</v>
      </c>
      <c r="H2285" t="s">
        <v>588</v>
      </c>
    </row>
    <row r="2286" spans="2:8">
      <c r="B2286" t="s">
        <v>4333</v>
      </c>
      <c r="C2286" t="s">
        <v>2481</v>
      </c>
      <c r="D2286">
        <v>7.4397789723958297E-8</v>
      </c>
      <c r="E2286" t="s">
        <v>640</v>
      </c>
    </row>
    <row r="2287" spans="2:8">
      <c r="B2287" t="s">
        <v>4334</v>
      </c>
      <c r="C2287" t="s">
        <v>615</v>
      </c>
      <c r="D2287">
        <v>7.2214251431535199E-13</v>
      </c>
      <c r="E2287" t="s">
        <v>616</v>
      </c>
      <c r="H2287" t="s">
        <v>588</v>
      </c>
    </row>
    <row r="2288" spans="2:8">
      <c r="B2288" t="s">
        <v>4334</v>
      </c>
      <c r="C2288" t="s">
        <v>615</v>
      </c>
      <c r="D2288">
        <v>1.47841244919741E-12</v>
      </c>
      <c r="E2288" t="s">
        <v>616</v>
      </c>
      <c r="H2288" t="s">
        <v>588</v>
      </c>
    </row>
    <row r="2289" spans="2:8">
      <c r="B2289" t="s">
        <v>4338</v>
      </c>
      <c r="C2289" t="s">
        <v>673</v>
      </c>
      <c r="D2289">
        <v>1.53640308798221E-6</v>
      </c>
      <c r="E2289" t="s">
        <v>94</v>
      </c>
      <c r="H2289" t="s">
        <v>588</v>
      </c>
    </row>
    <row r="2290" spans="2:8">
      <c r="B2290" t="s">
        <v>4338</v>
      </c>
      <c r="C2290" t="s">
        <v>673</v>
      </c>
      <c r="D2290">
        <v>1.53634814245365E-6</v>
      </c>
      <c r="E2290" t="s">
        <v>94</v>
      </c>
      <c r="H2290" t="s">
        <v>588</v>
      </c>
    </row>
    <row r="2291" spans="2:8">
      <c r="B2291" t="s">
        <v>4343</v>
      </c>
      <c r="C2291" t="s">
        <v>673</v>
      </c>
      <c r="D2291">
        <v>1.46671063735027E-3</v>
      </c>
      <c r="E2291" t="s">
        <v>94</v>
      </c>
      <c r="H2291" t="s">
        <v>588</v>
      </c>
    </row>
    <row r="2292" spans="2:8">
      <c r="B2292" t="s">
        <v>4345</v>
      </c>
      <c r="C2292" t="s">
        <v>4346</v>
      </c>
      <c r="D2292">
        <v>8.8558374077978995E-4</v>
      </c>
      <c r="E2292" t="s">
        <v>94</v>
      </c>
      <c r="H2292" t="s">
        <v>588</v>
      </c>
    </row>
    <row r="2293" spans="2:8">
      <c r="B2293" t="s">
        <v>1517</v>
      </c>
      <c r="C2293" t="s">
        <v>569</v>
      </c>
      <c r="D2293">
        <v>9.2221636437843395E-5</v>
      </c>
      <c r="E2293" t="s">
        <v>94</v>
      </c>
      <c r="H2293" t="s">
        <v>588</v>
      </c>
    </row>
    <row r="2294" spans="2:8">
      <c r="B2294" t="s">
        <v>1519</v>
      </c>
      <c r="C2294" t="s">
        <v>1417</v>
      </c>
      <c r="D2294">
        <v>8.6911053241639404E-5</v>
      </c>
      <c r="E2294" t="s">
        <v>626</v>
      </c>
      <c r="H2294" t="s">
        <v>588</v>
      </c>
    </row>
    <row r="2295" spans="2:8">
      <c r="B2295" t="s">
        <v>1519</v>
      </c>
      <c r="C2295" t="s">
        <v>1417</v>
      </c>
      <c r="D2295">
        <v>1.3626511058748201E-4</v>
      </c>
      <c r="E2295" t="s">
        <v>626</v>
      </c>
      <c r="H2295" t="s">
        <v>588</v>
      </c>
    </row>
    <row r="2296" spans="2:8">
      <c r="B2296" t="s">
        <v>4352</v>
      </c>
      <c r="C2296" t="s">
        <v>1417</v>
      </c>
      <c r="D2296">
        <v>2.01782402479924E-4</v>
      </c>
      <c r="E2296" t="s">
        <v>626</v>
      </c>
      <c r="H2296" t="s">
        <v>588</v>
      </c>
    </row>
    <row r="2297" spans="2:8">
      <c r="B2297" t="s">
        <v>4355</v>
      </c>
      <c r="C2297" t="s">
        <v>1417</v>
      </c>
      <c r="D2297">
        <v>1.7642632500872201E-3</v>
      </c>
      <c r="E2297" t="s">
        <v>626</v>
      </c>
      <c r="H2297" t="s">
        <v>588</v>
      </c>
    </row>
    <row r="2298" spans="2:8">
      <c r="B2298" t="s">
        <v>1521</v>
      </c>
      <c r="C2298" t="s">
        <v>569</v>
      </c>
      <c r="D2298">
        <v>1.42333392107006E-3</v>
      </c>
      <c r="E2298" t="s">
        <v>94</v>
      </c>
      <c r="H2298" t="s">
        <v>588</v>
      </c>
    </row>
    <row r="2299" spans="2:8">
      <c r="B2299" t="s">
        <v>4357</v>
      </c>
      <c r="C2299" t="s">
        <v>673</v>
      </c>
      <c r="D2299">
        <v>1.16513578537348E-5</v>
      </c>
      <c r="E2299" t="s">
        <v>94</v>
      </c>
      <c r="H2299" t="s">
        <v>588</v>
      </c>
    </row>
    <row r="2300" spans="2:8">
      <c r="B2300" t="s">
        <v>4357</v>
      </c>
      <c r="C2300" t="s">
        <v>673</v>
      </c>
      <c r="D2300">
        <v>6.7293676415015505E-5</v>
      </c>
      <c r="E2300" t="s">
        <v>94</v>
      </c>
      <c r="H2300" t="s">
        <v>588</v>
      </c>
    </row>
    <row r="2301" spans="2:8">
      <c r="B2301" t="s">
        <v>4359</v>
      </c>
      <c r="C2301" t="s">
        <v>673</v>
      </c>
      <c r="D2301">
        <v>3.6544670720063E-5</v>
      </c>
      <c r="E2301" t="s">
        <v>94</v>
      </c>
      <c r="H2301" t="s">
        <v>588</v>
      </c>
    </row>
    <row r="2302" spans="2:8">
      <c r="B2302" t="s">
        <v>4361</v>
      </c>
      <c r="C2302" t="s">
        <v>587</v>
      </c>
      <c r="D2302">
        <v>2.8244925343068501E-3</v>
      </c>
      <c r="E2302" t="s">
        <v>94</v>
      </c>
      <c r="H2302" t="s">
        <v>588</v>
      </c>
    </row>
    <row r="2303" spans="2:8">
      <c r="B2303" t="s">
        <v>1523</v>
      </c>
      <c r="C2303" t="s">
        <v>569</v>
      </c>
      <c r="D2303">
        <v>1.0842573344468E-4</v>
      </c>
      <c r="E2303" t="s">
        <v>94</v>
      </c>
      <c r="H2303" t="s">
        <v>588</v>
      </c>
    </row>
    <row r="2304" spans="2:8">
      <c r="B2304" t="s">
        <v>4363</v>
      </c>
      <c r="C2304" t="s">
        <v>1830</v>
      </c>
      <c r="D2304">
        <v>1.8138999247849601E-3</v>
      </c>
      <c r="E2304" t="s">
        <v>94</v>
      </c>
    </row>
    <row r="2305" spans="1:17">
      <c r="B2305" t="s">
        <v>4363</v>
      </c>
      <c r="C2305" t="s">
        <v>1830</v>
      </c>
      <c r="D2305">
        <v>2.1766799097419501E-4</v>
      </c>
      <c r="E2305" t="s">
        <v>94</v>
      </c>
      <c r="H2305" t="s">
        <v>588</v>
      </c>
    </row>
    <row r="2307" spans="1:17">
      <c r="A2307" t="s">
        <v>710</v>
      </c>
    </row>
    <row r="2308" spans="1:17">
      <c r="A2308" s="421" t="s">
        <v>570</v>
      </c>
      <c r="B2308" s="421" t="s">
        <v>571</v>
      </c>
      <c r="C2308" s="421" t="s">
        <v>568</v>
      </c>
      <c r="D2308" s="421" t="s">
        <v>572</v>
      </c>
      <c r="E2308" s="421" t="s">
        <v>573</v>
      </c>
      <c r="F2308" s="421" t="s">
        <v>574</v>
      </c>
      <c r="G2308" s="421" t="s">
        <v>575</v>
      </c>
      <c r="H2308" s="421" t="s">
        <v>576</v>
      </c>
      <c r="I2308" s="421"/>
      <c r="J2308" s="421"/>
      <c r="K2308" s="421"/>
      <c r="L2308" s="421"/>
      <c r="M2308" s="421"/>
      <c r="N2308" s="421"/>
      <c r="O2308" s="421"/>
      <c r="P2308" s="421"/>
      <c r="Q2308" s="421"/>
    </row>
    <row r="2309" spans="1:17">
      <c r="B2309" t="s">
        <v>4366</v>
      </c>
      <c r="C2309" t="s">
        <v>658</v>
      </c>
      <c r="D2309">
        <v>7.03831497267369E-9</v>
      </c>
      <c r="E2309" t="s">
        <v>94</v>
      </c>
      <c r="H2309" t="s">
        <v>588</v>
      </c>
    </row>
    <row r="2310" spans="1:17">
      <c r="B2310" t="s">
        <v>4366</v>
      </c>
      <c r="C2310" t="s">
        <v>887</v>
      </c>
      <c r="D2310">
        <v>4.7574079597023502E-7</v>
      </c>
      <c r="E2310" t="s">
        <v>94</v>
      </c>
      <c r="H2310" t="s">
        <v>588</v>
      </c>
    </row>
    <row r="2311" spans="1:17">
      <c r="B2311" t="s">
        <v>4366</v>
      </c>
      <c r="C2311" t="s">
        <v>654</v>
      </c>
      <c r="D2311">
        <v>3.8823267243364403E-8</v>
      </c>
      <c r="E2311" t="s">
        <v>94</v>
      </c>
      <c r="H2311" t="s">
        <v>588</v>
      </c>
    </row>
    <row r="2312" spans="1:17">
      <c r="B2312" t="s">
        <v>4368</v>
      </c>
      <c r="C2312" t="s">
        <v>661</v>
      </c>
      <c r="D2312">
        <v>2.1457243115815401E-14</v>
      </c>
      <c r="E2312" t="s">
        <v>94</v>
      </c>
      <c r="H2312" t="s">
        <v>588</v>
      </c>
    </row>
    <row r="2313" spans="1:17">
      <c r="B2313" t="s">
        <v>4369</v>
      </c>
      <c r="C2313" t="s">
        <v>658</v>
      </c>
      <c r="D2313">
        <v>1.5381765878212899E-10</v>
      </c>
      <c r="E2313" t="s">
        <v>94</v>
      </c>
      <c r="H2313" t="s">
        <v>588</v>
      </c>
    </row>
    <row r="2314" spans="1:17">
      <c r="B2314" t="s">
        <v>4370</v>
      </c>
      <c r="C2314" t="s">
        <v>654</v>
      </c>
      <c r="D2314">
        <v>1.24881402524831E-8</v>
      </c>
      <c r="E2314" t="s">
        <v>94</v>
      </c>
      <c r="H2314" t="s">
        <v>588</v>
      </c>
    </row>
    <row r="2315" spans="1:17">
      <c r="B2315" t="s">
        <v>4370</v>
      </c>
      <c r="C2315" t="s">
        <v>887</v>
      </c>
      <c r="D2315">
        <v>6.4450733607191499E-6</v>
      </c>
      <c r="E2315" t="s">
        <v>94</v>
      </c>
      <c r="H2315" t="s">
        <v>588</v>
      </c>
    </row>
    <row r="2316" spans="1:17">
      <c r="B2316" t="s">
        <v>4370</v>
      </c>
      <c r="C2316" t="s">
        <v>658</v>
      </c>
      <c r="D2316">
        <v>2.56684600917699E-7</v>
      </c>
      <c r="E2316" t="s">
        <v>94</v>
      </c>
      <c r="H2316" t="s">
        <v>588</v>
      </c>
    </row>
    <row r="2317" spans="1:17">
      <c r="B2317" t="s">
        <v>4373</v>
      </c>
      <c r="C2317" t="s">
        <v>654</v>
      </c>
      <c r="D2317">
        <v>5.40076638811657E-8</v>
      </c>
      <c r="E2317" t="s">
        <v>94</v>
      </c>
      <c r="H2317" t="s">
        <v>588</v>
      </c>
    </row>
    <row r="2318" spans="1:17">
      <c r="B2318" t="s">
        <v>4373</v>
      </c>
      <c r="C2318" t="s">
        <v>658</v>
      </c>
      <c r="D2318">
        <v>1.2768086019500299E-9</v>
      </c>
      <c r="E2318" t="s">
        <v>94</v>
      </c>
      <c r="H2318" t="s">
        <v>588</v>
      </c>
    </row>
    <row r="2319" spans="1:17">
      <c r="B2319" t="s">
        <v>4373</v>
      </c>
      <c r="C2319" t="s">
        <v>887</v>
      </c>
      <c r="D2319">
        <v>2.3226125767989699E-5</v>
      </c>
      <c r="E2319" t="s">
        <v>94</v>
      </c>
      <c r="H2319" t="s">
        <v>588</v>
      </c>
    </row>
    <row r="2320" spans="1:17">
      <c r="B2320" t="s">
        <v>815</v>
      </c>
      <c r="C2320" t="s">
        <v>887</v>
      </c>
      <c r="D2320">
        <v>5.6871243453165098E-6</v>
      </c>
      <c r="E2320" t="s">
        <v>94</v>
      </c>
      <c r="H2320" t="s">
        <v>588</v>
      </c>
    </row>
    <row r="2321" spans="2:8">
      <c r="B2321" t="s">
        <v>815</v>
      </c>
      <c r="C2321" t="s">
        <v>658</v>
      </c>
      <c r="D2321">
        <v>3.0513530080610399E-10</v>
      </c>
      <c r="E2321" t="s">
        <v>94</v>
      </c>
      <c r="H2321" t="s">
        <v>588</v>
      </c>
    </row>
    <row r="2322" spans="2:8">
      <c r="B2322" t="s">
        <v>815</v>
      </c>
      <c r="C2322" t="s">
        <v>654</v>
      </c>
      <c r="D2322">
        <v>2.8030645568693901E-5</v>
      </c>
      <c r="E2322" t="s">
        <v>94</v>
      </c>
      <c r="H2322" t="s">
        <v>588</v>
      </c>
    </row>
    <row r="2323" spans="2:8">
      <c r="B2323" t="s">
        <v>4377</v>
      </c>
      <c r="C2323" t="s">
        <v>661</v>
      </c>
      <c r="D2323">
        <v>2.8274983418262E-6</v>
      </c>
      <c r="E2323" t="s">
        <v>94</v>
      </c>
      <c r="H2323" t="s">
        <v>588</v>
      </c>
    </row>
    <row r="2324" spans="2:8">
      <c r="B2324" t="s">
        <v>816</v>
      </c>
      <c r="C2324" t="s">
        <v>658</v>
      </c>
      <c r="D2324">
        <v>1.7123931982431799E-9</v>
      </c>
      <c r="E2324" t="s">
        <v>94</v>
      </c>
      <c r="H2324" t="s">
        <v>588</v>
      </c>
    </row>
    <row r="2325" spans="2:8">
      <c r="B2325" t="s">
        <v>4378</v>
      </c>
      <c r="C2325" t="s">
        <v>658</v>
      </c>
      <c r="D2325">
        <v>5.3510001529996499E-7</v>
      </c>
      <c r="E2325" t="s">
        <v>890</v>
      </c>
      <c r="H2325" t="s">
        <v>588</v>
      </c>
    </row>
    <row r="2326" spans="2:8">
      <c r="B2326" t="s">
        <v>4379</v>
      </c>
      <c r="C2326" t="s">
        <v>654</v>
      </c>
      <c r="D2326">
        <v>1.5900807428336999E-10</v>
      </c>
      <c r="E2326" t="s">
        <v>94</v>
      </c>
      <c r="H2326" t="s">
        <v>588</v>
      </c>
    </row>
    <row r="2327" spans="2:8">
      <c r="B2327" t="s">
        <v>4379</v>
      </c>
      <c r="C2327" t="s">
        <v>887</v>
      </c>
      <c r="D2327">
        <v>1.44882180122319E-6</v>
      </c>
      <c r="E2327" t="s">
        <v>94</v>
      </c>
    </row>
    <row r="2328" spans="2:8">
      <c r="B2328" t="s">
        <v>711</v>
      </c>
      <c r="C2328" t="s">
        <v>887</v>
      </c>
      <c r="D2328">
        <v>1.1284828980810101E-7</v>
      </c>
      <c r="E2328" t="s">
        <v>94</v>
      </c>
      <c r="H2328" t="s">
        <v>588</v>
      </c>
    </row>
    <row r="2329" spans="2:8">
      <c r="B2329" t="s">
        <v>711</v>
      </c>
      <c r="C2329" t="s">
        <v>712</v>
      </c>
      <c r="D2329">
        <v>5.1880425274637801E-6</v>
      </c>
      <c r="E2329" t="s">
        <v>94</v>
      </c>
      <c r="H2329" t="s">
        <v>588</v>
      </c>
    </row>
    <row r="2330" spans="2:8">
      <c r="B2330" t="s">
        <v>711</v>
      </c>
      <c r="C2330" t="s">
        <v>883</v>
      </c>
      <c r="D2330">
        <v>8.3702788573444095E-6</v>
      </c>
      <c r="E2330" t="s">
        <v>94</v>
      </c>
      <c r="H2330" t="s">
        <v>588</v>
      </c>
    </row>
    <row r="2331" spans="2:8">
      <c r="B2331" t="s">
        <v>711</v>
      </c>
      <c r="C2331" t="s">
        <v>661</v>
      </c>
      <c r="D2331">
        <v>5.8064195234609602E-6</v>
      </c>
      <c r="E2331" t="s">
        <v>94</v>
      </c>
      <c r="H2331" t="s">
        <v>588</v>
      </c>
    </row>
    <row r="2332" spans="2:8">
      <c r="B2332" t="s">
        <v>711</v>
      </c>
      <c r="C2332" t="s">
        <v>654</v>
      </c>
      <c r="D2332">
        <v>9.2890576007045506E-8</v>
      </c>
      <c r="E2332" t="s">
        <v>94</v>
      </c>
      <c r="H2332" t="s">
        <v>588</v>
      </c>
    </row>
    <row r="2333" spans="2:8">
      <c r="B2333" t="s">
        <v>1526</v>
      </c>
      <c r="C2333" t="s">
        <v>667</v>
      </c>
      <c r="D2333">
        <v>1.1610652818939899E-5</v>
      </c>
      <c r="E2333" t="s">
        <v>94</v>
      </c>
      <c r="H2333" t="s">
        <v>588</v>
      </c>
    </row>
    <row r="2334" spans="2:8">
      <c r="B2334" t="s">
        <v>1526</v>
      </c>
      <c r="C2334" t="s">
        <v>667</v>
      </c>
      <c r="D2334">
        <v>1.5864733701265401E-6</v>
      </c>
      <c r="E2334" t="s">
        <v>94</v>
      </c>
      <c r="H2334" t="s">
        <v>588</v>
      </c>
    </row>
    <row r="2335" spans="2:8">
      <c r="B2335" t="s">
        <v>4383</v>
      </c>
      <c r="C2335" t="s">
        <v>670</v>
      </c>
      <c r="D2335">
        <v>1.20955895037351E-3</v>
      </c>
      <c r="E2335" t="s">
        <v>94</v>
      </c>
      <c r="H2335" t="s">
        <v>588</v>
      </c>
    </row>
    <row r="2336" spans="2:8">
      <c r="B2336" t="s">
        <v>4386</v>
      </c>
      <c r="C2336" t="s">
        <v>667</v>
      </c>
      <c r="D2336">
        <v>1.9128148519337299E-4</v>
      </c>
      <c r="E2336" t="s">
        <v>94</v>
      </c>
      <c r="H2336" t="s">
        <v>588</v>
      </c>
    </row>
    <row r="2337" spans="1:17">
      <c r="A2337" s="421" t="s">
        <v>645</v>
      </c>
      <c r="B2337" s="421" t="s">
        <v>1159</v>
      </c>
      <c r="C2337" s="421" t="s">
        <v>667</v>
      </c>
      <c r="D2337" s="421">
        <v>1</v>
      </c>
      <c r="E2337" s="421" t="s">
        <v>94</v>
      </c>
      <c r="M2337" s="421"/>
      <c r="O2337" s="421"/>
      <c r="P2337" s="421"/>
      <c r="Q2337" s="421"/>
    </row>
    <row r="2338" spans="1:17">
      <c r="B2338" t="s">
        <v>285</v>
      </c>
      <c r="C2338" t="s">
        <v>4389</v>
      </c>
      <c r="D2338">
        <v>1.46747321204403E-9</v>
      </c>
      <c r="E2338" t="s">
        <v>94</v>
      </c>
      <c r="H2338" t="s">
        <v>588</v>
      </c>
    </row>
    <row r="2339" spans="1:17">
      <c r="B2339" t="s">
        <v>285</v>
      </c>
      <c r="C2339" t="s">
        <v>658</v>
      </c>
      <c r="D2339">
        <v>6.7008021305412001E-4</v>
      </c>
      <c r="E2339" t="s">
        <v>94</v>
      </c>
      <c r="H2339" t="s">
        <v>588</v>
      </c>
    </row>
    <row r="2340" spans="1:17">
      <c r="B2340" t="s">
        <v>285</v>
      </c>
      <c r="C2340" t="s">
        <v>887</v>
      </c>
      <c r="D2340">
        <v>1.8213379759826401E-4</v>
      </c>
      <c r="E2340" t="s">
        <v>94</v>
      </c>
      <c r="H2340" t="s">
        <v>588</v>
      </c>
    </row>
    <row r="2341" spans="1:17">
      <c r="B2341" t="s">
        <v>285</v>
      </c>
      <c r="C2341" t="s">
        <v>654</v>
      </c>
      <c r="D2341">
        <v>1.0387255231301199E-5</v>
      </c>
      <c r="E2341" t="s">
        <v>94</v>
      </c>
      <c r="H2341" t="s">
        <v>588</v>
      </c>
    </row>
    <row r="2342" spans="1:17">
      <c r="B2342" t="s">
        <v>713</v>
      </c>
      <c r="C2342" t="s">
        <v>883</v>
      </c>
      <c r="D2342">
        <v>4.9322753910734904E-9</v>
      </c>
      <c r="E2342" t="s">
        <v>94</v>
      </c>
      <c r="H2342" t="s">
        <v>588</v>
      </c>
    </row>
    <row r="2343" spans="1:17">
      <c r="B2343" t="s">
        <v>713</v>
      </c>
      <c r="C2343" t="s">
        <v>661</v>
      </c>
      <c r="D2343">
        <v>4.52987601853238E-5</v>
      </c>
      <c r="E2343" t="s">
        <v>94</v>
      </c>
      <c r="H2343" t="s">
        <v>588</v>
      </c>
    </row>
    <row r="2344" spans="1:17">
      <c r="B2344" t="s">
        <v>713</v>
      </c>
      <c r="C2344" t="s">
        <v>712</v>
      </c>
      <c r="D2344">
        <v>1.8515480668822301E-7</v>
      </c>
      <c r="E2344" t="s">
        <v>94</v>
      </c>
      <c r="H2344" t="s">
        <v>588</v>
      </c>
    </row>
    <row r="2345" spans="1:17">
      <c r="B2345" t="s">
        <v>713</v>
      </c>
      <c r="C2345" t="s">
        <v>881</v>
      </c>
      <c r="D2345">
        <v>1.8033877950263499E-7</v>
      </c>
      <c r="E2345" t="s">
        <v>94</v>
      </c>
      <c r="H2345" t="s">
        <v>588</v>
      </c>
    </row>
    <row r="2346" spans="1:17">
      <c r="B2346" t="s">
        <v>4392</v>
      </c>
      <c r="C2346" t="s">
        <v>712</v>
      </c>
      <c r="D2346">
        <v>5.3606400326243899E-9</v>
      </c>
      <c r="E2346" t="s">
        <v>94</v>
      </c>
      <c r="H2346" t="s">
        <v>588</v>
      </c>
    </row>
    <row r="2347" spans="1:17">
      <c r="B2347" t="s">
        <v>4392</v>
      </c>
      <c r="C2347" t="s">
        <v>881</v>
      </c>
      <c r="D2347">
        <v>2.6445274025527999E-8</v>
      </c>
      <c r="E2347" t="s">
        <v>94</v>
      </c>
      <c r="H2347" t="s">
        <v>588</v>
      </c>
    </row>
    <row r="2348" spans="1:17">
      <c r="B2348" t="s">
        <v>714</v>
      </c>
      <c r="C2348" t="s">
        <v>712</v>
      </c>
      <c r="D2348">
        <v>3.0771682244029603E-10</v>
      </c>
      <c r="E2348" t="s">
        <v>94</v>
      </c>
      <c r="H2348" t="s">
        <v>588</v>
      </c>
    </row>
    <row r="2349" spans="1:17">
      <c r="B2349" t="s">
        <v>714</v>
      </c>
      <c r="C2349" t="s">
        <v>661</v>
      </c>
      <c r="D2349">
        <v>9.6166669703543204E-8</v>
      </c>
      <c r="E2349" t="s">
        <v>94</v>
      </c>
      <c r="H2349" t="s">
        <v>588</v>
      </c>
    </row>
    <row r="2350" spans="1:17">
      <c r="B2350" t="s">
        <v>714</v>
      </c>
      <c r="C2350" t="s">
        <v>887</v>
      </c>
      <c r="D2350">
        <v>8.8832991260488707E-9</v>
      </c>
      <c r="E2350" t="s">
        <v>94</v>
      </c>
      <c r="H2350" t="s">
        <v>588</v>
      </c>
    </row>
    <row r="2351" spans="1:17">
      <c r="B2351" t="s">
        <v>714</v>
      </c>
      <c r="C2351" t="s">
        <v>881</v>
      </c>
      <c r="D2351">
        <v>6.1573724884864796E-10</v>
      </c>
      <c r="E2351" t="s">
        <v>94</v>
      </c>
      <c r="H2351" t="s">
        <v>588</v>
      </c>
    </row>
    <row r="2352" spans="1:17">
      <c r="B2352" t="s">
        <v>714</v>
      </c>
      <c r="C2352" t="s">
        <v>654</v>
      </c>
      <c r="D2352">
        <v>2.08943134466757E-8</v>
      </c>
      <c r="E2352" t="s">
        <v>94</v>
      </c>
      <c r="H2352" t="s">
        <v>588</v>
      </c>
    </row>
    <row r="2353" spans="2:8">
      <c r="B2353" t="s">
        <v>4394</v>
      </c>
      <c r="C2353" t="s">
        <v>661</v>
      </c>
      <c r="D2353">
        <v>7.0374742300172298E-7</v>
      </c>
      <c r="E2353" t="s">
        <v>890</v>
      </c>
      <c r="H2353" t="s">
        <v>588</v>
      </c>
    </row>
    <row r="2354" spans="2:8">
      <c r="B2354" t="s">
        <v>4396</v>
      </c>
      <c r="C2354" t="s">
        <v>661</v>
      </c>
      <c r="D2354">
        <v>6.3009559605844197E-3</v>
      </c>
      <c r="E2354" t="s">
        <v>890</v>
      </c>
      <c r="H2354" t="s">
        <v>588</v>
      </c>
    </row>
    <row r="2355" spans="2:8">
      <c r="B2355" t="s">
        <v>4396</v>
      </c>
      <c r="C2355" t="s">
        <v>658</v>
      </c>
      <c r="D2355">
        <v>9.2842973987593195E-10</v>
      </c>
      <c r="E2355" t="s">
        <v>890</v>
      </c>
      <c r="H2355" t="s">
        <v>588</v>
      </c>
    </row>
    <row r="2356" spans="2:8">
      <c r="B2356" t="s">
        <v>4397</v>
      </c>
      <c r="C2356" t="s">
        <v>658</v>
      </c>
      <c r="D2356">
        <v>1.8216470905132701E-8</v>
      </c>
      <c r="E2356" t="s">
        <v>890</v>
      </c>
      <c r="H2356" t="s">
        <v>588</v>
      </c>
    </row>
    <row r="2357" spans="2:8">
      <c r="B2357" t="s">
        <v>4397</v>
      </c>
      <c r="C2357" t="s">
        <v>661</v>
      </c>
      <c r="D2357">
        <v>3.2942536532992897E-5</v>
      </c>
      <c r="E2357" t="s">
        <v>890</v>
      </c>
      <c r="H2357" t="s">
        <v>588</v>
      </c>
    </row>
    <row r="2358" spans="2:8">
      <c r="B2358" t="s">
        <v>715</v>
      </c>
      <c r="C2358" t="s">
        <v>883</v>
      </c>
      <c r="D2358">
        <v>4.9994111051874598E-11</v>
      </c>
      <c r="E2358" t="s">
        <v>94</v>
      </c>
      <c r="H2358" t="s">
        <v>588</v>
      </c>
    </row>
    <row r="2359" spans="2:8">
      <c r="B2359" t="s">
        <v>715</v>
      </c>
      <c r="C2359" t="s">
        <v>881</v>
      </c>
      <c r="D2359">
        <v>4.59423844628786E-7</v>
      </c>
      <c r="E2359" t="s">
        <v>94</v>
      </c>
      <c r="H2359" t="s">
        <v>588</v>
      </c>
    </row>
    <row r="2360" spans="2:8">
      <c r="B2360" t="s">
        <v>715</v>
      </c>
      <c r="C2360" t="s">
        <v>661</v>
      </c>
      <c r="D2360">
        <v>4.1407051446818802E-6</v>
      </c>
      <c r="E2360" t="s">
        <v>94</v>
      </c>
      <c r="H2360" t="s">
        <v>588</v>
      </c>
    </row>
    <row r="2361" spans="2:8">
      <c r="B2361" t="s">
        <v>715</v>
      </c>
      <c r="C2361" t="s">
        <v>712</v>
      </c>
      <c r="D2361">
        <v>1.3881973558013201E-7</v>
      </c>
      <c r="E2361" t="s">
        <v>94</v>
      </c>
      <c r="H2361" t="s">
        <v>588</v>
      </c>
    </row>
    <row r="2362" spans="2:8">
      <c r="B2362" t="s">
        <v>4399</v>
      </c>
      <c r="C2362" t="s">
        <v>658</v>
      </c>
      <c r="D2362">
        <v>8.6585640997804004E-4</v>
      </c>
      <c r="E2362" t="s">
        <v>890</v>
      </c>
      <c r="H2362" t="s">
        <v>588</v>
      </c>
    </row>
    <row r="2363" spans="2:8">
      <c r="B2363" t="s">
        <v>716</v>
      </c>
      <c r="C2363" t="s">
        <v>4401</v>
      </c>
      <c r="D2363">
        <v>1.16475111777078E-10</v>
      </c>
      <c r="E2363" t="s">
        <v>94</v>
      </c>
    </row>
    <row r="2364" spans="2:8">
      <c r="B2364" t="s">
        <v>716</v>
      </c>
      <c r="C2364" t="s">
        <v>4389</v>
      </c>
      <c r="D2364">
        <v>6.4688203132094197E-12</v>
      </c>
      <c r="E2364" t="s">
        <v>94</v>
      </c>
      <c r="H2364" t="s">
        <v>588</v>
      </c>
    </row>
    <row r="2365" spans="2:8">
      <c r="B2365" t="s">
        <v>716</v>
      </c>
      <c r="C2365" t="s">
        <v>658</v>
      </c>
      <c r="D2365">
        <v>3.49072441104417E-10</v>
      </c>
      <c r="E2365" t="s">
        <v>94</v>
      </c>
      <c r="H2365" t="s">
        <v>588</v>
      </c>
    </row>
    <row r="2366" spans="2:8">
      <c r="B2366" t="s">
        <v>716</v>
      </c>
      <c r="C2366" t="s">
        <v>654</v>
      </c>
      <c r="D2366">
        <v>1.68013226879112E-8</v>
      </c>
      <c r="E2366" t="s">
        <v>94</v>
      </c>
      <c r="H2366" t="s">
        <v>588</v>
      </c>
    </row>
    <row r="2367" spans="2:8">
      <c r="B2367" t="s">
        <v>716</v>
      </c>
      <c r="C2367" t="s">
        <v>887</v>
      </c>
      <c r="D2367">
        <v>2.34959873640197E-7</v>
      </c>
      <c r="E2367" t="s">
        <v>94</v>
      </c>
      <c r="H2367" t="s">
        <v>588</v>
      </c>
    </row>
    <row r="2368" spans="2:8">
      <c r="B2368" t="s">
        <v>717</v>
      </c>
      <c r="C2368" t="s">
        <v>712</v>
      </c>
      <c r="D2368">
        <v>2.9210488716598901E-8</v>
      </c>
      <c r="E2368" t="s">
        <v>94</v>
      </c>
      <c r="H2368" t="s">
        <v>588</v>
      </c>
    </row>
    <row r="2369" spans="2:8">
      <c r="B2369" t="s">
        <v>717</v>
      </c>
      <c r="C2369" t="s">
        <v>661</v>
      </c>
      <c r="D2369">
        <v>1.8764259933462501E-7</v>
      </c>
      <c r="E2369" t="s">
        <v>94</v>
      </c>
      <c r="H2369" t="s">
        <v>588</v>
      </c>
    </row>
    <row r="2370" spans="2:8">
      <c r="B2370" t="s">
        <v>717</v>
      </c>
      <c r="C2370" t="s">
        <v>881</v>
      </c>
      <c r="D2370">
        <v>4.64270960019596E-7</v>
      </c>
      <c r="E2370" t="s">
        <v>94</v>
      </c>
      <c r="H2370" t="s">
        <v>588</v>
      </c>
    </row>
    <row r="2371" spans="2:8">
      <c r="B2371" t="s">
        <v>717</v>
      </c>
      <c r="C2371" t="s">
        <v>883</v>
      </c>
      <c r="D2371">
        <v>1.8353246086130701E-9</v>
      </c>
      <c r="E2371" t="s">
        <v>94</v>
      </c>
      <c r="H2371" t="s">
        <v>588</v>
      </c>
    </row>
    <row r="2372" spans="2:8">
      <c r="B2372" t="s">
        <v>4402</v>
      </c>
      <c r="C2372" t="s">
        <v>744</v>
      </c>
      <c r="D2372">
        <v>1.56406521332838E-4</v>
      </c>
      <c r="E2372" t="s">
        <v>94</v>
      </c>
      <c r="H2372" t="s">
        <v>588</v>
      </c>
    </row>
    <row r="2373" spans="2:8">
      <c r="B2373" t="s">
        <v>4404</v>
      </c>
      <c r="C2373" t="s">
        <v>744</v>
      </c>
      <c r="D2373">
        <v>7.9464027561109397E-5</v>
      </c>
      <c r="E2373" t="s">
        <v>94</v>
      </c>
      <c r="H2373" t="s">
        <v>588</v>
      </c>
    </row>
    <row r="2374" spans="2:8">
      <c r="B2374" t="s">
        <v>4404</v>
      </c>
      <c r="C2374" t="s">
        <v>744</v>
      </c>
      <c r="D2374">
        <v>3.3820951888692999E-6</v>
      </c>
      <c r="E2374" t="s">
        <v>94</v>
      </c>
      <c r="H2374" t="s">
        <v>588</v>
      </c>
    </row>
    <row r="2375" spans="2:8">
      <c r="B2375" t="s">
        <v>4404</v>
      </c>
      <c r="C2375" t="s">
        <v>744</v>
      </c>
      <c r="D2375">
        <v>1.6910475956786999E-6</v>
      </c>
      <c r="E2375" t="s">
        <v>94</v>
      </c>
      <c r="H2375" t="s">
        <v>588</v>
      </c>
    </row>
    <row r="2376" spans="2:8">
      <c r="B2376" t="s">
        <v>4409</v>
      </c>
      <c r="C2376" t="s">
        <v>744</v>
      </c>
      <c r="D2376">
        <v>1.3744615246599999E-3</v>
      </c>
      <c r="E2376" t="s">
        <v>94</v>
      </c>
      <c r="H2376" t="s">
        <v>588</v>
      </c>
    </row>
    <row r="2377" spans="2:8">
      <c r="B2377" t="s">
        <v>4409</v>
      </c>
      <c r="C2377" t="s">
        <v>744</v>
      </c>
      <c r="D2377">
        <v>8.8801736547097001E-5</v>
      </c>
      <c r="E2377" t="s">
        <v>94</v>
      </c>
      <c r="H2377" t="s">
        <v>588</v>
      </c>
    </row>
    <row r="2378" spans="2:8">
      <c r="B2378" t="s">
        <v>4412</v>
      </c>
      <c r="C2378" t="s">
        <v>4413</v>
      </c>
      <c r="D2378">
        <v>1.3277804160355501E-6</v>
      </c>
      <c r="E2378" t="s">
        <v>94</v>
      </c>
      <c r="H2378" t="s">
        <v>588</v>
      </c>
    </row>
    <row r="2379" spans="2:8">
      <c r="B2379" t="s">
        <v>4415</v>
      </c>
      <c r="C2379" t="s">
        <v>606</v>
      </c>
      <c r="D2379">
        <v>4.2109270538384499E-3</v>
      </c>
      <c r="E2379" t="s">
        <v>94</v>
      </c>
    </row>
    <row r="2380" spans="2:8">
      <c r="B2380" t="s">
        <v>4415</v>
      </c>
      <c r="C2380" t="s">
        <v>606</v>
      </c>
      <c r="D2380">
        <v>1.9186908528293701E-3</v>
      </c>
      <c r="E2380" t="s">
        <v>94</v>
      </c>
    </row>
    <row r="2381" spans="2:8">
      <c r="B2381" t="s">
        <v>4418</v>
      </c>
      <c r="C2381" t="s">
        <v>673</v>
      </c>
      <c r="D2381">
        <v>9.4729440368572602E-4</v>
      </c>
      <c r="E2381" t="s">
        <v>94</v>
      </c>
    </row>
    <row r="2382" spans="2:8">
      <c r="B2382" t="s">
        <v>718</v>
      </c>
      <c r="C2382" t="s">
        <v>887</v>
      </c>
      <c r="D2382">
        <v>2.1516645667647199E-9</v>
      </c>
      <c r="E2382" t="s">
        <v>94</v>
      </c>
      <c r="H2382" t="s">
        <v>588</v>
      </c>
    </row>
    <row r="2383" spans="2:8">
      <c r="B2383" t="s">
        <v>718</v>
      </c>
      <c r="C2383" t="s">
        <v>712</v>
      </c>
      <c r="D2383">
        <v>1.68361234764495E-8</v>
      </c>
      <c r="E2383" t="s">
        <v>94</v>
      </c>
      <c r="H2383" t="s">
        <v>588</v>
      </c>
    </row>
    <row r="2384" spans="2:8">
      <c r="B2384" t="s">
        <v>718</v>
      </c>
      <c r="C2384" t="s">
        <v>654</v>
      </c>
      <c r="D2384">
        <v>1.7848924760527201E-9</v>
      </c>
      <c r="E2384" t="s">
        <v>94</v>
      </c>
      <c r="H2384" t="s">
        <v>588</v>
      </c>
    </row>
    <row r="2385" spans="2:8">
      <c r="B2385" t="s">
        <v>718</v>
      </c>
      <c r="C2385" t="s">
        <v>661</v>
      </c>
      <c r="D2385">
        <v>6.1426616847036404E-7</v>
      </c>
      <c r="E2385" t="s">
        <v>94</v>
      </c>
      <c r="H2385" t="s">
        <v>588</v>
      </c>
    </row>
    <row r="2386" spans="2:8">
      <c r="B2386" t="s">
        <v>4421</v>
      </c>
      <c r="C2386" t="s">
        <v>658</v>
      </c>
      <c r="D2386">
        <v>4.8130731908110799E-7</v>
      </c>
      <c r="E2386" t="s">
        <v>890</v>
      </c>
      <c r="H2386" t="s">
        <v>588</v>
      </c>
    </row>
    <row r="2387" spans="2:8">
      <c r="B2387" t="s">
        <v>4421</v>
      </c>
      <c r="C2387" t="s">
        <v>661</v>
      </c>
      <c r="D2387">
        <v>1.2517919438210499E-6</v>
      </c>
      <c r="E2387" t="s">
        <v>890</v>
      </c>
      <c r="H2387" t="s">
        <v>588</v>
      </c>
    </row>
    <row r="2388" spans="2:8">
      <c r="B2388" t="s">
        <v>4423</v>
      </c>
      <c r="C2388" t="s">
        <v>744</v>
      </c>
      <c r="D2388">
        <v>9.7931525990079706E-5</v>
      </c>
      <c r="E2388" t="s">
        <v>94</v>
      </c>
      <c r="H2388" t="s">
        <v>588</v>
      </c>
    </row>
    <row r="2389" spans="2:8">
      <c r="B2389" t="s">
        <v>719</v>
      </c>
      <c r="C2389" t="s">
        <v>883</v>
      </c>
      <c r="D2389">
        <v>2.3847330374291201E-8</v>
      </c>
      <c r="E2389" t="s">
        <v>94</v>
      </c>
      <c r="H2389" t="s">
        <v>588</v>
      </c>
    </row>
    <row r="2390" spans="2:8">
      <c r="B2390" t="s">
        <v>719</v>
      </c>
      <c r="C2390" t="s">
        <v>887</v>
      </c>
      <c r="D2390">
        <v>1.38573383572095E-5</v>
      </c>
      <c r="E2390" t="s">
        <v>94</v>
      </c>
      <c r="H2390" t="s">
        <v>588</v>
      </c>
    </row>
    <row r="2391" spans="2:8">
      <c r="B2391" t="s">
        <v>719</v>
      </c>
      <c r="C2391" t="s">
        <v>661</v>
      </c>
      <c r="D2391">
        <v>4.7642084412912799E-6</v>
      </c>
      <c r="E2391" t="s">
        <v>94</v>
      </c>
      <c r="H2391" t="s">
        <v>588</v>
      </c>
    </row>
    <row r="2392" spans="2:8">
      <c r="B2392" t="s">
        <v>719</v>
      </c>
      <c r="C2392" t="s">
        <v>654</v>
      </c>
      <c r="D2392">
        <v>2.43223992138518E-7</v>
      </c>
      <c r="E2392" t="s">
        <v>94</v>
      </c>
      <c r="H2392" t="s">
        <v>588</v>
      </c>
    </row>
    <row r="2393" spans="2:8">
      <c r="B2393" t="s">
        <v>719</v>
      </c>
      <c r="C2393" t="s">
        <v>658</v>
      </c>
      <c r="D2393">
        <v>2.5964195146492601E-7</v>
      </c>
      <c r="E2393" t="s">
        <v>94</v>
      </c>
      <c r="H2393" t="s">
        <v>588</v>
      </c>
    </row>
    <row r="2394" spans="2:8">
      <c r="B2394" t="s">
        <v>4427</v>
      </c>
      <c r="C2394" t="s">
        <v>887</v>
      </c>
      <c r="D2394">
        <v>5.8200118033416005E-7</v>
      </c>
      <c r="E2394" t="s">
        <v>94</v>
      </c>
      <c r="H2394" t="s">
        <v>588</v>
      </c>
    </row>
    <row r="2395" spans="2:8">
      <c r="B2395" t="s">
        <v>4427</v>
      </c>
      <c r="C2395" t="s">
        <v>654</v>
      </c>
      <c r="D2395">
        <v>5.4644074959796402E-9</v>
      </c>
      <c r="E2395" t="s">
        <v>94</v>
      </c>
      <c r="H2395" t="s">
        <v>588</v>
      </c>
    </row>
    <row r="2396" spans="2:8">
      <c r="B2396" t="s">
        <v>4427</v>
      </c>
      <c r="C2396" t="s">
        <v>658</v>
      </c>
      <c r="D2396">
        <v>2.3443177308457197E-10</v>
      </c>
      <c r="E2396" t="s">
        <v>94</v>
      </c>
      <c r="H2396" t="s">
        <v>588</v>
      </c>
    </row>
    <row r="2397" spans="2:8">
      <c r="B2397" t="s">
        <v>4430</v>
      </c>
      <c r="C2397" t="s">
        <v>654</v>
      </c>
      <c r="D2397">
        <v>1.3114577412932101E-15</v>
      </c>
      <c r="E2397" t="s">
        <v>94</v>
      </c>
      <c r="H2397" t="s">
        <v>588</v>
      </c>
    </row>
    <row r="2398" spans="2:8">
      <c r="B2398" t="s">
        <v>4430</v>
      </c>
      <c r="C2398" t="s">
        <v>887</v>
      </c>
      <c r="D2398">
        <v>8.8006512045196106E-14</v>
      </c>
      <c r="E2398" t="s">
        <v>94</v>
      </c>
      <c r="H2398" t="s">
        <v>588</v>
      </c>
    </row>
    <row r="2399" spans="2:8">
      <c r="B2399" t="s">
        <v>720</v>
      </c>
      <c r="C2399" t="s">
        <v>887</v>
      </c>
      <c r="D2399">
        <v>6.6028353364298904E-9</v>
      </c>
      <c r="E2399" t="s">
        <v>94</v>
      </c>
      <c r="H2399" t="s">
        <v>588</v>
      </c>
    </row>
    <row r="2400" spans="2:8">
      <c r="B2400" t="s">
        <v>720</v>
      </c>
      <c r="C2400" t="s">
        <v>654</v>
      </c>
      <c r="D2400">
        <v>1.4722154823799899E-8</v>
      </c>
      <c r="E2400" t="s">
        <v>94</v>
      </c>
      <c r="H2400" t="s">
        <v>588</v>
      </c>
    </row>
    <row r="2401" spans="2:8">
      <c r="B2401" t="s">
        <v>720</v>
      </c>
      <c r="C2401" t="s">
        <v>658</v>
      </c>
      <c r="D2401">
        <v>1.5908788023519101E-12</v>
      </c>
      <c r="E2401" t="s">
        <v>94</v>
      </c>
      <c r="H2401" t="s">
        <v>588</v>
      </c>
    </row>
    <row r="2402" spans="2:8">
      <c r="B2402" t="s">
        <v>721</v>
      </c>
      <c r="C2402" t="s">
        <v>887</v>
      </c>
      <c r="D2402">
        <v>1.30853552457743E-9</v>
      </c>
      <c r="E2402" t="s">
        <v>94</v>
      </c>
      <c r="H2402" t="s">
        <v>588</v>
      </c>
    </row>
    <row r="2403" spans="2:8">
      <c r="B2403" t="s">
        <v>721</v>
      </c>
      <c r="C2403" t="s">
        <v>712</v>
      </c>
      <c r="D2403">
        <v>2.6497530895138603E-10</v>
      </c>
      <c r="E2403" t="s">
        <v>94</v>
      </c>
      <c r="H2403" t="s">
        <v>588</v>
      </c>
    </row>
    <row r="2404" spans="2:8">
      <c r="B2404" t="s">
        <v>721</v>
      </c>
      <c r="C2404" t="s">
        <v>654</v>
      </c>
      <c r="D2404">
        <v>4.0710652162512402E-10</v>
      </c>
      <c r="E2404" t="s">
        <v>94</v>
      </c>
      <c r="H2404" t="s">
        <v>588</v>
      </c>
    </row>
    <row r="2405" spans="2:8">
      <c r="B2405" t="s">
        <v>4433</v>
      </c>
      <c r="C2405" t="s">
        <v>744</v>
      </c>
      <c r="D2405">
        <v>1.6016317516568001E-5</v>
      </c>
      <c r="E2405" t="s">
        <v>94</v>
      </c>
      <c r="H2405" t="s">
        <v>588</v>
      </c>
    </row>
    <row r="2406" spans="2:8">
      <c r="B2406" t="s">
        <v>4433</v>
      </c>
      <c r="C2406" t="s">
        <v>744</v>
      </c>
      <c r="D2406">
        <v>9.8631798433541806E-7</v>
      </c>
      <c r="E2406" t="s">
        <v>94</v>
      </c>
      <c r="H2406" t="s">
        <v>588</v>
      </c>
    </row>
    <row r="2407" spans="2:8">
      <c r="B2407" t="s">
        <v>4433</v>
      </c>
      <c r="C2407" t="s">
        <v>744</v>
      </c>
      <c r="D2407">
        <v>3.34103870870775E-5</v>
      </c>
      <c r="E2407" t="s">
        <v>94</v>
      </c>
      <c r="H2407" t="s">
        <v>588</v>
      </c>
    </row>
    <row r="2408" spans="2:8">
      <c r="B2408" t="s">
        <v>4435</v>
      </c>
      <c r="C2408" t="s">
        <v>787</v>
      </c>
      <c r="D2408">
        <v>1.3078137814966501E-2</v>
      </c>
      <c r="E2408" t="s">
        <v>94</v>
      </c>
      <c r="H2408" t="s">
        <v>588</v>
      </c>
    </row>
    <row r="2409" spans="2:8">
      <c r="B2409" t="s">
        <v>4435</v>
      </c>
      <c r="C2409" t="s">
        <v>787</v>
      </c>
      <c r="D2409">
        <v>1.46484592072774E-5</v>
      </c>
      <c r="E2409" t="s">
        <v>94</v>
      </c>
      <c r="H2409" t="s">
        <v>588</v>
      </c>
    </row>
    <row r="2410" spans="2:8">
      <c r="B2410" t="s">
        <v>4435</v>
      </c>
      <c r="C2410" t="s">
        <v>787</v>
      </c>
      <c r="D2410">
        <v>4.3215747338862499E-2</v>
      </c>
      <c r="E2410" t="s">
        <v>94</v>
      </c>
      <c r="H2410" t="s">
        <v>588</v>
      </c>
    </row>
    <row r="2411" spans="2:8">
      <c r="B2411" t="s">
        <v>4440</v>
      </c>
      <c r="C2411" t="s">
        <v>787</v>
      </c>
      <c r="D2411">
        <v>4.9936095333666305E-7</v>
      </c>
      <c r="E2411" t="s">
        <v>94</v>
      </c>
      <c r="H2411" t="s">
        <v>588</v>
      </c>
    </row>
    <row r="2412" spans="2:8">
      <c r="B2412" t="s">
        <v>4440</v>
      </c>
      <c r="C2412" t="s">
        <v>787</v>
      </c>
      <c r="D2412">
        <v>1.2686201892458199E-7</v>
      </c>
      <c r="E2412" t="s">
        <v>94</v>
      </c>
      <c r="H2412" t="s">
        <v>588</v>
      </c>
    </row>
    <row r="2413" spans="2:8">
      <c r="B2413" t="s">
        <v>4440</v>
      </c>
      <c r="C2413" t="s">
        <v>787</v>
      </c>
      <c r="D2413">
        <v>5.6215108874086702E-6</v>
      </c>
      <c r="E2413" t="s">
        <v>94</v>
      </c>
      <c r="H2413" t="s">
        <v>588</v>
      </c>
    </row>
    <row r="2414" spans="2:8">
      <c r="B2414" t="s">
        <v>4440</v>
      </c>
      <c r="C2414" t="s">
        <v>787</v>
      </c>
      <c r="D2414">
        <v>8.5376513242254495E-7</v>
      </c>
      <c r="E2414" t="s">
        <v>94</v>
      </c>
      <c r="H2414" t="s">
        <v>588</v>
      </c>
    </row>
    <row r="2415" spans="2:8">
      <c r="B2415" t="s">
        <v>722</v>
      </c>
      <c r="C2415" t="s">
        <v>881</v>
      </c>
      <c r="D2415">
        <v>4.5238036277816503E-3</v>
      </c>
      <c r="E2415" t="s">
        <v>94</v>
      </c>
      <c r="H2415" t="s">
        <v>588</v>
      </c>
    </row>
    <row r="2416" spans="2:8">
      <c r="B2416" t="s">
        <v>722</v>
      </c>
      <c r="C2416" t="s">
        <v>712</v>
      </c>
      <c r="D2416">
        <v>6.27221447503101E-5</v>
      </c>
      <c r="E2416" t="s">
        <v>94</v>
      </c>
      <c r="H2416" t="s">
        <v>588</v>
      </c>
    </row>
    <row r="2417" spans="2:8">
      <c r="B2417" t="s">
        <v>722</v>
      </c>
      <c r="C2417" t="s">
        <v>661</v>
      </c>
      <c r="D2417">
        <v>6.9730856065525204E-4</v>
      </c>
      <c r="E2417" t="s">
        <v>94</v>
      </c>
      <c r="H2417" t="s">
        <v>588</v>
      </c>
    </row>
    <row r="2418" spans="2:8">
      <c r="B2418" t="s">
        <v>722</v>
      </c>
      <c r="C2418" t="s">
        <v>883</v>
      </c>
      <c r="D2418">
        <v>1.8755054119177099E-5</v>
      </c>
      <c r="E2418" t="s">
        <v>94</v>
      </c>
      <c r="H2418" t="s">
        <v>588</v>
      </c>
    </row>
    <row r="2419" spans="2:8">
      <c r="B2419" t="s">
        <v>723</v>
      </c>
      <c r="C2419" t="s">
        <v>654</v>
      </c>
      <c r="D2419">
        <v>7.0683773431324394E-8</v>
      </c>
      <c r="E2419" t="s">
        <v>94</v>
      </c>
      <c r="H2419" t="s">
        <v>588</v>
      </c>
    </row>
    <row r="2420" spans="2:8">
      <c r="B2420" t="s">
        <v>723</v>
      </c>
      <c r="C2420" t="s">
        <v>883</v>
      </c>
      <c r="D2420">
        <v>1.04482734160457E-4</v>
      </c>
      <c r="E2420" t="s">
        <v>94</v>
      </c>
      <c r="H2420" t="s">
        <v>588</v>
      </c>
    </row>
    <row r="2421" spans="2:8">
      <c r="B2421" t="s">
        <v>723</v>
      </c>
      <c r="C2421" t="s">
        <v>661</v>
      </c>
      <c r="D2421">
        <v>3.8705642846540004E-6</v>
      </c>
      <c r="E2421" t="s">
        <v>94</v>
      </c>
      <c r="H2421" t="s">
        <v>588</v>
      </c>
    </row>
    <row r="2422" spans="2:8">
      <c r="B2422" t="s">
        <v>723</v>
      </c>
      <c r="C2422" t="s">
        <v>4401</v>
      </c>
      <c r="D2422">
        <v>2.7617887897398401E-9</v>
      </c>
      <c r="E2422" t="s">
        <v>94</v>
      </c>
      <c r="H2422" t="s">
        <v>588</v>
      </c>
    </row>
    <row r="2423" spans="2:8">
      <c r="B2423" t="s">
        <v>723</v>
      </c>
      <c r="C2423" t="s">
        <v>887</v>
      </c>
      <c r="D2423">
        <v>8.42147729646751E-8</v>
      </c>
      <c r="E2423" t="s">
        <v>94</v>
      </c>
      <c r="H2423" t="s">
        <v>588</v>
      </c>
    </row>
    <row r="2424" spans="2:8">
      <c r="B2424" t="s">
        <v>937</v>
      </c>
      <c r="C2424" t="s">
        <v>661</v>
      </c>
      <c r="D2424">
        <v>5.0667522181660803E-9</v>
      </c>
      <c r="E2424" t="s">
        <v>94</v>
      </c>
    </row>
    <row r="2425" spans="2:8">
      <c r="B2425" t="s">
        <v>4448</v>
      </c>
      <c r="C2425" t="s">
        <v>658</v>
      </c>
      <c r="D2425">
        <v>4.6887250774463402E-10</v>
      </c>
      <c r="E2425" t="s">
        <v>94</v>
      </c>
      <c r="H2425" t="s">
        <v>588</v>
      </c>
    </row>
    <row r="2426" spans="2:8">
      <c r="B2426" t="s">
        <v>4448</v>
      </c>
      <c r="C2426" t="s">
        <v>654</v>
      </c>
      <c r="D2426">
        <v>1.1739050995392099E-8</v>
      </c>
      <c r="E2426" t="s">
        <v>94</v>
      </c>
      <c r="H2426" t="s">
        <v>588</v>
      </c>
    </row>
    <row r="2427" spans="2:8">
      <c r="B2427" t="s">
        <v>4448</v>
      </c>
      <c r="C2427" t="s">
        <v>887</v>
      </c>
      <c r="D2427">
        <v>7.3204706084946496E-7</v>
      </c>
      <c r="E2427" t="s">
        <v>94</v>
      </c>
      <c r="H2427" t="s">
        <v>588</v>
      </c>
    </row>
    <row r="2428" spans="2:8">
      <c r="B2428" t="s">
        <v>4449</v>
      </c>
      <c r="C2428" t="s">
        <v>658</v>
      </c>
      <c r="D2428">
        <v>9.0689272966715104E-7</v>
      </c>
      <c r="E2428" t="s">
        <v>94</v>
      </c>
      <c r="H2428" t="s">
        <v>588</v>
      </c>
    </row>
    <row r="2429" spans="2:8">
      <c r="B2429" t="s">
        <v>4449</v>
      </c>
      <c r="C2429" t="s">
        <v>654</v>
      </c>
      <c r="D2429">
        <v>2.0120905043596599E-8</v>
      </c>
      <c r="E2429" t="s">
        <v>94</v>
      </c>
      <c r="H2429" t="s">
        <v>588</v>
      </c>
    </row>
    <row r="2430" spans="2:8">
      <c r="B2430" t="s">
        <v>4449</v>
      </c>
      <c r="C2430" t="s">
        <v>887</v>
      </c>
      <c r="D2430">
        <v>4.4988949331215598E-6</v>
      </c>
      <c r="E2430" t="s">
        <v>94</v>
      </c>
      <c r="H2430" t="s">
        <v>588</v>
      </c>
    </row>
    <row r="2431" spans="2:8">
      <c r="B2431" t="s">
        <v>724</v>
      </c>
      <c r="C2431" t="s">
        <v>658</v>
      </c>
      <c r="D2431">
        <v>1.5048538022393701E-10</v>
      </c>
      <c r="E2431" t="s">
        <v>94</v>
      </c>
      <c r="H2431" t="s">
        <v>588</v>
      </c>
    </row>
    <row r="2432" spans="2:8">
      <c r="B2432" t="s">
        <v>724</v>
      </c>
      <c r="C2432" t="s">
        <v>4413</v>
      </c>
      <c r="D2432">
        <v>1.21842250743382E-7</v>
      </c>
      <c r="E2432" t="s">
        <v>94</v>
      </c>
    </row>
    <row r="2433" spans="2:8">
      <c r="B2433" t="s">
        <v>724</v>
      </c>
      <c r="C2433" t="s">
        <v>654</v>
      </c>
      <c r="D2433">
        <v>7.4829179188173103E-9</v>
      </c>
      <c r="E2433" t="s">
        <v>94</v>
      </c>
      <c r="H2433" t="s">
        <v>588</v>
      </c>
    </row>
    <row r="2434" spans="2:8">
      <c r="B2434" t="s">
        <v>724</v>
      </c>
      <c r="C2434" t="s">
        <v>4389</v>
      </c>
      <c r="D2434">
        <v>2.3302240420152699E-11</v>
      </c>
      <c r="E2434" t="s">
        <v>94</v>
      </c>
      <c r="H2434" t="s">
        <v>588</v>
      </c>
    </row>
    <row r="2435" spans="2:8">
      <c r="B2435" t="s">
        <v>724</v>
      </c>
      <c r="C2435" t="s">
        <v>887</v>
      </c>
      <c r="D2435">
        <v>1.1802279802537699E-7</v>
      </c>
      <c r="E2435" t="s">
        <v>94</v>
      </c>
      <c r="H2435" t="s">
        <v>588</v>
      </c>
    </row>
    <row r="2436" spans="2:8">
      <c r="B2436" t="s">
        <v>725</v>
      </c>
      <c r="C2436" t="s">
        <v>883</v>
      </c>
      <c r="D2436">
        <v>3.1264415436181001E-10</v>
      </c>
      <c r="E2436" t="s">
        <v>94</v>
      </c>
      <c r="H2436" t="s">
        <v>588</v>
      </c>
    </row>
    <row r="2437" spans="2:8">
      <c r="B2437" t="s">
        <v>725</v>
      </c>
      <c r="C2437" t="s">
        <v>881</v>
      </c>
      <c r="D2437">
        <v>8.9564979081199594E-8</v>
      </c>
      <c r="E2437" t="s">
        <v>94</v>
      </c>
      <c r="H2437" t="s">
        <v>588</v>
      </c>
    </row>
    <row r="2438" spans="2:8">
      <c r="B2438" t="s">
        <v>725</v>
      </c>
      <c r="C2438" t="s">
        <v>661</v>
      </c>
      <c r="D2438">
        <v>2.1983640162169501E-8</v>
      </c>
      <c r="E2438" t="s">
        <v>94</v>
      </c>
      <c r="H2438" t="s">
        <v>588</v>
      </c>
    </row>
    <row r="2439" spans="2:8">
      <c r="B2439" t="s">
        <v>725</v>
      </c>
      <c r="C2439" t="s">
        <v>712</v>
      </c>
      <c r="D2439">
        <v>1.72291717784441E-8</v>
      </c>
      <c r="E2439" t="s">
        <v>94</v>
      </c>
      <c r="H2439" t="s">
        <v>588</v>
      </c>
    </row>
    <row r="2440" spans="2:8">
      <c r="B2440" t="s">
        <v>4452</v>
      </c>
      <c r="C2440" t="s">
        <v>654</v>
      </c>
      <c r="D2440">
        <v>1.4454461865558499E-6</v>
      </c>
      <c r="E2440" t="s">
        <v>94</v>
      </c>
      <c r="H2440" t="s">
        <v>588</v>
      </c>
    </row>
    <row r="2441" spans="2:8">
      <c r="B2441" t="s">
        <v>4452</v>
      </c>
      <c r="C2441" t="s">
        <v>658</v>
      </c>
      <c r="D2441">
        <v>4.5818697878177E-8</v>
      </c>
      <c r="E2441" t="s">
        <v>94</v>
      </c>
      <c r="H2441" t="s">
        <v>588</v>
      </c>
    </row>
    <row r="2442" spans="2:8">
      <c r="B2442" t="s">
        <v>4452</v>
      </c>
      <c r="C2442" t="s">
        <v>4389</v>
      </c>
      <c r="D2442">
        <v>6.6930206615920802E-11</v>
      </c>
      <c r="E2442" t="s">
        <v>94</v>
      </c>
      <c r="H2442" t="s">
        <v>588</v>
      </c>
    </row>
    <row r="2443" spans="2:8">
      <c r="B2443" t="s">
        <v>4452</v>
      </c>
      <c r="C2443" t="s">
        <v>887</v>
      </c>
      <c r="D2443">
        <v>7.2426584352902506E-5</v>
      </c>
      <c r="E2443" t="s">
        <v>94</v>
      </c>
      <c r="H2443" t="s">
        <v>588</v>
      </c>
    </row>
    <row r="2444" spans="2:8">
      <c r="B2444" t="s">
        <v>884</v>
      </c>
      <c r="C2444" t="s">
        <v>883</v>
      </c>
      <c r="D2444">
        <v>1.0397911234999301E-2</v>
      </c>
      <c r="E2444" t="s">
        <v>94</v>
      </c>
      <c r="H2444" t="s">
        <v>588</v>
      </c>
    </row>
    <row r="2445" spans="2:8">
      <c r="B2445" t="s">
        <v>884</v>
      </c>
      <c r="C2445" t="s">
        <v>661</v>
      </c>
      <c r="D2445">
        <v>9.4157830594782501E-4</v>
      </c>
      <c r="E2445" t="s">
        <v>94</v>
      </c>
      <c r="H2445" t="s">
        <v>588</v>
      </c>
    </row>
    <row r="2446" spans="2:8">
      <c r="B2446" t="s">
        <v>726</v>
      </c>
      <c r="C2446" t="s">
        <v>654</v>
      </c>
      <c r="D2446">
        <v>0.115872558306006</v>
      </c>
      <c r="E2446" t="s">
        <v>94</v>
      </c>
      <c r="H2446" t="s">
        <v>588</v>
      </c>
    </row>
    <row r="2447" spans="2:8">
      <c r="B2447" t="s">
        <v>726</v>
      </c>
      <c r="C2447" t="s">
        <v>658</v>
      </c>
      <c r="D2447">
        <v>2.36504372378885E-2</v>
      </c>
      <c r="E2447" t="s">
        <v>94</v>
      </c>
      <c r="H2447" t="s">
        <v>588</v>
      </c>
    </row>
    <row r="2448" spans="2:8">
      <c r="B2448" t="s">
        <v>726</v>
      </c>
      <c r="C2448" t="s">
        <v>887</v>
      </c>
      <c r="D2448">
        <v>2.0755324597400602</v>
      </c>
      <c r="E2448" t="s">
        <v>94</v>
      </c>
      <c r="H2448" t="s">
        <v>588</v>
      </c>
    </row>
    <row r="2449" spans="2:8">
      <c r="B2449" t="s">
        <v>726</v>
      </c>
      <c r="C2449" t="s">
        <v>4455</v>
      </c>
      <c r="D2449">
        <v>1.42059321853344E-3</v>
      </c>
      <c r="E2449" t="s">
        <v>94</v>
      </c>
      <c r="H2449" t="s">
        <v>588</v>
      </c>
    </row>
    <row r="2450" spans="2:8">
      <c r="B2450" t="s">
        <v>4457</v>
      </c>
      <c r="C2450" t="s">
        <v>658</v>
      </c>
      <c r="D2450">
        <v>1.2645221797990701E-3</v>
      </c>
      <c r="E2450" t="s">
        <v>94</v>
      </c>
      <c r="H2450" t="s">
        <v>4458</v>
      </c>
    </row>
    <row r="2451" spans="2:8">
      <c r="B2451" t="s">
        <v>727</v>
      </c>
      <c r="C2451" t="s">
        <v>658</v>
      </c>
      <c r="D2451">
        <v>1.98118939217037E-2</v>
      </c>
      <c r="E2451" t="s">
        <v>94</v>
      </c>
      <c r="H2451" t="s">
        <v>588</v>
      </c>
    </row>
    <row r="2452" spans="2:8">
      <c r="B2452" t="s">
        <v>727</v>
      </c>
      <c r="C2452" t="s">
        <v>654</v>
      </c>
      <c r="D2452">
        <v>2.4646249303967398E-2</v>
      </c>
      <c r="E2452" t="s">
        <v>94</v>
      </c>
      <c r="H2452" t="s">
        <v>588</v>
      </c>
    </row>
    <row r="2453" spans="2:8">
      <c r="B2453" t="s">
        <v>727</v>
      </c>
      <c r="C2453" t="s">
        <v>887</v>
      </c>
      <c r="D2453">
        <v>1.28928986862256</v>
      </c>
      <c r="E2453" t="s">
        <v>94</v>
      </c>
      <c r="H2453" t="s">
        <v>588</v>
      </c>
    </row>
    <row r="2454" spans="2:8">
      <c r="B2454" t="s">
        <v>817</v>
      </c>
      <c r="C2454" t="s">
        <v>887</v>
      </c>
      <c r="D2454">
        <v>2.9528252780084499E-9</v>
      </c>
      <c r="E2454" t="s">
        <v>94</v>
      </c>
    </row>
    <row r="2455" spans="2:8">
      <c r="B2455" t="s">
        <v>728</v>
      </c>
      <c r="C2455" t="s">
        <v>654</v>
      </c>
      <c r="D2455">
        <v>1.02099730783939E-4</v>
      </c>
      <c r="E2455" t="s">
        <v>94</v>
      </c>
      <c r="H2455" t="s">
        <v>588</v>
      </c>
    </row>
    <row r="2456" spans="2:8">
      <c r="B2456" t="s">
        <v>728</v>
      </c>
      <c r="C2456" t="s">
        <v>658</v>
      </c>
      <c r="D2456">
        <v>1.47088575320232E-5</v>
      </c>
      <c r="E2456" t="s">
        <v>94</v>
      </c>
      <c r="H2456" t="s">
        <v>588</v>
      </c>
    </row>
    <row r="2457" spans="2:8">
      <c r="B2457" t="s">
        <v>728</v>
      </c>
      <c r="C2457" t="s">
        <v>887</v>
      </c>
      <c r="D2457">
        <v>6.5204247933634398E-4</v>
      </c>
      <c r="E2457" t="s">
        <v>94</v>
      </c>
      <c r="H2457" t="s">
        <v>588</v>
      </c>
    </row>
    <row r="2458" spans="2:8">
      <c r="B2458" t="s">
        <v>4461</v>
      </c>
      <c r="C2458" t="s">
        <v>658</v>
      </c>
      <c r="D2458">
        <v>5.4287011118297903E-5</v>
      </c>
      <c r="E2458" t="s">
        <v>94</v>
      </c>
      <c r="H2458" t="s">
        <v>588</v>
      </c>
    </row>
    <row r="2459" spans="2:8">
      <c r="B2459" t="s">
        <v>4461</v>
      </c>
      <c r="C2459" t="s">
        <v>887</v>
      </c>
      <c r="D2459">
        <v>1.5471945251229601E-3</v>
      </c>
      <c r="E2459" t="s">
        <v>94</v>
      </c>
      <c r="H2459" t="s">
        <v>588</v>
      </c>
    </row>
    <row r="2460" spans="2:8">
      <c r="B2460" t="s">
        <v>4461</v>
      </c>
      <c r="C2460" t="s">
        <v>654</v>
      </c>
      <c r="D2460">
        <v>4.5310673515987602E-5</v>
      </c>
      <c r="E2460" t="s">
        <v>94</v>
      </c>
      <c r="H2460" t="s">
        <v>588</v>
      </c>
    </row>
    <row r="2461" spans="2:8">
      <c r="B2461" t="s">
        <v>4462</v>
      </c>
      <c r="C2461" t="s">
        <v>658</v>
      </c>
      <c r="D2461">
        <v>1.6165080086192701E-2</v>
      </c>
      <c r="E2461" t="s">
        <v>890</v>
      </c>
      <c r="H2461" t="s">
        <v>588</v>
      </c>
    </row>
    <row r="2462" spans="2:8">
      <c r="B2462" t="s">
        <v>4462</v>
      </c>
      <c r="C2462" t="s">
        <v>661</v>
      </c>
      <c r="D2462">
        <v>6.9986498972401403E-4</v>
      </c>
      <c r="E2462" t="s">
        <v>890</v>
      </c>
      <c r="H2462" t="s">
        <v>588</v>
      </c>
    </row>
    <row r="2463" spans="2:8">
      <c r="B2463" t="s">
        <v>4463</v>
      </c>
      <c r="C2463" t="s">
        <v>883</v>
      </c>
      <c r="D2463">
        <v>3.0818648208610203E-5</v>
      </c>
      <c r="E2463" t="s">
        <v>94</v>
      </c>
      <c r="H2463" t="s">
        <v>588</v>
      </c>
    </row>
    <row r="2464" spans="2:8">
      <c r="B2464" t="s">
        <v>4463</v>
      </c>
      <c r="C2464" t="s">
        <v>661</v>
      </c>
      <c r="D2464">
        <v>6.0872807627809298E-5</v>
      </c>
      <c r="E2464" t="s">
        <v>94</v>
      </c>
      <c r="H2464" t="s">
        <v>588</v>
      </c>
    </row>
    <row r="2465" spans="2:8">
      <c r="B2465" t="s">
        <v>4465</v>
      </c>
      <c r="C2465" t="s">
        <v>883</v>
      </c>
      <c r="D2465">
        <v>1.98425804893892E-6</v>
      </c>
      <c r="E2465" t="s">
        <v>94</v>
      </c>
      <c r="H2465" t="s">
        <v>588</v>
      </c>
    </row>
    <row r="2466" spans="2:8">
      <c r="B2466" t="s">
        <v>4467</v>
      </c>
      <c r="C2466" t="s">
        <v>658</v>
      </c>
      <c r="D2466">
        <v>1.16644249310592E-7</v>
      </c>
      <c r="E2466" t="s">
        <v>890</v>
      </c>
      <c r="H2466" t="s">
        <v>588</v>
      </c>
    </row>
    <row r="2467" spans="2:8">
      <c r="B2467" t="s">
        <v>4467</v>
      </c>
      <c r="C2467" t="s">
        <v>661</v>
      </c>
      <c r="D2467">
        <v>5.8186445513471001E-7</v>
      </c>
      <c r="E2467" t="s">
        <v>890</v>
      </c>
      <c r="H2467" t="s">
        <v>588</v>
      </c>
    </row>
    <row r="2468" spans="2:8">
      <c r="B2468" t="s">
        <v>4468</v>
      </c>
      <c r="C2468" t="s">
        <v>661</v>
      </c>
      <c r="D2468">
        <v>3.7522816137924699E-7</v>
      </c>
      <c r="E2468" t="s">
        <v>890</v>
      </c>
      <c r="H2468" t="s">
        <v>588</v>
      </c>
    </row>
    <row r="2469" spans="2:8">
      <c r="B2469" t="s">
        <v>4469</v>
      </c>
      <c r="C2469" t="s">
        <v>661</v>
      </c>
      <c r="D2469">
        <v>3.9634863648032898E-5</v>
      </c>
      <c r="E2469" t="s">
        <v>890</v>
      </c>
      <c r="H2469" t="s">
        <v>588</v>
      </c>
    </row>
    <row r="2470" spans="2:8">
      <c r="B2470" t="s">
        <v>4469</v>
      </c>
      <c r="C2470" t="s">
        <v>658</v>
      </c>
      <c r="D2470">
        <v>5.5865095013497402E-9</v>
      </c>
      <c r="E2470" t="s">
        <v>890</v>
      </c>
      <c r="H2470" t="s">
        <v>588</v>
      </c>
    </row>
    <row r="2471" spans="2:8">
      <c r="B2471" t="s">
        <v>4470</v>
      </c>
      <c r="C2471" t="s">
        <v>661</v>
      </c>
      <c r="D2471">
        <v>2.1875334719411501E-7</v>
      </c>
      <c r="E2471" t="s">
        <v>890</v>
      </c>
      <c r="H2471" t="s">
        <v>588</v>
      </c>
    </row>
    <row r="2472" spans="2:8">
      <c r="B2472" t="s">
        <v>4471</v>
      </c>
      <c r="C2472" t="s">
        <v>658</v>
      </c>
      <c r="D2472">
        <v>1.02396723980907E-7</v>
      </c>
      <c r="E2472" t="s">
        <v>890</v>
      </c>
      <c r="H2472" t="s">
        <v>588</v>
      </c>
    </row>
    <row r="2473" spans="2:8">
      <c r="B2473" t="s">
        <v>4471</v>
      </c>
      <c r="C2473" t="s">
        <v>661</v>
      </c>
      <c r="D2473">
        <v>2.2146723648871399E-4</v>
      </c>
      <c r="E2473" t="s">
        <v>890</v>
      </c>
      <c r="H2473" t="s">
        <v>588</v>
      </c>
    </row>
    <row r="2474" spans="2:8">
      <c r="B2474" t="s">
        <v>938</v>
      </c>
      <c r="C2474" t="s">
        <v>661</v>
      </c>
      <c r="D2474">
        <v>4.7500956503805496E-6</v>
      </c>
      <c r="E2474" t="s">
        <v>94</v>
      </c>
    </row>
    <row r="2475" spans="2:8">
      <c r="B2475" t="s">
        <v>729</v>
      </c>
      <c r="C2475" t="s">
        <v>661</v>
      </c>
      <c r="D2475">
        <v>9.7047557962163401E-3</v>
      </c>
      <c r="E2475" t="s">
        <v>94</v>
      </c>
      <c r="H2475" t="s">
        <v>588</v>
      </c>
    </row>
    <row r="2476" spans="2:8">
      <c r="B2476" t="s">
        <v>729</v>
      </c>
      <c r="C2476" t="s">
        <v>712</v>
      </c>
      <c r="D2476">
        <v>5.0640237369557803E-5</v>
      </c>
      <c r="E2476" t="s">
        <v>94</v>
      </c>
      <c r="H2476" t="s">
        <v>588</v>
      </c>
    </row>
    <row r="2477" spans="2:8">
      <c r="B2477" t="s">
        <v>729</v>
      </c>
      <c r="C2477" t="s">
        <v>883</v>
      </c>
      <c r="D2477">
        <v>0.49277552716571899</v>
      </c>
      <c r="E2477" t="s">
        <v>94</v>
      </c>
      <c r="H2477" t="s">
        <v>588</v>
      </c>
    </row>
    <row r="2478" spans="2:8">
      <c r="B2478" t="s">
        <v>4472</v>
      </c>
      <c r="C2478" t="s">
        <v>712</v>
      </c>
      <c r="D2478">
        <v>3.7916289304561098E-6</v>
      </c>
      <c r="E2478" t="s">
        <v>94</v>
      </c>
      <c r="H2478" t="s">
        <v>588</v>
      </c>
    </row>
    <row r="2479" spans="2:8">
      <c r="B2479" t="s">
        <v>939</v>
      </c>
      <c r="C2479" t="s">
        <v>661</v>
      </c>
      <c r="D2479">
        <v>1.06908966811468E-5</v>
      </c>
      <c r="E2479" t="s">
        <v>94</v>
      </c>
    </row>
    <row r="2480" spans="2:8">
      <c r="B2480" t="s">
        <v>269</v>
      </c>
      <c r="C2480" t="s">
        <v>712</v>
      </c>
      <c r="D2480">
        <v>2.83254442606345E-6</v>
      </c>
      <c r="E2480" t="s">
        <v>94</v>
      </c>
      <c r="H2480" t="s">
        <v>588</v>
      </c>
    </row>
    <row r="2481" spans="2:8">
      <c r="B2481" t="s">
        <v>269</v>
      </c>
      <c r="C2481" t="s">
        <v>658</v>
      </c>
      <c r="D2481">
        <v>1.40662654532663E-9</v>
      </c>
      <c r="E2481" t="s">
        <v>94</v>
      </c>
      <c r="H2481" t="s">
        <v>588</v>
      </c>
    </row>
    <row r="2482" spans="2:8">
      <c r="B2482" t="s">
        <v>269</v>
      </c>
      <c r="C2482" t="s">
        <v>881</v>
      </c>
      <c r="D2482">
        <v>6.0461462299402598E-8</v>
      </c>
      <c r="E2482" t="s">
        <v>94</v>
      </c>
      <c r="H2482" t="s">
        <v>588</v>
      </c>
    </row>
    <row r="2483" spans="2:8">
      <c r="B2483" t="s">
        <v>269</v>
      </c>
      <c r="C2483" t="s">
        <v>887</v>
      </c>
      <c r="D2483">
        <v>3.9406502501399798E-6</v>
      </c>
      <c r="E2483" t="s">
        <v>94</v>
      </c>
      <c r="H2483" t="s">
        <v>588</v>
      </c>
    </row>
    <row r="2484" spans="2:8">
      <c r="B2484" t="s">
        <v>269</v>
      </c>
      <c r="C2484" t="s">
        <v>661</v>
      </c>
      <c r="D2484">
        <v>4.2373418870916801E-7</v>
      </c>
      <c r="E2484" t="s">
        <v>94</v>
      </c>
      <c r="H2484" t="s">
        <v>588</v>
      </c>
    </row>
    <row r="2485" spans="2:8">
      <c r="B2485" t="s">
        <v>269</v>
      </c>
      <c r="C2485" t="s">
        <v>4455</v>
      </c>
      <c r="D2485">
        <v>4.7724491326506805E-10</v>
      </c>
      <c r="E2485" t="s">
        <v>94</v>
      </c>
      <c r="H2485" t="s">
        <v>588</v>
      </c>
    </row>
    <row r="2486" spans="2:8">
      <c r="B2486" t="s">
        <v>269</v>
      </c>
      <c r="C2486" t="s">
        <v>654</v>
      </c>
      <c r="D2486">
        <v>3.2859338696429502E-8</v>
      </c>
      <c r="E2486" t="s">
        <v>94</v>
      </c>
      <c r="H2486" t="s">
        <v>588</v>
      </c>
    </row>
    <row r="2487" spans="2:8">
      <c r="B2487" t="s">
        <v>4476</v>
      </c>
      <c r="C2487" t="s">
        <v>4413</v>
      </c>
      <c r="D2487">
        <v>6.0530784773372195E-8</v>
      </c>
      <c r="E2487" t="s">
        <v>94</v>
      </c>
      <c r="H2487" t="s">
        <v>588</v>
      </c>
    </row>
    <row r="2488" spans="2:8">
      <c r="B2488" t="s">
        <v>4478</v>
      </c>
      <c r="C2488" t="s">
        <v>4413</v>
      </c>
      <c r="D2488">
        <v>3.4553043825182401E-7</v>
      </c>
      <c r="E2488" t="s">
        <v>94</v>
      </c>
      <c r="H2488" t="s">
        <v>588</v>
      </c>
    </row>
    <row r="2489" spans="2:8">
      <c r="B2489" t="s">
        <v>730</v>
      </c>
      <c r="C2489" t="s">
        <v>654</v>
      </c>
      <c r="D2489">
        <v>2.3902147248629E-8</v>
      </c>
      <c r="E2489" t="s">
        <v>94</v>
      </c>
      <c r="H2489" t="s">
        <v>588</v>
      </c>
    </row>
    <row r="2490" spans="2:8">
      <c r="B2490" t="s">
        <v>730</v>
      </c>
      <c r="C2490" t="s">
        <v>4389</v>
      </c>
      <c r="D2490">
        <v>1.0003339890652599E-13</v>
      </c>
      <c r="E2490" t="s">
        <v>94</v>
      </c>
      <c r="H2490" t="s">
        <v>588</v>
      </c>
    </row>
    <row r="2491" spans="2:8">
      <c r="B2491" t="s">
        <v>730</v>
      </c>
      <c r="C2491" t="s">
        <v>4413</v>
      </c>
      <c r="D2491">
        <v>1.5810613540141501E-6</v>
      </c>
      <c r="E2491" t="s">
        <v>94</v>
      </c>
    </row>
    <row r="2492" spans="2:8">
      <c r="B2492" t="s">
        <v>730</v>
      </c>
      <c r="C2492" t="s">
        <v>658</v>
      </c>
      <c r="D2492">
        <v>9.5601470387902697E-11</v>
      </c>
      <c r="E2492" t="s">
        <v>94</v>
      </c>
      <c r="H2492" t="s">
        <v>588</v>
      </c>
    </row>
    <row r="2493" spans="2:8">
      <c r="B2493" t="s">
        <v>730</v>
      </c>
      <c r="C2493" t="s">
        <v>887</v>
      </c>
      <c r="D2493">
        <v>4.8314766967712597E-7</v>
      </c>
      <c r="E2493" t="s">
        <v>94</v>
      </c>
      <c r="H2493" t="s">
        <v>588</v>
      </c>
    </row>
    <row r="2494" spans="2:8">
      <c r="B2494" t="s">
        <v>731</v>
      </c>
      <c r="C2494" t="s">
        <v>881</v>
      </c>
      <c r="D2494">
        <v>9.5494432093046907E-9</v>
      </c>
      <c r="E2494" t="s">
        <v>94</v>
      </c>
      <c r="H2494" t="s">
        <v>588</v>
      </c>
    </row>
    <row r="2495" spans="2:8">
      <c r="B2495" t="s">
        <v>731</v>
      </c>
      <c r="C2495" t="s">
        <v>887</v>
      </c>
      <c r="D2495">
        <v>7.6904387132656102E-9</v>
      </c>
      <c r="E2495" t="s">
        <v>94</v>
      </c>
      <c r="H2495" t="s">
        <v>588</v>
      </c>
    </row>
    <row r="2496" spans="2:8">
      <c r="B2496" t="s">
        <v>731</v>
      </c>
      <c r="C2496" t="s">
        <v>712</v>
      </c>
      <c r="D2496">
        <v>7.1248515329150898E-9</v>
      </c>
      <c r="E2496" t="s">
        <v>94</v>
      </c>
      <c r="H2496" t="s">
        <v>588</v>
      </c>
    </row>
    <row r="2497" spans="2:8">
      <c r="B2497" t="s">
        <v>731</v>
      </c>
      <c r="C2497" t="s">
        <v>658</v>
      </c>
      <c r="D2497">
        <v>2.8105823369012699E-12</v>
      </c>
      <c r="E2497" t="s">
        <v>94</v>
      </c>
      <c r="H2497" t="s">
        <v>588</v>
      </c>
    </row>
    <row r="2498" spans="2:8">
      <c r="B2498" t="s">
        <v>731</v>
      </c>
      <c r="C2498" t="s">
        <v>661</v>
      </c>
      <c r="D2498">
        <v>3.9468945862895599E-7</v>
      </c>
      <c r="E2498" t="s">
        <v>94</v>
      </c>
      <c r="H2498" t="s">
        <v>588</v>
      </c>
    </row>
    <row r="2499" spans="2:8">
      <c r="B2499" t="s">
        <v>731</v>
      </c>
      <c r="C2499" t="s">
        <v>654</v>
      </c>
      <c r="D2499">
        <v>9.4634956818687605E-11</v>
      </c>
      <c r="E2499" t="s">
        <v>94</v>
      </c>
      <c r="H2499" t="s">
        <v>588</v>
      </c>
    </row>
    <row r="2500" spans="2:8">
      <c r="B2500" t="s">
        <v>731</v>
      </c>
      <c r="C2500" t="s">
        <v>4401</v>
      </c>
      <c r="D2500">
        <v>1.55624319169801E-8</v>
      </c>
      <c r="E2500" t="s">
        <v>94</v>
      </c>
      <c r="H2500" t="s">
        <v>588</v>
      </c>
    </row>
    <row r="2501" spans="2:8">
      <c r="B2501" t="s">
        <v>732</v>
      </c>
      <c r="C2501" t="s">
        <v>883</v>
      </c>
      <c r="D2501">
        <v>3.6586453588611301E-11</v>
      </c>
      <c r="E2501" t="s">
        <v>94</v>
      </c>
      <c r="H2501" t="s">
        <v>588</v>
      </c>
    </row>
    <row r="2502" spans="2:8">
      <c r="B2502" t="s">
        <v>732</v>
      </c>
      <c r="C2502" t="s">
        <v>661</v>
      </c>
      <c r="D2502">
        <v>1.6307721321543601E-5</v>
      </c>
      <c r="E2502" t="s">
        <v>94</v>
      </c>
      <c r="H2502" t="s">
        <v>588</v>
      </c>
    </row>
    <row r="2503" spans="2:8">
      <c r="B2503" t="s">
        <v>732</v>
      </c>
      <c r="C2503" t="s">
        <v>881</v>
      </c>
      <c r="D2503">
        <v>2.6744416155563701E-7</v>
      </c>
      <c r="E2503" t="s">
        <v>94</v>
      </c>
      <c r="H2503" t="s">
        <v>588</v>
      </c>
    </row>
    <row r="2504" spans="2:8">
      <c r="B2504" t="s">
        <v>732</v>
      </c>
      <c r="C2504" t="s">
        <v>712</v>
      </c>
      <c r="D2504">
        <v>7.2450169589750602E-8</v>
      </c>
      <c r="E2504" t="s">
        <v>94</v>
      </c>
      <c r="H2504" t="s">
        <v>588</v>
      </c>
    </row>
    <row r="2505" spans="2:8">
      <c r="B2505" t="s">
        <v>4481</v>
      </c>
      <c r="C2505" t="s">
        <v>658</v>
      </c>
      <c r="D2505">
        <v>7.4745428050465104E-9</v>
      </c>
      <c r="E2505" t="s">
        <v>890</v>
      </c>
      <c r="H2505" t="s">
        <v>588</v>
      </c>
    </row>
    <row r="2506" spans="2:8">
      <c r="B2506" t="s">
        <v>4481</v>
      </c>
      <c r="C2506" t="s">
        <v>661</v>
      </c>
      <c r="D2506">
        <v>9.5188551554535602E-5</v>
      </c>
      <c r="E2506" t="s">
        <v>890</v>
      </c>
      <c r="H2506" t="s">
        <v>588</v>
      </c>
    </row>
    <row r="2507" spans="2:8">
      <c r="B2507" t="s">
        <v>4482</v>
      </c>
      <c r="C2507" t="s">
        <v>654</v>
      </c>
      <c r="D2507">
        <v>3.5877975694314997E-14</v>
      </c>
      <c r="E2507" t="s">
        <v>94</v>
      </c>
      <c r="H2507" t="s">
        <v>588</v>
      </c>
    </row>
    <row r="2508" spans="2:8">
      <c r="B2508" t="s">
        <v>4484</v>
      </c>
      <c r="C2508" t="s">
        <v>744</v>
      </c>
      <c r="D2508">
        <v>3.8970782947885298E-5</v>
      </c>
      <c r="E2508" t="s">
        <v>94</v>
      </c>
    </row>
    <row r="2509" spans="2:8">
      <c r="B2509" t="s">
        <v>733</v>
      </c>
      <c r="C2509" t="s">
        <v>661</v>
      </c>
      <c r="D2509">
        <v>9.3152638717344501E-9</v>
      </c>
      <c r="E2509" t="s">
        <v>94</v>
      </c>
      <c r="H2509" t="s">
        <v>588</v>
      </c>
    </row>
    <row r="2510" spans="2:8">
      <c r="B2510" t="s">
        <v>733</v>
      </c>
      <c r="C2510" t="s">
        <v>887</v>
      </c>
      <c r="D2510">
        <v>1.16966596693001E-6</v>
      </c>
      <c r="E2510" t="s">
        <v>94</v>
      </c>
      <c r="H2510" t="s">
        <v>588</v>
      </c>
    </row>
    <row r="2511" spans="2:8">
      <c r="B2511" t="s">
        <v>733</v>
      </c>
      <c r="C2511" t="s">
        <v>654</v>
      </c>
      <c r="D2511">
        <v>3.7536829477954097E-9</v>
      </c>
      <c r="E2511" t="s">
        <v>94</v>
      </c>
      <c r="H2511" t="s">
        <v>588</v>
      </c>
    </row>
    <row r="2512" spans="2:8">
      <c r="B2512" t="s">
        <v>733</v>
      </c>
      <c r="C2512" t="s">
        <v>712</v>
      </c>
      <c r="D2512">
        <v>3.8936001451444704E-9</v>
      </c>
      <c r="E2512" t="s">
        <v>94</v>
      </c>
      <c r="H2512" t="s">
        <v>588</v>
      </c>
    </row>
    <row r="2513" spans="2:8">
      <c r="B2513" t="s">
        <v>733</v>
      </c>
      <c r="C2513" t="s">
        <v>658</v>
      </c>
      <c r="D2513">
        <v>6.7133015341066904E-11</v>
      </c>
      <c r="E2513" t="s">
        <v>94</v>
      </c>
      <c r="H2513" t="s">
        <v>588</v>
      </c>
    </row>
    <row r="2514" spans="2:8">
      <c r="B2514" t="s">
        <v>4487</v>
      </c>
      <c r="C2514" t="s">
        <v>661</v>
      </c>
      <c r="D2514">
        <v>6.9440564305036202E-6</v>
      </c>
      <c r="E2514" t="s">
        <v>890</v>
      </c>
      <c r="H2514" t="s">
        <v>588</v>
      </c>
    </row>
    <row r="2515" spans="2:8">
      <c r="B2515" t="s">
        <v>4488</v>
      </c>
      <c r="C2515" t="s">
        <v>661</v>
      </c>
      <c r="D2515">
        <v>9.0870141136847795E-4</v>
      </c>
      <c r="E2515" t="s">
        <v>890</v>
      </c>
      <c r="H2515" t="s">
        <v>588</v>
      </c>
    </row>
    <row r="2516" spans="2:8">
      <c r="B2516" t="s">
        <v>4488</v>
      </c>
      <c r="C2516" t="s">
        <v>658</v>
      </c>
      <c r="D2516">
        <v>1.7991520189402499E-8</v>
      </c>
      <c r="E2516" t="s">
        <v>890</v>
      </c>
      <c r="H2516" t="s">
        <v>588</v>
      </c>
    </row>
    <row r="2517" spans="2:8">
      <c r="B2517" t="s">
        <v>4489</v>
      </c>
      <c r="C2517" t="s">
        <v>658</v>
      </c>
      <c r="D2517">
        <v>1.2695198773268E-7</v>
      </c>
      <c r="E2517" t="s">
        <v>890</v>
      </c>
      <c r="H2517" t="s">
        <v>588</v>
      </c>
    </row>
    <row r="2518" spans="2:8">
      <c r="B2518" t="s">
        <v>4489</v>
      </c>
      <c r="C2518" t="s">
        <v>661</v>
      </c>
      <c r="D2518">
        <v>6.0136585758020897E-4</v>
      </c>
      <c r="E2518" t="s">
        <v>890</v>
      </c>
      <c r="H2518" t="s">
        <v>588</v>
      </c>
    </row>
    <row r="2519" spans="2:8">
      <c r="B2519" t="s">
        <v>734</v>
      </c>
      <c r="C2519" t="s">
        <v>661</v>
      </c>
      <c r="D2519">
        <v>1.48773013061858E-3</v>
      </c>
      <c r="E2519" t="s">
        <v>94</v>
      </c>
      <c r="H2519" t="s">
        <v>588</v>
      </c>
    </row>
    <row r="2520" spans="2:8">
      <c r="B2520" t="s">
        <v>734</v>
      </c>
      <c r="C2520" t="s">
        <v>883</v>
      </c>
      <c r="D2520">
        <v>1.87642785741092E-5</v>
      </c>
      <c r="E2520" t="s">
        <v>94</v>
      </c>
      <c r="H2520" t="s">
        <v>588</v>
      </c>
    </row>
    <row r="2521" spans="2:8">
      <c r="B2521" t="s">
        <v>734</v>
      </c>
      <c r="C2521" t="s">
        <v>712</v>
      </c>
      <c r="D2521">
        <v>1.0302230862596799E-4</v>
      </c>
      <c r="E2521" t="s">
        <v>94</v>
      </c>
      <c r="H2521" t="s">
        <v>588</v>
      </c>
    </row>
    <row r="2522" spans="2:8">
      <c r="B2522" t="s">
        <v>734</v>
      </c>
      <c r="C2522" t="s">
        <v>881</v>
      </c>
      <c r="D2522">
        <v>9.0631934410186198E-3</v>
      </c>
      <c r="E2522" t="s">
        <v>94</v>
      </c>
    </row>
    <row r="2523" spans="2:8">
      <c r="B2523" t="s">
        <v>735</v>
      </c>
      <c r="C2523" t="s">
        <v>4401</v>
      </c>
      <c r="D2523">
        <v>9.7424506232759908E-9</v>
      </c>
      <c r="E2523" t="s">
        <v>94</v>
      </c>
      <c r="H2523" t="s">
        <v>588</v>
      </c>
    </row>
    <row r="2524" spans="2:8">
      <c r="B2524" t="s">
        <v>735</v>
      </c>
      <c r="C2524" t="s">
        <v>887</v>
      </c>
      <c r="D2524">
        <v>2.3349708508314099E-6</v>
      </c>
      <c r="E2524" t="s">
        <v>94</v>
      </c>
      <c r="H2524" t="s">
        <v>588</v>
      </c>
    </row>
    <row r="2525" spans="2:8">
      <c r="B2525" t="s">
        <v>735</v>
      </c>
      <c r="C2525" t="s">
        <v>654</v>
      </c>
      <c r="D2525">
        <v>1.80124976332577E-7</v>
      </c>
      <c r="E2525" t="s">
        <v>94</v>
      </c>
      <c r="H2525" t="s">
        <v>588</v>
      </c>
    </row>
    <row r="2526" spans="2:8">
      <c r="B2526" t="s">
        <v>735</v>
      </c>
      <c r="C2526" t="s">
        <v>658</v>
      </c>
      <c r="D2526">
        <v>2.0141813890862801E-9</v>
      </c>
      <c r="E2526" t="s">
        <v>94</v>
      </c>
      <c r="H2526" t="s">
        <v>588</v>
      </c>
    </row>
    <row r="2527" spans="2:8">
      <c r="B2527" t="s">
        <v>735</v>
      </c>
      <c r="C2527" t="s">
        <v>4413</v>
      </c>
      <c r="D2527">
        <v>4.4777929481022597E-6</v>
      </c>
      <c r="E2527" t="s">
        <v>94</v>
      </c>
    </row>
    <row r="2528" spans="2:8">
      <c r="B2528" t="s">
        <v>735</v>
      </c>
      <c r="C2528" t="s">
        <v>4389</v>
      </c>
      <c r="D2528">
        <v>6.0326551388449304E-9</v>
      </c>
      <c r="E2528" t="s">
        <v>94</v>
      </c>
      <c r="H2528" t="s">
        <v>588</v>
      </c>
    </row>
    <row r="2529" spans="2:8">
      <c r="B2529" t="s">
        <v>1533</v>
      </c>
      <c r="C2529" t="s">
        <v>667</v>
      </c>
      <c r="D2529">
        <v>8.2119353349537707E-6</v>
      </c>
      <c r="E2529" t="s">
        <v>94</v>
      </c>
      <c r="H2529" t="s">
        <v>588</v>
      </c>
    </row>
    <row r="2530" spans="2:8">
      <c r="B2530" t="s">
        <v>1536</v>
      </c>
      <c r="C2530" t="s">
        <v>667</v>
      </c>
      <c r="D2530">
        <v>5.26907979848578E-4</v>
      </c>
      <c r="E2530" t="s">
        <v>94</v>
      </c>
      <c r="H2530" t="s">
        <v>588</v>
      </c>
    </row>
    <row r="2531" spans="2:8">
      <c r="B2531" t="s">
        <v>736</v>
      </c>
      <c r="C2531" t="s">
        <v>881</v>
      </c>
      <c r="D2531">
        <v>1.7526526106591801E-7</v>
      </c>
      <c r="E2531" t="s">
        <v>94</v>
      </c>
      <c r="H2531" t="s">
        <v>588</v>
      </c>
    </row>
    <row r="2532" spans="2:8">
      <c r="B2532" t="s">
        <v>736</v>
      </c>
      <c r="C2532" t="s">
        <v>712</v>
      </c>
      <c r="D2532">
        <v>1.01863479855142E-7</v>
      </c>
      <c r="E2532" t="s">
        <v>94</v>
      </c>
      <c r="H2532" t="s">
        <v>588</v>
      </c>
    </row>
    <row r="2533" spans="2:8">
      <c r="B2533" t="s">
        <v>736</v>
      </c>
      <c r="C2533" t="s">
        <v>661</v>
      </c>
      <c r="D2533">
        <v>3.9720354222712301E-7</v>
      </c>
      <c r="E2533" t="s">
        <v>94</v>
      </c>
      <c r="H2533" t="s">
        <v>588</v>
      </c>
    </row>
    <row r="2534" spans="2:8">
      <c r="B2534" t="s">
        <v>736</v>
      </c>
      <c r="C2534" t="s">
        <v>883</v>
      </c>
      <c r="D2534">
        <v>1.7919062277346801E-9</v>
      </c>
      <c r="E2534" t="s">
        <v>94</v>
      </c>
      <c r="H2534" t="s">
        <v>588</v>
      </c>
    </row>
    <row r="2535" spans="2:8">
      <c r="B2535" t="s">
        <v>737</v>
      </c>
      <c r="C2535" t="s">
        <v>887</v>
      </c>
      <c r="D2535">
        <v>2.68311671964287E-7</v>
      </c>
      <c r="E2535" t="s">
        <v>94</v>
      </c>
      <c r="H2535" t="s">
        <v>588</v>
      </c>
    </row>
    <row r="2536" spans="2:8">
      <c r="B2536" t="s">
        <v>737</v>
      </c>
      <c r="C2536" t="s">
        <v>712</v>
      </c>
      <c r="D2536">
        <v>1.0858413355811999E-9</v>
      </c>
      <c r="E2536" t="s">
        <v>94</v>
      </c>
      <c r="H2536" t="s">
        <v>588</v>
      </c>
    </row>
    <row r="2537" spans="2:8">
      <c r="B2537" t="s">
        <v>737</v>
      </c>
      <c r="C2537" t="s">
        <v>883</v>
      </c>
      <c r="D2537">
        <v>2.39171933905902E-12</v>
      </c>
      <c r="E2537" t="s">
        <v>94</v>
      </c>
      <c r="H2537" t="s">
        <v>588</v>
      </c>
    </row>
    <row r="2538" spans="2:8">
      <c r="B2538" t="s">
        <v>737</v>
      </c>
      <c r="C2538" t="s">
        <v>881</v>
      </c>
      <c r="D2538">
        <v>1.7676733429671999E-8</v>
      </c>
      <c r="E2538" t="s">
        <v>94</v>
      </c>
      <c r="H2538" t="s">
        <v>588</v>
      </c>
    </row>
    <row r="2539" spans="2:8">
      <c r="B2539" t="s">
        <v>737</v>
      </c>
      <c r="C2539" t="s">
        <v>661</v>
      </c>
      <c r="D2539">
        <v>2.6819463365171E-7</v>
      </c>
      <c r="E2539" t="s">
        <v>94</v>
      </c>
      <c r="H2539" t="s">
        <v>588</v>
      </c>
    </row>
    <row r="2540" spans="2:8">
      <c r="B2540" t="s">
        <v>4495</v>
      </c>
      <c r="C2540" t="s">
        <v>4413</v>
      </c>
      <c r="D2540">
        <v>2.2327883345973499E-6</v>
      </c>
      <c r="E2540" t="s">
        <v>94</v>
      </c>
      <c r="H2540" t="s">
        <v>588</v>
      </c>
    </row>
    <row r="2541" spans="2:8">
      <c r="B2541" t="s">
        <v>4496</v>
      </c>
      <c r="C2541" t="s">
        <v>670</v>
      </c>
      <c r="D2541">
        <v>1.3370366262834801E-6</v>
      </c>
      <c r="E2541" t="s">
        <v>94</v>
      </c>
    </row>
    <row r="2542" spans="2:8">
      <c r="B2542" t="s">
        <v>4498</v>
      </c>
      <c r="C2542" t="s">
        <v>787</v>
      </c>
      <c r="D2542">
        <v>5.1203064146896302E-5</v>
      </c>
      <c r="E2542" t="s">
        <v>94</v>
      </c>
      <c r="H2542" t="s">
        <v>588</v>
      </c>
    </row>
    <row r="2543" spans="2:8">
      <c r="B2543" t="s">
        <v>4498</v>
      </c>
      <c r="C2543" t="s">
        <v>787</v>
      </c>
      <c r="D2543">
        <v>6.0321710988818101E-3</v>
      </c>
      <c r="E2543" t="s">
        <v>94</v>
      </c>
      <c r="H2543" t="s">
        <v>588</v>
      </c>
    </row>
    <row r="2544" spans="2:8">
      <c r="B2544" t="s">
        <v>4501</v>
      </c>
      <c r="C2544" t="s">
        <v>654</v>
      </c>
      <c r="D2544">
        <v>1.8288242477810101E-13</v>
      </c>
      <c r="E2544" t="s">
        <v>94</v>
      </c>
      <c r="H2544" t="s">
        <v>588</v>
      </c>
    </row>
    <row r="2545" spans="2:8">
      <c r="B2545" t="s">
        <v>4503</v>
      </c>
      <c r="C2545" t="s">
        <v>4413</v>
      </c>
      <c r="D2545">
        <v>8.8249581254282998E-8</v>
      </c>
      <c r="E2545" t="s">
        <v>94</v>
      </c>
      <c r="H2545" t="s">
        <v>588</v>
      </c>
    </row>
    <row r="2546" spans="2:8">
      <c r="B2546" t="s">
        <v>4504</v>
      </c>
      <c r="C2546" t="s">
        <v>787</v>
      </c>
      <c r="D2546">
        <v>1.6458198349868401E-5</v>
      </c>
      <c r="E2546" t="s">
        <v>94</v>
      </c>
      <c r="H2546" t="s">
        <v>588</v>
      </c>
    </row>
    <row r="2547" spans="2:8">
      <c r="B2547" t="s">
        <v>738</v>
      </c>
      <c r="C2547" t="s">
        <v>658</v>
      </c>
      <c r="D2547">
        <v>7.2963567063240303E-5</v>
      </c>
      <c r="E2547" t="s">
        <v>94</v>
      </c>
      <c r="H2547" t="s">
        <v>588</v>
      </c>
    </row>
    <row r="2548" spans="2:8">
      <c r="B2548" t="s">
        <v>738</v>
      </c>
      <c r="C2548" t="s">
        <v>654</v>
      </c>
      <c r="D2548">
        <v>4.6831147230678399E-7</v>
      </c>
      <c r="E2548" t="s">
        <v>94</v>
      </c>
      <c r="H2548" t="s">
        <v>588</v>
      </c>
    </row>
    <row r="2549" spans="2:8">
      <c r="B2549" t="s">
        <v>738</v>
      </c>
      <c r="C2549" t="s">
        <v>4455</v>
      </c>
      <c r="D2549">
        <v>4.9640486172750397E-9</v>
      </c>
      <c r="E2549" t="s">
        <v>94</v>
      </c>
      <c r="H2549" t="s">
        <v>588</v>
      </c>
    </row>
    <row r="2550" spans="2:8">
      <c r="B2550" t="s">
        <v>738</v>
      </c>
      <c r="C2550" t="s">
        <v>887</v>
      </c>
      <c r="D2550">
        <v>1.4437250156042601E-4</v>
      </c>
      <c r="E2550" t="s">
        <v>94</v>
      </c>
      <c r="H2550" t="s">
        <v>588</v>
      </c>
    </row>
    <row r="2551" spans="2:8">
      <c r="B2551" t="s">
        <v>739</v>
      </c>
      <c r="C2551" t="s">
        <v>887</v>
      </c>
      <c r="D2551">
        <v>1.63946496357463E-12</v>
      </c>
      <c r="E2551" t="s">
        <v>94</v>
      </c>
      <c r="H2551" t="s">
        <v>588</v>
      </c>
    </row>
    <row r="2552" spans="2:8">
      <c r="B2552" t="s">
        <v>739</v>
      </c>
      <c r="C2552" t="s">
        <v>658</v>
      </c>
      <c r="D2552">
        <v>3.04167541839511E-15</v>
      </c>
      <c r="E2552" t="s">
        <v>94</v>
      </c>
      <c r="H2552" t="s">
        <v>588</v>
      </c>
    </row>
    <row r="2553" spans="2:8">
      <c r="B2553" t="s">
        <v>739</v>
      </c>
      <c r="C2553" t="s">
        <v>654</v>
      </c>
      <c r="D2553">
        <v>4.1460739403168501E-14</v>
      </c>
      <c r="E2553" t="s">
        <v>94</v>
      </c>
      <c r="H2553" t="s">
        <v>588</v>
      </c>
    </row>
    <row r="2554" spans="2:8">
      <c r="B2554" t="s">
        <v>4508</v>
      </c>
      <c r="C2554" t="s">
        <v>881</v>
      </c>
      <c r="D2554">
        <v>1.14416290200413E-4</v>
      </c>
      <c r="E2554" t="s">
        <v>94</v>
      </c>
      <c r="H2554" t="s">
        <v>588</v>
      </c>
    </row>
    <row r="2555" spans="2:8">
      <c r="B2555" t="s">
        <v>4508</v>
      </c>
      <c r="C2555" t="s">
        <v>661</v>
      </c>
      <c r="D2555">
        <v>9.6671595164177907E-5</v>
      </c>
      <c r="E2555" t="s">
        <v>94</v>
      </c>
      <c r="H2555" t="s">
        <v>588</v>
      </c>
    </row>
    <row r="2556" spans="2:8">
      <c r="B2556" t="s">
        <v>4508</v>
      </c>
      <c r="C2556" t="s">
        <v>712</v>
      </c>
      <c r="D2556">
        <v>1.6190235160571699E-5</v>
      </c>
      <c r="E2556" t="s">
        <v>94</v>
      </c>
      <c r="H2556" t="s">
        <v>588</v>
      </c>
    </row>
    <row r="2557" spans="2:8">
      <c r="B2557" t="s">
        <v>740</v>
      </c>
      <c r="C2557" t="s">
        <v>661</v>
      </c>
      <c r="D2557">
        <v>5.7297964202974398E-4</v>
      </c>
      <c r="E2557" t="s">
        <v>94</v>
      </c>
      <c r="H2557" t="s">
        <v>588</v>
      </c>
    </row>
    <row r="2558" spans="2:8">
      <c r="B2558" t="s">
        <v>740</v>
      </c>
      <c r="C2558" t="s">
        <v>712</v>
      </c>
      <c r="D2558">
        <v>3.3835712404930502E-5</v>
      </c>
      <c r="E2558" t="s">
        <v>94</v>
      </c>
      <c r="H2558" t="s">
        <v>588</v>
      </c>
    </row>
    <row r="2559" spans="2:8">
      <c r="B2559" t="s">
        <v>740</v>
      </c>
      <c r="C2559" t="s">
        <v>883</v>
      </c>
      <c r="D2559">
        <v>5.5799848394157497E-6</v>
      </c>
      <c r="E2559" t="s">
        <v>94</v>
      </c>
      <c r="H2559" t="s">
        <v>588</v>
      </c>
    </row>
    <row r="2560" spans="2:8">
      <c r="B2560" t="s">
        <v>740</v>
      </c>
      <c r="C2560" t="s">
        <v>881</v>
      </c>
      <c r="D2560">
        <v>3.3454350725585801E-3</v>
      </c>
      <c r="E2560" t="s">
        <v>94</v>
      </c>
    </row>
    <row r="2561" spans="2:8">
      <c r="B2561" t="s">
        <v>4510</v>
      </c>
      <c r="C2561" t="s">
        <v>787</v>
      </c>
      <c r="D2561">
        <v>2.8359682105245598E-5</v>
      </c>
      <c r="E2561" t="s">
        <v>94</v>
      </c>
      <c r="H2561" t="s">
        <v>588</v>
      </c>
    </row>
    <row r="2562" spans="2:8">
      <c r="B2562" t="s">
        <v>4510</v>
      </c>
      <c r="C2562" t="s">
        <v>787</v>
      </c>
      <c r="D2562">
        <v>3.5942006659275403E-8</v>
      </c>
      <c r="E2562" t="s">
        <v>94</v>
      </c>
      <c r="H2562" t="s">
        <v>588</v>
      </c>
    </row>
    <row r="2563" spans="2:8">
      <c r="B2563" t="s">
        <v>4510</v>
      </c>
      <c r="C2563" t="s">
        <v>787</v>
      </c>
      <c r="D2563">
        <v>6.0238630861523402E-5</v>
      </c>
      <c r="E2563" t="s">
        <v>94</v>
      </c>
      <c r="H2563" t="s">
        <v>588</v>
      </c>
    </row>
    <row r="2564" spans="2:8">
      <c r="B2564" t="s">
        <v>4512</v>
      </c>
      <c r="C2564" t="s">
        <v>667</v>
      </c>
      <c r="D2564">
        <v>2.1380910886533599E-4</v>
      </c>
      <c r="E2564" t="s">
        <v>94</v>
      </c>
      <c r="H2564" t="s">
        <v>588</v>
      </c>
    </row>
    <row r="2565" spans="2:8">
      <c r="B2565" t="s">
        <v>4515</v>
      </c>
      <c r="C2565" t="s">
        <v>670</v>
      </c>
      <c r="D2565">
        <v>2.4068272229260998E-5</v>
      </c>
      <c r="E2565" t="s">
        <v>94</v>
      </c>
      <c r="H2565" t="s">
        <v>588</v>
      </c>
    </row>
    <row r="2566" spans="2:8">
      <c r="B2566" t="s">
        <v>824</v>
      </c>
      <c r="C2566" t="s">
        <v>654</v>
      </c>
      <c r="D2566">
        <v>9.4645644931703001E-8</v>
      </c>
      <c r="E2566" t="s">
        <v>94</v>
      </c>
      <c r="H2566" t="s">
        <v>588</v>
      </c>
    </row>
    <row r="2567" spans="2:8">
      <c r="B2567" t="s">
        <v>824</v>
      </c>
      <c r="C2567" t="s">
        <v>887</v>
      </c>
      <c r="D2567">
        <v>1.1304330994934001E-7</v>
      </c>
      <c r="E2567" t="s">
        <v>94</v>
      </c>
      <c r="H2567" t="s">
        <v>588</v>
      </c>
    </row>
    <row r="2568" spans="2:8">
      <c r="B2568" t="s">
        <v>824</v>
      </c>
      <c r="C2568" t="s">
        <v>658</v>
      </c>
      <c r="D2568">
        <v>6.8781703104268603E-6</v>
      </c>
      <c r="E2568" t="s">
        <v>94</v>
      </c>
      <c r="H2568" t="s">
        <v>588</v>
      </c>
    </row>
    <row r="2569" spans="2:8">
      <c r="B2569" t="s">
        <v>4519</v>
      </c>
      <c r="C2569" t="s">
        <v>887</v>
      </c>
      <c r="D2569">
        <v>2.54583165131007E-8</v>
      </c>
      <c r="E2569" t="s">
        <v>94</v>
      </c>
      <c r="H2569" t="s">
        <v>588</v>
      </c>
    </row>
    <row r="2570" spans="2:8">
      <c r="B2570" t="s">
        <v>4519</v>
      </c>
      <c r="C2570" t="s">
        <v>658</v>
      </c>
      <c r="D2570">
        <v>1.14455375567029E-8</v>
      </c>
      <c r="E2570" t="s">
        <v>94</v>
      </c>
      <c r="H2570" t="s">
        <v>588</v>
      </c>
    </row>
    <row r="2571" spans="2:8">
      <c r="B2571" t="s">
        <v>4522</v>
      </c>
      <c r="C2571" t="s">
        <v>887</v>
      </c>
      <c r="D2571">
        <v>5.1002337071365602E-7</v>
      </c>
      <c r="E2571" t="s">
        <v>94</v>
      </c>
      <c r="H2571" t="s">
        <v>588</v>
      </c>
    </row>
    <row r="2572" spans="2:8">
      <c r="B2572" t="s">
        <v>4525</v>
      </c>
      <c r="C2572" t="s">
        <v>654</v>
      </c>
      <c r="D2572">
        <v>2.1344622778392201E-10</v>
      </c>
      <c r="E2572" t="s">
        <v>94</v>
      </c>
      <c r="H2572" t="s">
        <v>588</v>
      </c>
    </row>
    <row r="2573" spans="2:8">
      <c r="B2573" t="s">
        <v>4525</v>
      </c>
      <c r="C2573" t="s">
        <v>661</v>
      </c>
      <c r="D2573">
        <v>6.7238489104759801E-8</v>
      </c>
      <c r="E2573" t="s">
        <v>94</v>
      </c>
    </row>
    <row r="2574" spans="2:8">
      <c r="B2574" t="s">
        <v>4525</v>
      </c>
      <c r="C2574" t="s">
        <v>887</v>
      </c>
      <c r="D2574">
        <v>2.3359453645141699E-5</v>
      </c>
      <c r="E2574" t="s">
        <v>94</v>
      </c>
    </row>
    <row r="2575" spans="2:8">
      <c r="B2575" t="s">
        <v>825</v>
      </c>
      <c r="C2575" t="s">
        <v>654</v>
      </c>
      <c r="D2575">
        <v>4.0386239927204102E-10</v>
      </c>
      <c r="E2575" t="s">
        <v>94</v>
      </c>
      <c r="H2575" t="s">
        <v>588</v>
      </c>
    </row>
    <row r="2576" spans="2:8">
      <c r="B2576" t="s">
        <v>825</v>
      </c>
      <c r="C2576" t="s">
        <v>658</v>
      </c>
      <c r="D2576">
        <v>7.1296286451353897E-6</v>
      </c>
      <c r="E2576" t="s">
        <v>94</v>
      </c>
      <c r="H2576" t="s">
        <v>588</v>
      </c>
    </row>
    <row r="2577" spans="2:8">
      <c r="B2577" t="s">
        <v>825</v>
      </c>
      <c r="C2577" t="s">
        <v>887</v>
      </c>
      <c r="D2577">
        <v>1.47272944336339E-5</v>
      </c>
      <c r="E2577" t="s">
        <v>94</v>
      </c>
      <c r="H2577" t="s">
        <v>588</v>
      </c>
    </row>
    <row r="2578" spans="2:8">
      <c r="B2578" t="s">
        <v>4526</v>
      </c>
      <c r="C2578" t="s">
        <v>887</v>
      </c>
      <c r="D2578">
        <v>1.2184347774145501E-6</v>
      </c>
      <c r="E2578" t="s">
        <v>94</v>
      </c>
      <c r="H2578" t="s">
        <v>588</v>
      </c>
    </row>
    <row r="2579" spans="2:8">
      <c r="B2579" t="s">
        <v>4526</v>
      </c>
      <c r="C2579" t="s">
        <v>654</v>
      </c>
      <c r="D2579">
        <v>1.89291289863406E-7</v>
      </c>
      <c r="E2579" t="s">
        <v>94</v>
      </c>
      <c r="H2579" t="s">
        <v>588</v>
      </c>
    </row>
    <row r="2580" spans="2:8">
      <c r="B2580" t="s">
        <v>4529</v>
      </c>
      <c r="C2580" t="s">
        <v>887</v>
      </c>
      <c r="D2580">
        <v>1.19042551173716E-5</v>
      </c>
      <c r="E2580" t="s">
        <v>94</v>
      </c>
    </row>
    <row r="2581" spans="2:8">
      <c r="B2581" t="s">
        <v>4529</v>
      </c>
      <c r="C2581" t="s">
        <v>661</v>
      </c>
      <c r="D2581">
        <v>8.8684281875570998E-8</v>
      </c>
      <c r="E2581" t="s">
        <v>94</v>
      </c>
    </row>
    <row r="2582" spans="2:8">
      <c r="B2582" t="s">
        <v>4529</v>
      </c>
      <c r="C2582" t="s">
        <v>654</v>
      </c>
      <c r="D2582">
        <v>3.3709495200735799E-7</v>
      </c>
      <c r="E2582" t="s">
        <v>94</v>
      </c>
      <c r="H2582" t="s">
        <v>588</v>
      </c>
    </row>
    <row r="2583" spans="2:8">
      <c r="B2583" t="s">
        <v>4529</v>
      </c>
      <c r="C2583" t="s">
        <v>712</v>
      </c>
      <c r="D2583">
        <v>1.9590822371886099E-10</v>
      </c>
      <c r="E2583" t="s">
        <v>94</v>
      </c>
      <c r="H2583" t="s">
        <v>588</v>
      </c>
    </row>
    <row r="2584" spans="2:8">
      <c r="B2584" t="s">
        <v>4530</v>
      </c>
      <c r="C2584" t="s">
        <v>4413</v>
      </c>
      <c r="D2584">
        <v>4.5830469551390802E-7</v>
      </c>
      <c r="E2584" t="s">
        <v>94</v>
      </c>
      <c r="H2584" t="s">
        <v>588</v>
      </c>
    </row>
    <row r="2585" spans="2:8">
      <c r="B2585" t="s">
        <v>4531</v>
      </c>
      <c r="C2585" t="s">
        <v>887</v>
      </c>
      <c r="D2585">
        <v>2.0454665532123101E-9</v>
      </c>
      <c r="E2585" t="s">
        <v>94</v>
      </c>
      <c r="H2585" t="s">
        <v>588</v>
      </c>
    </row>
    <row r="2586" spans="2:8">
      <c r="B2586" t="s">
        <v>4532</v>
      </c>
      <c r="C2586" t="s">
        <v>654</v>
      </c>
      <c r="D2586">
        <v>3.1548546018379299E-8</v>
      </c>
      <c r="E2586" t="s">
        <v>94</v>
      </c>
      <c r="H2586" t="s">
        <v>588</v>
      </c>
    </row>
    <row r="2587" spans="2:8">
      <c r="B2587" t="s">
        <v>4532</v>
      </c>
      <c r="C2587" t="s">
        <v>887</v>
      </c>
      <c r="D2587">
        <v>3.7679675419861298E-8</v>
      </c>
      <c r="E2587" t="s">
        <v>94</v>
      </c>
      <c r="H2587" t="s">
        <v>588</v>
      </c>
    </row>
    <row r="2588" spans="2:8">
      <c r="B2588" t="s">
        <v>4533</v>
      </c>
      <c r="C2588" t="s">
        <v>4413</v>
      </c>
      <c r="D2588">
        <v>1.2970858473831099E-7</v>
      </c>
      <c r="E2588" t="s">
        <v>94</v>
      </c>
      <c r="H2588" t="s">
        <v>588</v>
      </c>
    </row>
    <row r="2589" spans="2:8">
      <c r="B2589" t="s">
        <v>1085</v>
      </c>
      <c r="C2589" t="s">
        <v>744</v>
      </c>
      <c r="D2589">
        <v>5.5758482999424203E-4</v>
      </c>
      <c r="E2589" t="s">
        <v>94</v>
      </c>
      <c r="H2589" t="s">
        <v>588</v>
      </c>
    </row>
    <row r="2590" spans="2:8">
      <c r="B2590" t="s">
        <v>4535</v>
      </c>
      <c r="C2590" t="s">
        <v>654</v>
      </c>
      <c r="D2590">
        <v>2.9972397394188798E-12</v>
      </c>
      <c r="E2590" t="s">
        <v>94</v>
      </c>
      <c r="H2590" t="s">
        <v>588</v>
      </c>
    </row>
    <row r="2591" spans="2:8">
      <c r="B2591" t="s">
        <v>4536</v>
      </c>
      <c r="C2591" t="s">
        <v>654</v>
      </c>
      <c r="D2591">
        <v>2.71783603489678E-12</v>
      </c>
      <c r="E2591" t="s">
        <v>94</v>
      </c>
      <c r="H2591" t="s">
        <v>588</v>
      </c>
    </row>
    <row r="2592" spans="2:8">
      <c r="B2592" t="s">
        <v>741</v>
      </c>
      <c r="C2592" t="s">
        <v>4389</v>
      </c>
      <c r="D2592">
        <v>3.55785117226518E-9</v>
      </c>
      <c r="E2592" t="s">
        <v>94</v>
      </c>
      <c r="H2592" t="s">
        <v>588</v>
      </c>
    </row>
    <row r="2593" spans="2:8">
      <c r="B2593" t="s">
        <v>741</v>
      </c>
      <c r="C2593" t="s">
        <v>881</v>
      </c>
      <c r="D2593">
        <v>8.9486857886563601E-8</v>
      </c>
      <c r="E2593" t="s">
        <v>94</v>
      </c>
      <c r="H2593" t="s">
        <v>588</v>
      </c>
    </row>
    <row r="2594" spans="2:8">
      <c r="B2594" t="s">
        <v>741</v>
      </c>
      <c r="C2594" t="s">
        <v>712</v>
      </c>
      <c r="D2594">
        <v>1.0858413355812E-8</v>
      </c>
      <c r="E2594" t="s">
        <v>94</v>
      </c>
      <c r="H2594" t="s">
        <v>588</v>
      </c>
    </row>
    <row r="2595" spans="2:8">
      <c r="B2595" t="s">
        <v>741</v>
      </c>
      <c r="C2595" t="s">
        <v>661</v>
      </c>
      <c r="D2595">
        <v>6.11287078264907E-6</v>
      </c>
      <c r="E2595" t="s">
        <v>94</v>
      </c>
      <c r="H2595" t="s">
        <v>588</v>
      </c>
    </row>
    <row r="2596" spans="2:8">
      <c r="B2596" t="s">
        <v>741</v>
      </c>
      <c r="C2596" t="s">
        <v>4401</v>
      </c>
      <c r="D2596">
        <v>1.05569538290667E-8</v>
      </c>
      <c r="E2596" t="s">
        <v>94</v>
      </c>
      <c r="H2596" t="s">
        <v>588</v>
      </c>
    </row>
    <row r="2597" spans="2:8">
      <c r="B2597" t="s">
        <v>741</v>
      </c>
      <c r="C2597" t="s">
        <v>883</v>
      </c>
      <c r="D2597">
        <v>2.5560940081946799E-5</v>
      </c>
      <c r="E2597" t="s">
        <v>94</v>
      </c>
      <c r="H2597" t="s">
        <v>588</v>
      </c>
    </row>
    <row r="2598" spans="2:8">
      <c r="B2598" t="s">
        <v>886</v>
      </c>
      <c r="C2598" t="s">
        <v>887</v>
      </c>
      <c r="D2598">
        <v>6.2210229015253305E-7</v>
      </c>
      <c r="E2598" t="s">
        <v>94</v>
      </c>
      <c r="H2598" t="s">
        <v>588</v>
      </c>
    </row>
    <row r="2599" spans="2:8">
      <c r="B2599" t="s">
        <v>886</v>
      </c>
      <c r="C2599" t="s">
        <v>658</v>
      </c>
      <c r="D2599">
        <v>3.90725616363691E-10</v>
      </c>
      <c r="E2599" t="s">
        <v>94</v>
      </c>
      <c r="H2599" t="s">
        <v>588</v>
      </c>
    </row>
    <row r="2600" spans="2:8">
      <c r="B2600" t="s">
        <v>886</v>
      </c>
      <c r="C2600" t="s">
        <v>654</v>
      </c>
      <c r="D2600">
        <v>2.4303675623774301E-7</v>
      </c>
      <c r="E2600" t="s">
        <v>94</v>
      </c>
      <c r="H2600" t="s">
        <v>588</v>
      </c>
    </row>
    <row r="2601" spans="2:8">
      <c r="B2601" t="s">
        <v>4537</v>
      </c>
      <c r="C2601" t="s">
        <v>4413</v>
      </c>
      <c r="D2601">
        <v>2.2062395313570701E-7</v>
      </c>
      <c r="E2601" t="s">
        <v>94</v>
      </c>
      <c r="H2601" t="s">
        <v>588</v>
      </c>
    </row>
    <row r="2602" spans="2:8">
      <c r="B2602" t="s">
        <v>973</v>
      </c>
      <c r="C2602" t="s">
        <v>744</v>
      </c>
      <c r="D2602">
        <v>6.31511598494102E-6</v>
      </c>
      <c r="E2602" t="s">
        <v>94</v>
      </c>
      <c r="H2602" t="s">
        <v>588</v>
      </c>
    </row>
    <row r="2603" spans="2:8">
      <c r="B2603" t="s">
        <v>973</v>
      </c>
      <c r="C2603" t="s">
        <v>744</v>
      </c>
      <c r="D2603">
        <v>6.1580775196728698E-5</v>
      </c>
      <c r="E2603" t="s">
        <v>94</v>
      </c>
      <c r="H2603" t="s">
        <v>588</v>
      </c>
    </row>
    <row r="2604" spans="2:8">
      <c r="B2604" t="s">
        <v>973</v>
      </c>
      <c r="C2604" t="s">
        <v>744</v>
      </c>
      <c r="D2604">
        <v>1.7787025326806202E-5</v>
      </c>
      <c r="E2604" t="s">
        <v>94</v>
      </c>
      <c r="H2604" t="s">
        <v>588</v>
      </c>
    </row>
    <row r="2605" spans="2:8">
      <c r="B2605" t="s">
        <v>742</v>
      </c>
      <c r="C2605" t="s">
        <v>887</v>
      </c>
      <c r="D2605">
        <v>2.1044144606404701E-5</v>
      </c>
      <c r="E2605" t="s">
        <v>94</v>
      </c>
      <c r="H2605" t="s">
        <v>588</v>
      </c>
    </row>
    <row r="2606" spans="2:8">
      <c r="B2606" t="s">
        <v>742</v>
      </c>
      <c r="C2606" t="s">
        <v>658</v>
      </c>
      <c r="D2606">
        <v>5.0094311528423001E-7</v>
      </c>
      <c r="E2606" t="s">
        <v>94</v>
      </c>
      <c r="H2606" t="s">
        <v>588</v>
      </c>
    </row>
    <row r="2607" spans="2:8">
      <c r="B2607" t="s">
        <v>742</v>
      </c>
      <c r="C2607" t="s">
        <v>654</v>
      </c>
      <c r="D2607">
        <v>3.8745843837728201E-6</v>
      </c>
      <c r="E2607" t="s">
        <v>94</v>
      </c>
      <c r="H2607" t="s">
        <v>588</v>
      </c>
    </row>
    <row r="2608" spans="2:8">
      <c r="B2608" t="s">
        <v>742</v>
      </c>
      <c r="C2608" t="s">
        <v>661</v>
      </c>
      <c r="D2608">
        <v>3.1687394050946701E-9</v>
      </c>
      <c r="E2608" t="s">
        <v>94</v>
      </c>
      <c r="H2608" t="s">
        <v>588</v>
      </c>
    </row>
    <row r="2609" spans="2:8">
      <c r="B2609" t="s">
        <v>4539</v>
      </c>
      <c r="C2609" t="s">
        <v>4413</v>
      </c>
      <c r="D2609">
        <v>2.1877560726805201E-8</v>
      </c>
      <c r="E2609" t="s">
        <v>94</v>
      </c>
      <c r="H2609" t="s">
        <v>588</v>
      </c>
    </row>
    <row r="2610" spans="2:8">
      <c r="B2610" t="s">
        <v>4540</v>
      </c>
      <c r="C2610" t="s">
        <v>670</v>
      </c>
      <c r="D2610">
        <v>1.8857539189310699E-3</v>
      </c>
      <c r="E2610" t="s">
        <v>94</v>
      </c>
      <c r="H2610" t="s">
        <v>588</v>
      </c>
    </row>
    <row r="2611" spans="2:8">
      <c r="B2611" t="s">
        <v>4542</v>
      </c>
      <c r="C2611" t="s">
        <v>4413</v>
      </c>
      <c r="D2611">
        <v>2.3588828162859701E-6</v>
      </c>
      <c r="E2611" t="s">
        <v>94</v>
      </c>
      <c r="H2611" t="s">
        <v>588</v>
      </c>
    </row>
    <row r="2612" spans="2:8">
      <c r="B2612" t="s">
        <v>4543</v>
      </c>
      <c r="C2612" t="s">
        <v>744</v>
      </c>
      <c r="D2612">
        <v>2.09247440410873E-4</v>
      </c>
      <c r="E2612" t="s">
        <v>94</v>
      </c>
      <c r="H2612" t="s">
        <v>588</v>
      </c>
    </row>
    <row r="2613" spans="2:8">
      <c r="B2613" t="s">
        <v>4546</v>
      </c>
      <c r="C2613" t="s">
        <v>2202</v>
      </c>
      <c r="D2613">
        <v>5.4295043198268104E-6</v>
      </c>
      <c r="E2613" t="s">
        <v>94</v>
      </c>
      <c r="H2613" t="s">
        <v>588</v>
      </c>
    </row>
    <row r="2614" spans="2:8">
      <c r="B2614" t="s">
        <v>743</v>
      </c>
      <c r="C2614" t="s">
        <v>744</v>
      </c>
      <c r="D2614">
        <v>7.0404559771623902E-3</v>
      </c>
      <c r="E2614" t="s">
        <v>94</v>
      </c>
      <c r="H2614" t="s">
        <v>588</v>
      </c>
    </row>
    <row r="2615" spans="2:8">
      <c r="B2615" t="s">
        <v>743</v>
      </c>
      <c r="C2615" t="s">
        <v>744</v>
      </c>
      <c r="D2615">
        <v>1.9831868917455902E-5</v>
      </c>
      <c r="E2615" t="s">
        <v>94</v>
      </c>
      <c r="H2615" t="s">
        <v>588</v>
      </c>
    </row>
    <row r="2616" spans="2:8">
      <c r="B2616" t="s">
        <v>743</v>
      </c>
      <c r="C2616" t="s">
        <v>744</v>
      </c>
      <c r="D2616">
        <v>2.01237153692895E-4</v>
      </c>
      <c r="E2616" t="s">
        <v>94</v>
      </c>
      <c r="H2616" t="s">
        <v>588</v>
      </c>
    </row>
    <row r="2617" spans="2:8">
      <c r="B2617" t="s">
        <v>746</v>
      </c>
      <c r="C2617" t="s">
        <v>744</v>
      </c>
      <c r="D2617">
        <v>3.2713105976022702E-4</v>
      </c>
      <c r="E2617" t="s">
        <v>94</v>
      </c>
      <c r="H2617" t="s">
        <v>588</v>
      </c>
    </row>
    <row r="2618" spans="2:8">
      <c r="B2618" t="s">
        <v>746</v>
      </c>
      <c r="C2618" t="s">
        <v>744</v>
      </c>
      <c r="D2618">
        <v>1.46518405181782E-4</v>
      </c>
      <c r="E2618" t="s">
        <v>94</v>
      </c>
      <c r="H2618" t="s">
        <v>588</v>
      </c>
    </row>
    <row r="2619" spans="2:8">
      <c r="B2619" t="s">
        <v>4548</v>
      </c>
      <c r="C2619" t="s">
        <v>1613</v>
      </c>
      <c r="D2619">
        <v>1.3591053098862199E-8</v>
      </c>
      <c r="E2619" t="s">
        <v>640</v>
      </c>
      <c r="H2619" t="s">
        <v>588</v>
      </c>
    </row>
    <row r="2620" spans="2:8">
      <c r="B2620" t="s">
        <v>4548</v>
      </c>
      <c r="C2620" t="s">
        <v>1613</v>
      </c>
      <c r="D2620">
        <v>1.3585429216144101E-8</v>
      </c>
      <c r="E2620" t="s">
        <v>640</v>
      </c>
      <c r="H2620" t="s">
        <v>588</v>
      </c>
    </row>
    <row r="2621" spans="2:8">
      <c r="B2621" t="s">
        <v>748</v>
      </c>
      <c r="C2621" t="s">
        <v>654</v>
      </c>
      <c r="D2621">
        <v>1.5077799841906599E-2</v>
      </c>
      <c r="E2621" t="s">
        <v>607</v>
      </c>
      <c r="H2621" t="s">
        <v>588</v>
      </c>
    </row>
    <row r="2622" spans="2:8">
      <c r="B2622" t="s">
        <v>748</v>
      </c>
      <c r="C2622" t="s">
        <v>658</v>
      </c>
      <c r="D2622">
        <v>9.2307597648557296E-7</v>
      </c>
      <c r="E2622" t="s">
        <v>607</v>
      </c>
      <c r="H2622" t="s">
        <v>588</v>
      </c>
    </row>
    <row r="2623" spans="2:8">
      <c r="B2623" t="s">
        <v>4553</v>
      </c>
      <c r="C2623" t="s">
        <v>654</v>
      </c>
      <c r="D2623">
        <v>1.8847392252109801E-7</v>
      </c>
      <c r="E2623" t="s">
        <v>94</v>
      </c>
      <c r="H2623" t="s">
        <v>588</v>
      </c>
    </row>
    <row r="2624" spans="2:8">
      <c r="B2624" t="s">
        <v>4553</v>
      </c>
      <c r="C2624" t="s">
        <v>658</v>
      </c>
      <c r="D2624">
        <v>1.1379162160716699E-9</v>
      </c>
      <c r="E2624" t="s">
        <v>94</v>
      </c>
      <c r="H2624" t="s">
        <v>588</v>
      </c>
    </row>
    <row r="2625" spans="2:8">
      <c r="B2625" t="s">
        <v>4556</v>
      </c>
      <c r="C2625" t="s">
        <v>887</v>
      </c>
      <c r="D2625">
        <v>2.7201815076648502E-7</v>
      </c>
      <c r="E2625" t="s">
        <v>94</v>
      </c>
      <c r="H2625" t="s">
        <v>588</v>
      </c>
    </row>
    <row r="2626" spans="2:8">
      <c r="B2626" t="s">
        <v>4558</v>
      </c>
      <c r="C2626" t="s">
        <v>4413</v>
      </c>
      <c r="D2626">
        <v>4.4719695960863898E-7</v>
      </c>
      <c r="E2626" t="s">
        <v>94</v>
      </c>
      <c r="H2626" t="s">
        <v>588</v>
      </c>
    </row>
    <row r="2627" spans="2:8">
      <c r="B2627" t="s">
        <v>4559</v>
      </c>
      <c r="C2627" t="s">
        <v>887</v>
      </c>
      <c r="D2627">
        <v>1.24791470528756E-5</v>
      </c>
      <c r="E2627" t="s">
        <v>94</v>
      </c>
      <c r="H2627" t="s">
        <v>588</v>
      </c>
    </row>
    <row r="2628" spans="2:8">
      <c r="B2628" t="s">
        <v>4561</v>
      </c>
      <c r="C2628" t="s">
        <v>887</v>
      </c>
      <c r="D2628">
        <v>1.01793960507967E-7</v>
      </c>
      <c r="E2628" t="s">
        <v>94</v>
      </c>
    </row>
    <row r="2629" spans="2:8">
      <c r="B2629" t="s">
        <v>4562</v>
      </c>
      <c r="C2629" t="s">
        <v>4455</v>
      </c>
      <c r="D2629">
        <v>5.2497118376288901E-9</v>
      </c>
      <c r="E2629" t="s">
        <v>94</v>
      </c>
      <c r="H2629" t="s">
        <v>588</v>
      </c>
    </row>
    <row r="2630" spans="2:8">
      <c r="B2630" t="s">
        <v>4562</v>
      </c>
      <c r="C2630" t="s">
        <v>658</v>
      </c>
      <c r="D2630">
        <v>8.2549775095616898E-7</v>
      </c>
      <c r="E2630" t="s">
        <v>94</v>
      </c>
      <c r="H2630" t="s">
        <v>588</v>
      </c>
    </row>
    <row r="2631" spans="2:8">
      <c r="B2631" t="s">
        <v>4562</v>
      </c>
      <c r="C2631" t="s">
        <v>887</v>
      </c>
      <c r="D2631">
        <v>6.1663540045309994E-5</v>
      </c>
      <c r="E2631" t="s">
        <v>94</v>
      </c>
      <c r="H2631" t="s">
        <v>588</v>
      </c>
    </row>
    <row r="2632" spans="2:8">
      <c r="B2632" t="s">
        <v>4562</v>
      </c>
      <c r="C2632" t="s">
        <v>654</v>
      </c>
      <c r="D2632">
        <v>2.08892688524323E-7</v>
      </c>
      <c r="E2632" t="s">
        <v>94</v>
      </c>
      <c r="H2632" t="s">
        <v>588</v>
      </c>
    </row>
    <row r="2633" spans="2:8">
      <c r="B2633" t="s">
        <v>4563</v>
      </c>
      <c r="C2633" t="s">
        <v>658</v>
      </c>
      <c r="D2633">
        <v>2.4286148401263499E-8</v>
      </c>
      <c r="E2633" t="s">
        <v>94</v>
      </c>
      <c r="H2633" t="s">
        <v>588</v>
      </c>
    </row>
    <row r="2634" spans="2:8">
      <c r="B2634" t="s">
        <v>4563</v>
      </c>
      <c r="C2634" t="s">
        <v>654</v>
      </c>
      <c r="D2634">
        <v>6.3238142226402104E-7</v>
      </c>
      <c r="E2634" t="s">
        <v>94</v>
      </c>
      <c r="H2634" t="s">
        <v>588</v>
      </c>
    </row>
    <row r="2635" spans="2:8">
      <c r="B2635" t="s">
        <v>4563</v>
      </c>
      <c r="C2635" t="s">
        <v>887</v>
      </c>
      <c r="D2635">
        <v>3.9569530379619699E-5</v>
      </c>
      <c r="E2635" t="s">
        <v>94</v>
      </c>
      <c r="H2635" t="s">
        <v>588</v>
      </c>
    </row>
    <row r="2636" spans="2:8">
      <c r="B2636" t="s">
        <v>4563</v>
      </c>
      <c r="C2636" t="s">
        <v>712</v>
      </c>
      <c r="D2636">
        <v>1.0273565217947199E-12</v>
      </c>
      <c r="E2636" t="s">
        <v>94</v>
      </c>
      <c r="H2636" t="s">
        <v>588</v>
      </c>
    </row>
    <row r="2637" spans="2:8">
      <c r="B2637" t="s">
        <v>4564</v>
      </c>
      <c r="C2637" t="s">
        <v>887</v>
      </c>
      <c r="D2637">
        <v>4.0838107106209504E-6</v>
      </c>
      <c r="E2637" t="s">
        <v>94</v>
      </c>
      <c r="H2637" t="s">
        <v>588</v>
      </c>
    </row>
    <row r="2638" spans="2:8">
      <c r="B2638" t="s">
        <v>4564</v>
      </c>
      <c r="C2638" t="s">
        <v>658</v>
      </c>
      <c r="D2638">
        <v>4.26651869856383E-7</v>
      </c>
      <c r="E2638" t="s">
        <v>94</v>
      </c>
      <c r="H2638" t="s">
        <v>588</v>
      </c>
    </row>
    <row r="2639" spans="2:8">
      <c r="B2639" t="s">
        <v>4564</v>
      </c>
      <c r="C2639" t="s">
        <v>661</v>
      </c>
      <c r="D2639">
        <v>9.0149553100478003E-8</v>
      </c>
      <c r="E2639" t="s">
        <v>94</v>
      </c>
      <c r="H2639" t="s">
        <v>588</v>
      </c>
    </row>
    <row r="2640" spans="2:8">
      <c r="B2640" t="s">
        <v>4564</v>
      </c>
      <c r="C2640" t="s">
        <v>654</v>
      </c>
      <c r="D2640">
        <v>1.0636681989637E-6</v>
      </c>
      <c r="E2640" t="s">
        <v>94</v>
      </c>
      <c r="H2640" t="s">
        <v>588</v>
      </c>
    </row>
    <row r="2641" spans="2:8">
      <c r="B2641" t="s">
        <v>4565</v>
      </c>
      <c r="C2641" t="s">
        <v>887</v>
      </c>
      <c r="D2641">
        <v>2.7295962330451101E-5</v>
      </c>
      <c r="E2641" t="s">
        <v>94</v>
      </c>
      <c r="H2641" t="s">
        <v>588</v>
      </c>
    </row>
    <row r="2642" spans="2:8">
      <c r="B2642" t="s">
        <v>749</v>
      </c>
      <c r="C2642" t="s">
        <v>661</v>
      </c>
      <c r="D2642">
        <v>3.7435121479932603E-5</v>
      </c>
      <c r="E2642" t="s">
        <v>94</v>
      </c>
      <c r="H2642" t="s">
        <v>588</v>
      </c>
    </row>
    <row r="2643" spans="2:8">
      <c r="B2643" t="s">
        <v>749</v>
      </c>
      <c r="C2643" t="s">
        <v>4401</v>
      </c>
      <c r="D2643">
        <v>1.1742151251308601E-6</v>
      </c>
      <c r="E2643" t="s">
        <v>94</v>
      </c>
      <c r="H2643" t="s">
        <v>588</v>
      </c>
    </row>
    <row r="2644" spans="2:8">
      <c r="B2644" t="s">
        <v>749</v>
      </c>
      <c r="C2644" t="s">
        <v>658</v>
      </c>
      <c r="D2644">
        <v>2.2764956124208101E-9</v>
      </c>
      <c r="E2644" t="s">
        <v>94</v>
      </c>
      <c r="H2644" t="s">
        <v>588</v>
      </c>
    </row>
    <row r="2645" spans="2:8">
      <c r="B2645" t="s">
        <v>749</v>
      </c>
      <c r="C2645" t="s">
        <v>712</v>
      </c>
      <c r="D2645">
        <v>1.3135131172188501E-6</v>
      </c>
      <c r="E2645" t="s">
        <v>94</v>
      </c>
      <c r="H2645" t="s">
        <v>588</v>
      </c>
    </row>
    <row r="2646" spans="2:8">
      <c r="B2646" t="s">
        <v>940</v>
      </c>
      <c r="C2646" t="s">
        <v>654</v>
      </c>
      <c r="D2646">
        <v>2.8887912044229399E-10</v>
      </c>
      <c r="E2646" t="s">
        <v>94</v>
      </c>
      <c r="H2646" t="s">
        <v>588</v>
      </c>
    </row>
    <row r="2647" spans="2:8">
      <c r="B2647" t="s">
        <v>940</v>
      </c>
      <c r="C2647" t="s">
        <v>887</v>
      </c>
      <c r="D2647">
        <v>2.0191618867848501E-4</v>
      </c>
      <c r="E2647" t="s">
        <v>94</v>
      </c>
    </row>
    <row r="2648" spans="2:8">
      <c r="B2648" t="s">
        <v>4566</v>
      </c>
      <c r="C2648" t="s">
        <v>883</v>
      </c>
      <c r="D2648">
        <v>3.3295415177723702E-3</v>
      </c>
      <c r="E2648" t="s">
        <v>94</v>
      </c>
      <c r="H2648" t="s">
        <v>588</v>
      </c>
    </row>
    <row r="2649" spans="2:8">
      <c r="B2649" t="s">
        <v>4567</v>
      </c>
      <c r="C2649" t="s">
        <v>654</v>
      </c>
      <c r="D2649">
        <v>1.9166893824690301E-6</v>
      </c>
      <c r="E2649" t="s">
        <v>94</v>
      </c>
      <c r="H2649" t="s">
        <v>588</v>
      </c>
    </row>
    <row r="2650" spans="2:8">
      <c r="B2650" t="s">
        <v>4567</v>
      </c>
      <c r="C2650" t="s">
        <v>887</v>
      </c>
      <c r="D2650">
        <v>1.32186384223619E-5</v>
      </c>
      <c r="E2650" t="s">
        <v>94</v>
      </c>
      <c r="H2650" t="s">
        <v>588</v>
      </c>
    </row>
    <row r="2651" spans="2:8">
      <c r="B2651" t="s">
        <v>4567</v>
      </c>
      <c r="C2651" t="s">
        <v>658</v>
      </c>
      <c r="D2651">
        <v>9.1229232077148195E-8</v>
      </c>
      <c r="E2651" t="s">
        <v>94</v>
      </c>
      <c r="H2651" t="s">
        <v>588</v>
      </c>
    </row>
    <row r="2652" spans="2:8">
      <c r="B2652" t="s">
        <v>4567</v>
      </c>
      <c r="C2652" t="s">
        <v>4455</v>
      </c>
      <c r="D2652">
        <v>8.0277559358048494E-9</v>
      </c>
      <c r="E2652" t="s">
        <v>94</v>
      </c>
      <c r="H2652" t="s">
        <v>588</v>
      </c>
    </row>
    <row r="2653" spans="2:8">
      <c r="B2653" t="s">
        <v>243</v>
      </c>
      <c r="C2653" t="s">
        <v>658</v>
      </c>
      <c r="D2653">
        <v>5.2397141479291802E-10</v>
      </c>
      <c r="E2653" t="s">
        <v>94</v>
      </c>
      <c r="H2653" t="s">
        <v>588</v>
      </c>
    </row>
    <row r="2654" spans="2:8">
      <c r="B2654" t="s">
        <v>243</v>
      </c>
      <c r="C2654" t="s">
        <v>654</v>
      </c>
      <c r="D2654">
        <v>2.4847891246293799E-8</v>
      </c>
      <c r="E2654" t="s">
        <v>94</v>
      </c>
      <c r="H2654" t="s">
        <v>588</v>
      </c>
    </row>
    <row r="2655" spans="2:8">
      <c r="B2655" t="s">
        <v>243</v>
      </c>
      <c r="C2655" t="s">
        <v>887</v>
      </c>
      <c r="D2655">
        <v>1.93431321277828E-6</v>
      </c>
      <c r="E2655" t="s">
        <v>94</v>
      </c>
      <c r="H2655" t="s">
        <v>588</v>
      </c>
    </row>
    <row r="2656" spans="2:8">
      <c r="B2656" t="s">
        <v>243</v>
      </c>
      <c r="C2656" t="s">
        <v>4455</v>
      </c>
      <c r="D2656">
        <v>1.1287962066105899E-9</v>
      </c>
      <c r="E2656" t="s">
        <v>94</v>
      </c>
      <c r="H2656" t="s">
        <v>588</v>
      </c>
    </row>
    <row r="2657" spans="2:8">
      <c r="B2657" t="s">
        <v>4568</v>
      </c>
      <c r="C2657" t="s">
        <v>661</v>
      </c>
      <c r="D2657">
        <v>1.8990816235289701E-6</v>
      </c>
      <c r="E2657" t="s">
        <v>94</v>
      </c>
      <c r="H2657" t="s">
        <v>588</v>
      </c>
    </row>
    <row r="2658" spans="2:8">
      <c r="B2658" t="s">
        <v>4568</v>
      </c>
      <c r="C2658" t="s">
        <v>887</v>
      </c>
      <c r="D2658">
        <v>4.2850833059124899E-8</v>
      </c>
      <c r="E2658" t="s">
        <v>94</v>
      </c>
      <c r="H2658" t="s">
        <v>588</v>
      </c>
    </row>
    <row r="2659" spans="2:8">
      <c r="B2659" t="s">
        <v>750</v>
      </c>
      <c r="C2659" t="s">
        <v>887</v>
      </c>
      <c r="D2659">
        <v>1.0331302299086101E-6</v>
      </c>
      <c r="E2659" t="s">
        <v>94</v>
      </c>
      <c r="H2659" t="s">
        <v>588</v>
      </c>
    </row>
    <row r="2660" spans="2:8">
      <c r="B2660" t="s">
        <v>750</v>
      </c>
      <c r="C2660" t="s">
        <v>661</v>
      </c>
      <c r="D2660">
        <v>1.50308064714075E-8</v>
      </c>
      <c r="E2660" t="s">
        <v>94</v>
      </c>
      <c r="H2660" t="s">
        <v>588</v>
      </c>
    </row>
    <row r="2661" spans="2:8">
      <c r="B2661" t="s">
        <v>750</v>
      </c>
      <c r="C2661" t="s">
        <v>658</v>
      </c>
      <c r="D2661">
        <v>1.08863397862358E-6</v>
      </c>
      <c r="E2661" t="s">
        <v>94</v>
      </c>
      <c r="H2661" t="s">
        <v>588</v>
      </c>
    </row>
    <row r="2662" spans="2:8">
      <c r="B2662" t="s">
        <v>750</v>
      </c>
      <c r="C2662" t="s">
        <v>654</v>
      </c>
      <c r="D2662">
        <v>2.2893661689153401E-7</v>
      </c>
      <c r="E2662" t="s">
        <v>94</v>
      </c>
      <c r="H2662" t="s">
        <v>588</v>
      </c>
    </row>
    <row r="2663" spans="2:8">
      <c r="B2663" t="s">
        <v>750</v>
      </c>
      <c r="C2663" t="s">
        <v>4455</v>
      </c>
      <c r="D2663">
        <v>4.4355086754743898E-7</v>
      </c>
      <c r="E2663" t="s">
        <v>94</v>
      </c>
      <c r="H2663" t="s">
        <v>588</v>
      </c>
    </row>
    <row r="2664" spans="2:8">
      <c r="B2664" t="s">
        <v>4569</v>
      </c>
      <c r="C2664" t="s">
        <v>658</v>
      </c>
      <c r="D2664">
        <v>1.9846819749162602E-2</v>
      </c>
      <c r="E2664" t="s">
        <v>890</v>
      </c>
      <c r="H2664" t="s">
        <v>588</v>
      </c>
    </row>
    <row r="2665" spans="2:8">
      <c r="B2665" t="s">
        <v>4569</v>
      </c>
      <c r="C2665" t="s">
        <v>661</v>
      </c>
      <c r="D2665">
        <v>33.688848253612498</v>
      </c>
      <c r="E2665" t="s">
        <v>890</v>
      </c>
      <c r="H2665" t="s">
        <v>588</v>
      </c>
    </row>
    <row r="2666" spans="2:8">
      <c r="B2666" t="s">
        <v>4571</v>
      </c>
      <c r="C2666" t="s">
        <v>883</v>
      </c>
      <c r="D2666">
        <v>8.0968999300720197E-6</v>
      </c>
      <c r="E2666" t="s">
        <v>94</v>
      </c>
      <c r="H2666" t="s">
        <v>588</v>
      </c>
    </row>
    <row r="2667" spans="2:8">
      <c r="B2667" t="s">
        <v>4571</v>
      </c>
      <c r="C2667" t="s">
        <v>661</v>
      </c>
      <c r="D2667">
        <v>8.2642014516836893E-6</v>
      </c>
      <c r="E2667" t="s">
        <v>94</v>
      </c>
      <c r="H2667" t="s">
        <v>588</v>
      </c>
    </row>
    <row r="2668" spans="2:8">
      <c r="B2668" t="s">
        <v>4573</v>
      </c>
      <c r="C2668" t="s">
        <v>654</v>
      </c>
      <c r="D2668">
        <v>7.1755951388629894E-14</v>
      </c>
      <c r="E2668" t="s">
        <v>94</v>
      </c>
      <c r="H2668" t="s">
        <v>588</v>
      </c>
    </row>
    <row r="2669" spans="2:8">
      <c r="B2669" t="s">
        <v>649</v>
      </c>
      <c r="C2669" t="s">
        <v>650</v>
      </c>
      <c r="D2669">
        <v>2.9638074030634598E-8</v>
      </c>
      <c r="E2669" t="s">
        <v>94</v>
      </c>
      <c r="H2669" t="s">
        <v>588</v>
      </c>
    </row>
    <row r="2670" spans="2:8">
      <c r="B2670" t="s">
        <v>649</v>
      </c>
      <c r="C2670" t="s">
        <v>650</v>
      </c>
      <c r="D2670">
        <v>6.3896903001401403E-4</v>
      </c>
      <c r="E2670" t="s">
        <v>94</v>
      </c>
      <c r="H2670" t="s">
        <v>588</v>
      </c>
    </row>
    <row r="2671" spans="2:8">
      <c r="B2671" t="s">
        <v>649</v>
      </c>
      <c r="C2671" t="s">
        <v>650</v>
      </c>
      <c r="D2671">
        <v>3.44121008983035E-6</v>
      </c>
      <c r="E2671" t="s">
        <v>94</v>
      </c>
      <c r="H2671" t="s">
        <v>588</v>
      </c>
    </row>
    <row r="2672" spans="2:8">
      <c r="B2672" t="s">
        <v>977</v>
      </c>
      <c r="C2672" t="s">
        <v>787</v>
      </c>
      <c r="D2672">
        <v>6.2204009346419203E-3</v>
      </c>
      <c r="E2672" t="s">
        <v>94</v>
      </c>
      <c r="H2672" t="s">
        <v>588</v>
      </c>
    </row>
    <row r="2673" spans="2:8">
      <c r="B2673" t="s">
        <v>977</v>
      </c>
      <c r="C2673" t="s">
        <v>787</v>
      </c>
      <c r="D2673">
        <v>7.8170903990064395E-3</v>
      </c>
      <c r="E2673" t="s">
        <v>94</v>
      </c>
      <c r="H2673" t="s">
        <v>588</v>
      </c>
    </row>
    <row r="2674" spans="2:8">
      <c r="B2674" t="s">
        <v>4576</v>
      </c>
      <c r="C2674" t="s">
        <v>887</v>
      </c>
      <c r="D2674">
        <v>3.59457086196953E-10</v>
      </c>
      <c r="E2674" t="s">
        <v>94</v>
      </c>
      <c r="H2674" t="s">
        <v>588</v>
      </c>
    </row>
    <row r="2675" spans="2:8">
      <c r="B2675" t="s">
        <v>4576</v>
      </c>
      <c r="C2675" t="s">
        <v>654</v>
      </c>
      <c r="D2675">
        <v>2.9991657348423302E-10</v>
      </c>
      <c r="E2675" t="s">
        <v>94</v>
      </c>
      <c r="H2675" t="s">
        <v>588</v>
      </c>
    </row>
    <row r="2676" spans="2:8">
      <c r="B2676" t="s">
        <v>4577</v>
      </c>
      <c r="C2676" t="s">
        <v>661</v>
      </c>
      <c r="D2676">
        <v>1.2287344160104401E-3</v>
      </c>
      <c r="E2676" t="s">
        <v>890</v>
      </c>
      <c r="H2676" t="s">
        <v>588</v>
      </c>
    </row>
    <row r="2677" spans="2:8">
      <c r="B2677" t="s">
        <v>4577</v>
      </c>
      <c r="C2677" t="s">
        <v>658</v>
      </c>
      <c r="D2677">
        <v>5.7911047034213197E-4</v>
      </c>
      <c r="E2677" t="s">
        <v>890</v>
      </c>
      <c r="H2677" t="s">
        <v>588</v>
      </c>
    </row>
    <row r="2678" spans="2:8">
      <c r="B2678" t="s">
        <v>4578</v>
      </c>
      <c r="C2678" t="s">
        <v>658</v>
      </c>
      <c r="D2678">
        <v>1.4168366259546799E-6</v>
      </c>
      <c r="E2678" t="s">
        <v>890</v>
      </c>
      <c r="H2678" t="s">
        <v>588</v>
      </c>
    </row>
    <row r="2679" spans="2:8">
      <c r="B2679" t="s">
        <v>4578</v>
      </c>
      <c r="C2679" t="s">
        <v>661</v>
      </c>
      <c r="D2679">
        <v>9.7819416046244293E-7</v>
      </c>
      <c r="E2679" t="s">
        <v>890</v>
      </c>
      <c r="H2679" t="s">
        <v>588</v>
      </c>
    </row>
    <row r="2680" spans="2:8">
      <c r="B2680" t="s">
        <v>4579</v>
      </c>
      <c r="C2680" t="s">
        <v>4401</v>
      </c>
      <c r="D2680">
        <v>7.5916427166781706E-5</v>
      </c>
      <c r="E2680" t="s">
        <v>94</v>
      </c>
      <c r="H2680" t="s">
        <v>588</v>
      </c>
    </row>
    <row r="2681" spans="2:8">
      <c r="B2681" t="s">
        <v>4579</v>
      </c>
      <c r="C2681" t="s">
        <v>887</v>
      </c>
      <c r="D2681">
        <v>1.73392314520826E-6</v>
      </c>
      <c r="E2681" t="s">
        <v>94</v>
      </c>
      <c r="H2681" t="s">
        <v>588</v>
      </c>
    </row>
    <row r="2682" spans="2:8">
      <c r="B2682" t="s">
        <v>4579</v>
      </c>
      <c r="C2682" t="s">
        <v>654</v>
      </c>
      <c r="D2682">
        <v>3.5504298292523098E-7</v>
      </c>
      <c r="E2682" t="s">
        <v>94</v>
      </c>
      <c r="H2682" t="s">
        <v>588</v>
      </c>
    </row>
    <row r="2683" spans="2:8">
      <c r="B2683" t="s">
        <v>4579</v>
      </c>
      <c r="C2683" t="s">
        <v>658</v>
      </c>
      <c r="D2683">
        <v>1.66814283734901E-9</v>
      </c>
      <c r="E2683" t="s">
        <v>94</v>
      </c>
      <c r="H2683" t="s">
        <v>588</v>
      </c>
    </row>
    <row r="2684" spans="2:8">
      <c r="B2684" t="s">
        <v>751</v>
      </c>
      <c r="C2684" t="s">
        <v>661</v>
      </c>
      <c r="D2684">
        <v>1.1596254030892E-5</v>
      </c>
      <c r="E2684" t="s">
        <v>94</v>
      </c>
      <c r="H2684" t="s">
        <v>588</v>
      </c>
    </row>
    <row r="2685" spans="2:8">
      <c r="B2685" t="s">
        <v>751</v>
      </c>
      <c r="C2685" t="s">
        <v>883</v>
      </c>
      <c r="D2685">
        <v>1.1015692211675699E-8</v>
      </c>
      <c r="E2685" t="s">
        <v>94</v>
      </c>
      <c r="H2685" t="s">
        <v>588</v>
      </c>
    </row>
    <row r="2686" spans="2:8">
      <c r="B2686" t="s">
        <v>751</v>
      </c>
      <c r="C2686" t="s">
        <v>881</v>
      </c>
      <c r="D2686">
        <v>1.18542722387529E-7</v>
      </c>
      <c r="E2686" t="s">
        <v>94</v>
      </c>
      <c r="H2686" t="s">
        <v>588</v>
      </c>
    </row>
    <row r="2687" spans="2:8">
      <c r="B2687" t="s">
        <v>751</v>
      </c>
      <c r="C2687" t="s">
        <v>712</v>
      </c>
      <c r="D2687">
        <v>1.20825780010816E-5</v>
      </c>
      <c r="E2687" t="s">
        <v>94</v>
      </c>
      <c r="H2687" t="s">
        <v>588</v>
      </c>
    </row>
    <row r="2688" spans="2:8">
      <c r="B2688" t="s">
        <v>4580</v>
      </c>
      <c r="C2688" t="s">
        <v>661</v>
      </c>
      <c r="D2688">
        <v>5.7079444287613098E-3</v>
      </c>
      <c r="E2688" t="s">
        <v>890</v>
      </c>
      <c r="H2688" t="s">
        <v>588</v>
      </c>
    </row>
    <row r="2689" spans="2:8">
      <c r="B2689" t="s">
        <v>4581</v>
      </c>
      <c r="C2689" t="s">
        <v>658</v>
      </c>
      <c r="D2689">
        <v>3.1685343197701498E-3</v>
      </c>
      <c r="E2689" t="s">
        <v>890</v>
      </c>
      <c r="H2689" t="s">
        <v>588</v>
      </c>
    </row>
    <row r="2690" spans="2:8">
      <c r="B2690" t="s">
        <v>4582</v>
      </c>
      <c r="C2690" t="s">
        <v>658</v>
      </c>
      <c r="D2690">
        <v>1.1542561868779701E-2</v>
      </c>
      <c r="E2690" t="s">
        <v>890</v>
      </c>
      <c r="H2690" t="s">
        <v>588</v>
      </c>
    </row>
    <row r="2691" spans="2:8">
      <c r="B2691" t="s">
        <v>4583</v>
      </c>
      <c r="C2691" t="s">
        <v>658</v>
      </c>
      <c r="D2691">
        <v>1.5864651531110501E-3</v>
      </c>
      <c r="E2691" t="s">
        <v>890</v>
      </c>
      <c r="H2691" t="s">
        <v>588</v>
      </c>
    </row>
    <row r="2692" spans="2:8">
      <c r="B2692" t="s">
        <v>4584</v>
      </c>
      <c r="C2692" t="s">
        <v>658</v>
      </c>
      <c r="D2692">
        <v>2.06359998903189E-3</v>
      </c>
      <c r="E2692" t="s">
        <v>890</v>
      </c>
      <c r="H2692" t="s">
        <v>588</v>
      </c>
    </row>
    <row r="2693" spans="2:8">
      <c r="B2693" t="s">
        <v>4585</v>
      </c>
      <c r="C2693" t="s">
        <v>658</v>
      </c>
      <c r="D2693">
        <v>8.6885786013233895E-4</v>
      </c>
      <c r="E2693" t="s">
        <v>890</v>
      </c>
      <c r="H2693" t="s">
        <v>588</v>
      </c>
    </row>
    <row r="2694" spans="2:8">
      <c r="B2694" t="s">
        <v>4586</v>
      </c>
      <c r="C2694" t="s">
        <v>658</v>
      </c>
      <c r="D2694">
        <v>4.11229171627208E-8</v>
      </c>
      <c r="E2694" t="s">
        <v>890</v>
      </c>
      <c r="H2694" t="s">
        <v>588</v>
      </c>
    </row>
    <row r="2695" spans="2:8">
      <c r="B2695" t="s">
        <v>4586</v>
      </c>
      <c r="C2695" t="s">
        <v>661</v>
      </c>
      <c r="D2695">
        <v>1.5621363040644899E-6</v>
      </c>
      <c r="E2695" t="s">
        <v>890</v>
      </c>
      <c r="H2695" t="s">
        <v>588</v>
      </c>
    </row>
    <row r="2696" spans="2:8">
      <c r="B2696" t="s">
        <v>752</v>
      </c>
      <c r="C2696" t="s">
        <v>712</v>
      </c>
      <c r="D2696">
        <v>1.3337380262246599E-7</v>
      </c>
      <c r="E2696" t="s">
        <v>94</v>
      </c>
      <c r="H2696" t="s">
        <v>588</v>
      </c>
    </row>
    <row r="2697" spans="2:8">
      <c r="B2697" t="s">
        <v>752</v>
      </c>
      <c r="C2697" t="s">
        <v>881</v>
      </c>
      <c r="D2697">
        <v>6.9208991514991396E-9</v>
      </c>
      <c r="E2697" t="s">
        <v>94</v>
      </c>
      <c r="H2697" t="s">
        <v>588</v>
      </c>
    </row>
    <row r="2698" spans="2:8">
      <c r="B2698" t="s">
        <v>752</v>
      </c>
      <c r="C2698" t="s">
        <v>654</v>
      </c>
      <c r="D2698">
        <v>1.8341074174226899E-7</v>
      </c>
      <c r="E2698" t="s">
        <v>94</v>
      </c>
      <c r="H2698" t="s">
        <v>588</v>
      </c>
    </row>
    <row r="2699" spans="2:8">
      <c r="B2699" t="s">
        <v>752</v>
      </c>
      <c r="C2699" t="s">
        <v>658</v>
      </c>
      <c r="D2699">
        <v>4.7642375017669201E-8</v>
      </c>
      <c r="E2699" t="s">
        <v>94</v>
      </c>
      <c r="H2699" t="s">
        <v>588</v>
      </c>
    </row>
    <row r="2700" spans="2:8">
      <c r="B2700" t="s">
        <v>752</v>
      </c>
      <c r="C2700" t="s">
        <v>883</v>
      </c>
      <c r="D2700">
        <v>4.36310101151131E-9</v>
      </c>
      <c r="E2700" t="s">
        <v>94</v>
      </c>
      <c r="H2700" t="s">
        <v>588</v>
      </c>
    </row>
    <row r="2701" spans="2:8">
      <c r="B2701" t="s">
        <v>752</v>
      </c>
      <c r="C2701" t="s">
        <v>4401</v>
      </c>
      <c r="D2701">
        <v>1.2267327660435401E-11</v>
      </c>
      <c r="E2701" t="s">
        <v>94</v>
      </c>
    </row>
    <row r="2702" spans="2:8">
      <c r="B2702" t="s">
        <v>752</v>
      </c>
      <c r="C2702" t="s">
        <v>4389</v>
      </c>
      <c r="D2702">
        <v>5.4295876722188103E-11</v>
      </c>
      <c r="E2702" t="s">
        <v>94</v>
      </c>
      <c r="H2702" t="s">
        <v>588</v>
      </c>
    </row>
    <row r="2703" spans="2:8">
      <c r="B2703" t="s">
        <v>752</v>
      </c>
      <c r="C2703" t="s">
        <v>887</v>
      </c>
      <c r="D2703">
        <v>1.54295944045057E-6</v>
      </c>
      <c r="E2703" t="s">
        <v>94</v>
      </c>
      <c r="H2703" t="s">
        <v>588</v>
      </c>
    </row>
    <row r="2704" spans="2:8">
      <c r="B2704" t="s">
        <v>752</v>
      </c>
      <c r="C2704" t="s">
        <v>4413</v>
      </c>
      <c r="D2704">
        <v>2.7543307941380998E-7</v>
      </c>
      <c r="E2704" t="s">
        <v>94</v>
      </c>
    </row>
    <row r="2705" spans="2:8">
      <c r="B2705" t="s">
        <v>752</v>
      </c>
      <c r="C2705" t="s">
        <v>661</v>
      </c>
      <c r="D2705">
        <v>2.74789417215456E-7</v>
      </c>
      <c r="E2705" t="s">
        <v>94</v>
      </c>
      <c r="H2705" t="s">
        <v>588</v>
      </c>
    </row>
    <row r="2706" spans="2:8">
      <c r="B2706" t="s">
        <v>4588</v>
      </c>
      <c r="C2706" t="s">
        <v>787</v>
      </c>
      <c r="D2706">
        <v>5.2859079267422696E-7</v>
      </c>
      <c r="E2706" t="s">
        <v>94</v>
      </c>
    </row>
    <row r="2707" spans="2:8">
      <c r="B2707" t="s">
        <v>889</v>
      </c>
      <c r="C2707" t="s">
        <v>661</v>
      </c>
      <c r="D2707">
        <v>3.7730919717294398E-4</v>
      </c>
      <c r="E2707" t="s">
        <v>890</v>
      </c>
      <c r="H2707" t="s">
        <v>588</v>
      </c>
    </row>
    <row r="2708" spans="2:8">
      <c r="B2708" t="s">
        <v>889</v>
      </c>
      <c r="C2708" t="s">
        <v>654</v>
      </c>
      <c r="D2708">
        <v>4.6665338445016202E-7</v>
      </c>
      <c r="E2708" t="s">
        <v>890</v>
      </c>
      <c r="H2708" t="s">
        <v>588</v>
      </c>
    </row>
    <row r="2709" spans="2:8">
      <c r="B2709" t="s">
        <v>889</v>
      </c>
      <c r="C2709" t="s">
        <v>887</v>
      </c>
      <c r="D2709">
        <v>5.6465305520802995E-7</v>
      </c>
      <c r="E2709" t="s">
        <v>890</v>
      </c>
      <c r="H2709" t="s">
        <v>588</v>
      </c>
    </row>
    <row r="2710" spans="2:8">
      <c r="B2710" t="s">
        <v>4592</v>
      </c>
      <c r="C2710" t="s">
        <v>787</v>
      </c>
      <c r="D2710">
        <v>8.4756339931408593E-3</v>
      </c>
      <c r="E2710" t="s">
        <v>94</v>
      </c>
      <c r="H2710" t="s">
        <v>588</v>
      </c>
    </row>
    <row r="2711" spans="2:8">
      <c r="B2711" t="s">
        <v>4592</v>
      </c>
      <c r="C2711" t="s">
        <v>787</v>
      </c>
      <c r="D2711">
        <v>1.8451195779707601E-5</v>
      </c>
      <c r="E2711" t="s">
        <v>94</v>
      </c>
      <c r="H2711" t="s">
        <v>588</v>
      </c>
    </row>
    <row r="2712" spans="2:8">
      <c r="B2712" t="s">
        <v>4596</v>
      </c>
      <c r="C2712" t="s">
        <v>650</v>
      </c>
      <c r="D2712">
        <v>6.5498784208247793E-5</v>
      </c>
      <c r="E2712" t="s">
        <v>94</v>
      </c>
      <c r="H2712" t="s">
        <v>588</v>
      </c>
    </row>
    <row r="2713" spans="2:8">
      <c r="B2713" t="s">
        <v>4596</v>
      </c>
      <c r="C2713" t="s">
        <v>650</v>
      </c>
      <c r="D2713">
        <v>1.9533803148724001E-4</v>
      </c>
      <c r="E2713" t="s">
        <v>94</v>
      </c>
      <c r="H2713" t="s">
        <v>588</v>
      </c>
    </row>
    <row r="2714" spans="2:8">
      <c r="B2714" t="s">
        <v>4599</v>
      </c>
      <c r="C2714" t="s">
        <v>744</v>
      </c>
      <c r="D2714">
        <v>4.1020506330249598E-8</v>
      </c>
      <c r="E2714" t="s">
        <v>640</v>
      </c>
      <c r="H2714" t="s">
        <v>588</v>
      </c>
    </row>
    <row r="2715" spans="2:8">
      <c r="B2715" t="s">
        <v>4601</v>
      </c>
      <c r="C2715" t="s">
        <v>744</v>
      </c>
      <c r="D2715">
        <v>2.94726463102059E-8</v>
      </c>
      <c r="E2715" t="s">
        <v>640</v>
      </c>
      <c r="H2715" t="s">
        <v>588</v>
      </c>
    </row>
    <row r="2716" spans="2:8">
      <c r="B2716" t="s">
        <v>4603</v>
      </c>
      <c r="C2716" t="s">
        <v>887</v>
      </c>
      <c r="D2716">
        <v>1.46678579198252E-6</v>
      </c>
      <c r="E2716" t="s">
        <v>94</v>
      </c>
      <c r="H2716" t="s">
        <v>588</v>
      </c>
    </row>
    <row r="2717" spans="2:8">
      <c r="B2717" t="s">
        <v>4603</v>
      </c>
      <c r="C2717" t="s">
        <v>658</v>
      </c>
      <c r="D2717">
        <v>2.0721289425717101E-9</v>
      </c>
      <c r="E2717" t="s">
        <v>94</v>
      </c>
      <c r="H2717" t="s">
        <v>588</v>
      </c>
    </row>
    <row r="2718" spans="2:8">
      <c r="B2718" t="s">
        <v>4603</v>
      </c>
      <c r="C2718" t="s">
        <v>654</v>
      </c>
      <c r="D2718">
        <v>2.1857630081306799E-8</v>
      </c>
      <c r="E2718" t="s">
        <v>94</v>
      </c>
      <c r="H2718" t="s">
        <v>588</v>
      </c>
    </row>
    <row r="2719" spans="2:8">
      <c r="B2719" t="s">
        <v>4604</v>
      </c>
      <c r="C2719" t="s">
        <v>654</v>
      </c>
      <c r="D2719">
        <v>1.2327368961682901E-7</v>
      </c>
      <c r="E2719" t="s">
        <v>94</v>
      </c>
      <c r="H2719" t="s">
        <v>588</v>
      </c>
    </row>
    <row r="2720" spans="2:8">
      <c r="B2720" t="s">
        <v>4604</v>
      </c>
      <c r="C2720" t="s">
        <v>887</v>
      </c>
      <c r="D2720">
        <v>4.4563291939927001E-6</v>
      </c>
      <c r="E2720" t="s">
        <v>94</v>
      </c>
      <c r="H2720" t="s">
        <v>588</v>
      </c>
    </row>
    <row r="2721" spans="2:8">
      <c r="B2721" t="s">
        <v>4604</v>
      </c>
      <c r="C2721" t="s">
        <v>661</v>
      </c>
      <c r="D2721">
        <v>2.2848069122162899E-4</v>
      </c>
      <c r="E2721" t="s">
        <v>94</v>
      </c>
      <c r="H2721" t="s">
        <v>588</v>
      </c>
    </row>
    <row r="2722" spans="2:8">
      <c r="B2722" t="s">
        <v>4604</v>
      </c>
      <c r="C2722" t="s">
        <v>658</v>
      </c>
      <c r="D2722">
        <v>1.3146837319413899E-9</v>
      </c>
      <c r="E2722" t="s">
        <v>94</v>
      </c>
      <c r="H2722" t="s">
        <v>588</v>
      </c>
    </row>
    <row r="2723" spans="2:8">
      <c r="B2723" t="s">
        <v>4604</v>
      </c>
      <c r="C2723" t="s">
        <v>883</v>
      </c>
      <c r="D2723">
        <v>3.3063147804719903E-2</v>
      </c>
      <c r="E2723" t="s">
        <v>94</v>
      </c>
      <c r="H2723" t="s">
        <v>588</v>
      </c>
    </row>
    <row r="2724" spans="2:8">
      <c r="B2724" t="s">
        <v>753</v>
      </c>
      <c r="C2724" t="s">
        <v>881</v>
      </c>
      <c r="D2724">
        <v>9.1725327469561202E-8</v>
      </c>
      <c r="E2724" t="s">
        <v>94</v>
      </c>
      <c r="H2724" t="s">
        <v>588</v>
      </c>
    </row>
    <row r="2725" spans="2:8">
      <c r="B2725" t="s">
        <v>753</v>
      </c>
      <c r="C2725" t="s">
        <v>658</v>
      </c>
      <c r="D2725">
        <v>1.32847063185296E-9</v>
      </c>
      <c r="E2725" t="s">
        <v>94</v>
      </c>
      <c r="H2725" t="s">
        <v>588</v>
      </c>
    </row>
    <row r="2726" spans="2:8">
      <c r="B2726" t="s">
        <v>753</v>
      </c>
      <c r="C2726" t="s">
        <v>654</v>
      </c>
      <c r="D2726">
        <v>5.7266761884288499E-8</v>
      </c>
      <c r="E2726" t="s">
        <v>94</v>
      </c>
      <c r="H2726" t="s">
        <v>588</v>
      </c>
    </row>
    <row r="2727" spans="2:8">
      <c r="B2727" t="s">
        <v>753</v>
      </c>
      <c r="C2727" t="s">
        <v>4389</v>
      </c>
      <c r="D2727">
        <v>3.3672374685216398E-9</v>
      </c>
      <c r="E2727" t="s">
        <v>94</v>
      </c>
      <c r="H2727" t="s">
        <v>588</v>
      </c>
    </row>
    <row r="2728" spans="2:8">
      <c r="B2728" t="s">
        <v>753</v>
      </c>
      <c r="C2728" t="s">
        <v>887</v>
      </c>
      <c r="D2728">
        <v>2.4454839790667099E-6</v>
      </c>
      <c r="E2728" t="s">
        <v>94</v>
      </c>
      <c r="H2728" t="s">
        <v>588</v>
      </c>
    </row>
    <row r="2729" spans="2:8">
      <c r="B2729" t="s">
        <v>753</v>
      </c>
      <c r="C2729" t="s">
        <v>661</v>
      </c>
      <c r="D2729">
        <v>1.7351073032737E-7</v>
      </c>
      <c r="E2729" t="s">
        <v>94</v>
      </c>
      <c r="H2729" t="s">
        <v>588</v>
      </c>
    </row>
    <row r="2730" spans="2:8">
      <c r="B2730" t="s">
        <v>753</v>
      </c>
      <c r="C2730" t="s">
        <v>712</v>
      </c>
      <c r="D2730">
        <v>6.5559714250060995E-7</v>
      </c>
      <c r="E2730" t="s">
        <v>94</v>
      </c>
      <c r="H2730" t="s">
        <v>588</v>
      </c>
    </row>
    <row r="2731" spans="2:8">
      <c r="B2731" t="s">
        <v>753</v>
      </c>
      <c r="C2731" t="s">
        <v>883</v>
      </c>
      <c r="D2731">
        <v>2.7009061112380199E-11</v>
      </c>
      <c r="E2731" t="s">
        <v>94</v>
      </c>
      <c r="H2731" t="s">
        <v>588</v>
      </c>
    </row>
    <row r="2732" spans="2:8">
      <c r="B2732" t="s">
        <v>4605</v>
      </c>
      <c r="C2732" t="s">
        <v>658</v>
      </c>
      <c r="D2732">
        <v>3.8277935472226699E-9</v>
      </c>
      <c r="E2732" t="s">
        <v>890</v>
      </c>
      <c r="H2732" t="s">
        <v>588</v>
      </c>
    </row>
    <row r="2733" spans="2:8">
      <c r="B2733" t="s">
        <v>4605</v>
      </c>
      <c r="C2733" t="s">
        <v>661</v>
      </c>
      <c r="D2733">
        <v>2.9106555989690901E-5</v>
      </c>
      <c r="E2733" t="s">
        <v>890</v>
      </c>
      <c r="H2733" t="s">
        <v>588</v>
      </c>
    </row>
    <row r="2734" spans="2:8">
      <c r="B2734" t="s">
        <v>754</v>
      </c>
      <c r="C2734" t="s">
        <v>4413</v>
      </c>
      <c r="D2734">
        <v>1.84180494510943E-9</v>
      </c>
      <c r="E2734" t="s">
        <v>94</v>
      </c>
    </row>
    <row r="2735" spans="2:8">
      <c r="B2735" t="s">
        <v>754</v>
      </c>
      <c r="C2735" t="s">
        <v>887</v>
      </c>
      <c r="D2735">
        <v>2.0418508376018199E-8</v>
      </c>
      <c r="E2735" t="s">
        <v>94</v>
      </c>
      <c r="H2735" t="s">
        <v>588</v>
      </c>
    </row>
    <row r="2736" spans="2:8">
      <c r="B2736" t="s">
        <v>754</v>
      </c>
      <c r="C2736" t="s">
        <v>661</v>
      </c>
      <c r="D2736">
        <v>1.1426137809236301E-8</v>
      </c>
      <c r="E2736" t="s">
        <v>94</v>
      </c>
      <c r="H2736" t="s">
        <v>588</v>
      </c>
    </row>
    <row r="2737" spans="2:8">
      <c r="B2737" t="s">
        <v>754</v>
      </c>
      <c r="C2737" t="s">
        <v>883</v>
      </c>
      <c r="D2737">
        <v>2.05995532190961E-10</v>
      </c>
      <c r="E2737" t="s">
        <v>94</v>
      </c>
      <c r="H2737" t="s">
        <v>588</v>
      </c>
    </row>
    <row r="2738" spans="2:8">
      <c r="B2738" t="s">
        <v>754</v>
      </c>
      <c r="C2738" t="s">
        <v>654</v>
      </c>
      <c r="D2738">
        <v>4.5957641848364397E-9</v>
      </c>
      <c r="E2738" t="s">
        <v>94</v>
      </c>
      <c r="H2738" t="s">
        <v>588</v>
      </c>
    </row>
    <row r="2739" spans="2:8">
      <c r="B2739" t="s">
        <v>754</v>
      </c>
      <c r="C2739" t="s">
        <v>4389</v>
      </c>
      <c r="D2739">
        <v>9.4476138577060091E-13</v>
      </c>
      <c r="E2739" t="s">
        <v>94</v>
      </c>
      <c r="H2739" t="s">
        <v>588</v>
      </c>
    </row>
    <row r="2740" spans="2:8">
      <c r="B2740" t="s">
        <v>754</v>
      </c>
      <c r="C2740" t="s">
        <v>881</v>
      </c>
      <c r="D2740">
        <v>1.2962068905409399E-9</v>
      </c>
      <c r="E2740" t="s">
        <v>94</v>
      </c>
      <c r="H2740" t="s">
        <v>588</v>
      </c>
    </row>
    <row r="2741" spans="2:8">
      <c r="B2741" t="s">
        <v>754</v>
      </c>
      <c r="C2741" t="s">
        <v>658</v>
      </c>
      <c r="D2741">
        <v>1.92728249494172E-10</v>
      </c>
      <c r="E2741" t="s">
        <v>94</v>
      </c>
      <c r="H2741" t="s">
        <v>588</v>
      </c>
    </row>
    <row r="2742" spans="2:8">
      <c r="B2742" t="s">
        <v>754</v>
      </c>
      <c r="C2742" t="s">
        <v>712</v>
      </c>
      <c r="D2742">
        <v>3.4365605314709298E-9</v>
      </c>
      <c r="E2742" t="s">
        <v>94</v>
      </c>
      <c r="H2742" t="s">
        <v>588</v>
      </c>
    </row>
    <row r="2743" spans="2:8">
      <c r="B2743" t="s">
        <v>4607</v>
      </c>
      <c r="C2743" t="s">
        <v>4413</v>
      </c>
      <c r="D2743">
        <v>6.9178269926012095E-8</v>
      </c>
      <c r="E2743" t="s">
        <v>94</v>
      </c>
      <c r="H2743" t="s">
        <v>588</v>
      </c>
    </row>
    <row r="2744" spans="2:8">
      <c r="B2744" t="s">
        <v>4608</v>
      </c>
      <c r="C2744" t="s">
        <v>4413</v>
      </c>
      <c r="D2744">
        <v>1.7467446019021901E-6</v>
      </c>
      <c r="E2744" t="s">
        <v>94</v>
      </c>
      <c r="H2744" t="s">
        <v>588</v>
      </c>
    </row>
    <row r="2745" spans="2:8">
      <c r="B2745" t="s">
        <v>4609</v>
      </c>
      <c r="C2745" t="s">
        <v>654</v>
      </c>
      <c r="D2745">
        <v>6.7117585241318002E-8</v>
      </c>
      <c r="E2745" t="s">
        <v>94</v>
      </c>
      <c r="H2745" t="s">
        <v>588</v>
      </c>
    </row>
    <row r="2746" spans="2:8">
      <c r="B2746" t="s">
        <v>4611</v>
      </c>
      <c r="C2746" t="s">
        <v>658</v>
      </c>
      <c r="D2746">
        <v>1.39411004101667E-11</v>
      </c>
      <c r="E2746" t="s">
        <v>94</v>
      </c>
      <c r="H2746" t="s">
        <v>588</v>
      </c>
    </row>
    <row r="2747" spans="2:8">
      <c r="B2747" t="s">
        <v>4614</v>
      </c>
      <c r="C2747" t="s">
        <v>658</v>
      </c>
      <c r="D2747">
        <v>4.0833596530226798E-9</v>
      </c>
      <c r="E2747" t="s">
        <v>94</v>
      </c>
      <c r="H2747" t="s">
        <v>588</v>
      </c>
    </row>
    <row r="2748" spans="2:8">
      <c r="B2748" t="s">
        <v>4614</v>
      </c>
      <c r="C2748" t="s">
        <v>887</v>
      </c>
      <c r="D2748">
        <v>4.6048964597266002E-10</v>
      </c>
      <c r="E2748" t="s">
        <v>94</v>
      </c>
      <c r="H2748" t="s">
        <v>588</v>
      </c>
    </row>
    <row r="2749" spans="2:8">
      <c r="B2749" t="s">
        <v>826</v>
      </c>
      <c r="C2749" t="s">
        <v>887</v>
      </c>
      <c r="D2749">
        <v>1.18973042550156E-7</v>
      </c>
      <c r="E2749" t="s">
        <v>94</v>
      </c>
    </row>
    <row r="2750" spans="2:8">
      <c r="B2750" t="s">
        <v>826</v>
      </c>
      <c r="C2750" t="s">
        <v>654</v>
      </c>
      <c r="D2750">
        <v>7.3338936352229701E-12</v>
      </c>
      <c r="E2750" t="s">
        <v>94</v>
      </c>
      <c r="H2750" t="s">
        <v>588</v>
      </c>
    </row>
    <row r="2751" spans="2:8">
      <c r="B2751" t="s">
        <v>826</v>
      </c>
      <c r="C2751" t="s">
        <v>658</v>
      </c>
      <c r="D2751">
        <v>1.4578617444849901E-9</v>
      </c>
      <c r="E2751" t="s">
        <v>94</v>
      </c>
      <c r="H2751" t="s">
        <v>588</v>
      </c>
    </row>
    <row r="2752" spans="2:8">
      <c r="B2752" t="s">
        <v>4618</v>
      </c>
      <c r="C2752" t="s">
        <v>887</v>
      </c>
      <c r="D2752">
        <v>6.2409517879412202E-10</v>
      </c>
      <c r="E2752" t="s">
        <v>94</v>
      </c>
    </row>
    <row r="2753" spans="2:8">
      <c r="B2753" t="s">
        <v>4618</v>
      </c>
      <c r="C2753" t="s">
        <v>654</v>
      </c>
      <c r="D2753">
        <v>3.28934361232834E-9</v>
      </c>
      <c r="E2753" t="s">
        <v>94</v>
      </c>
      <c r="H2753" t="s">
        <v>588</v>
      </c>
    </row>
    <row r="2754" spans="2:8">
      <c r="B2754" t="s">
        <v>4619</v>
      </c>
      <c r="C2754" t="s">
        <v>887</v>
      </c>
      <c r="D2754">
        <v>7.79966453562068E-7</v>
      </c>
      <c r="E2754" t="s">
        <v>94</v>
      </c>
      <c r="H2754" t="s">
        <v>588</v>
      </c>
    </row>
    <row r="2755" spans="2:8">
      <c r="B2755" t="s">
        <v>4619</v>
      </c>
      <c r="C2755" t="s">
        <v>658</v>
      </c>
      <c r="D2755">
        <v>1.45786174448499E-11</v>
      </c>
      <c r="E2755" t="s">
        <v>94</v>
      </c>
      <c r="H2755" t="s">
        <v>588</v>
      </c>
    </row>
    <row r="2756" spans="2:8">
      <c r="B2756" t="s">
        <v>755</v>
      </c>
      <c r="C2756" t="s">
        <v>658</v>
      </c>
      <c r="D2756">
        <v>8.3496550298033001E-5</v>
      </c>
      <c r="E2756" t="s">
        <v>94</v>
      </c>
      <c r="H2756" t="s">
        <v>588</v>
      </c>
    </row>
    <row r="2757" spans="2:8">
      <c r="B2757" t="s">
        <v>755</v>
      </c>
      <c r="C2757" t="s">
        <v>654</v>
      </c>
      <c r="D2757">
        <v>9.6233947060227192E-6</v>
      </c>
      <c r="E2757" t="s">
        <v>94</v>
      </c>
      <c r="H2757" t="s">
        <v>588</v>
      </c>
    </row>
    <row r="2758" spans="2:8">
      <c r="B2758" t="s">
        <v>755</v>
      </c>
      <c r="C2758" t="s">
        <v>887</v>
      </c>
      <c r="D2758">
        <v>1.8614263934922299E-3</v>
      </c>
      <c r="E2758" t="s">
        <v>94</v>
      </c>
      <c r="H2758" t="s">
        <v>588</v>
      </c>
    </row>
    <row r="2759" spans="2:8">
      <c r="B2759" t="s">
        <v>755</v>
      </c>
      <c r="C2759" t="s">
        <v>4455</v>
      </c>
      <c r="D2759">
        <v>1.1169109388868801E-9</v>
      </c>
      <c r="E2759" t="s">
        <v>94</v>
      </c>
      <c r="H2759" t="s">
        <v>588</v>
      </c>
    </row>
    <row r="2760" spans="2:8">
      <c r="B2760" t="s">
        <v>4621</v>
      </c>
      <c r="C2760" t="s">
        <v>658</v>
      </c>
      <c r="D2760">
        <v>3.0312782663513199E-6</v>
      </c>
      <c r="E2760" t="s">
        <v>94</v>
      </c>
      <c r="H2760" t="s">
        <v>588</v>
      </c>
    </row>
    <row r="2761" spans="2:8">
      <c r="B2761" t="s">
        <v>4621</v>
      </c>
      <c r="C2761" t="s">
        <v>887</v>
      </c>
      <c r="D2761">
        <v>1.9402216211640099E-5</v>
      </c>
      <c r="E2761" t="s">
        <v>94</v>
      </c>
      <c r="H2761" t="s">
        <v>588</v>
      </c>
    </row>
    <row r="2762" spans="2:8">
      <c r="B2762" t="s">
        <v>4621</v>
      </c>
      <c r="C2762" t="s">
        <v>654</v>
      </c>
      <c r="D2762">
        <v>3.8595589606828201E-7</v>
      </c>
      <c r="E2762" t="s">
        <v>94</v>
      </c>
      <c r="H2762" t="s">
        <v>588</v>
      </c>
    </row>
    <row r="2763" spans="2:8">
      <c r="B2763" t="s">
        <v>4622</v>
      </c>
      <c r="C2763" t="s">
        <v>887</v>
      </c>
      <c r="D2763">
        <v>1.46525340691151E-10</v>
      </c>
      <c r="E2763" t="s">
        <v>94</v>
      </c>
      <c r="H2763" t="s">
        <v>588</v>
      </c>
    </row>
    <row r="2764" spans="2:8">
      <c r="B2764" t="s">
        <v>827</v>
      </c>
      <c r="C2764" t="s">
        <v>712</v>
      </c>
      <c r="D2764">
        <v>8.2797156180509804E-10</v>
      </c>
      <c r="E2764" t="s">
        <v>94</v>
      </c>
      <c r="H2764" t="s">
        <v>588</v>
      </c>
    </row>
    <row r="2765" spans="2:8">
      <c r="B2765" t="s">
        <v>827</v>
      </c>
      <c r="C2765" t="s">
        <v>661</v>
      </c>
      <c r="D2765">
        <v>9.6065837360755494E-9</v>
      </c>
      <c r="E2765" t="s">
        <v>94</v>
      </c>
      <c r="H2765" t="s">
        <v>588</v>
      </c>
    </row>
    <row r="2766" spans="2:8">
      <c r="B2766" t="s">
        <v>827</v>
      </c>
      <c r="C2766" t="s">
        <v>654</v>
      </c>
      <c r="D2766">
        <v>3.0025266357012001E-7</v>
      </c>
      <c r="E2766" t="s">
        <v>94</v>
      </c>
      <c r="H2766" t="s">
        <v>588</v>
      </c>
    </row>
    <row r="2767" spans="2:8">
      <c r="B2767" t="s">
        <v>827</v>
      </c>
      <c r="C2767" t="s">
        <v>887</v>
      </c>
      <c r="D2767">
        <v>1.6228109987189801E-5</v>
      </c>
      <c r="E2767" t="s">
        <v>94</v>
      </c>
      <c r="H2767" t="s">
        <v>588</v>
      </c>
    </row>
    <row r="2768" spans="2:8">
      <c r="B2768" t="s">
        <v>827</v>
      </c>
      <c r="C2768" t="s">
        <v>883</v>
      </c>
      <c r="D2768">
        <v>7.2674936158735893E-8</v>
      </c>
      <c r="E2768" t="s">
        <v>94</v>
      </c>
      <c r="H2768" t="s">
        <v>588</v>
      </c>
    </row>
    <row r="2769" spans="2:8">
      <c r="B2769" t="s">
        <v>827</v>
      </c>
      <c r="C2769" t="s">
        <v>658</v>
      </c>
      <c r="D2769">
        <v>7.4470088644453504E-7</v>
      </c>
      <c r="E2769" t="s">
        <v>94</v>
      </c>
      <c r="H2769" t="s">
        <v>588</v>
      </c>
    </row>
    <row r="2770" spans="2:8">
      <c r="B2770" t="s">
        <v>4626</v>
      </c>
      <c r="C2770" t="s">
        <v>654</v>
      </c>
      <c r="D2770">
        <v>3.5961065846728801E-8</v>
      </c>
      <c r="E2770" t="s">
        <v>94</v>
      </c>
      <c r="H2770" t="s">
        <v>588</v>
      </c>
    </row>
    <row r="2771" spans="2:8">
      <c r="B2771" t="s">
        <v>4627</v>
      </c>
      <c r="C2771" t="s">
        <v>887</v>
      </c>
      <c r="D2771">
        <v>1.13171305198222E-7</v>
      </c>
      <c r="E2771" t="s">
        <v>94</v>
      </c>
      <c r="H2771" t="s">
        <v>588</v>
      </c>
    </row>
    <row r="2772" spans="2:8">
      <c r="B2772" t="s">
        <v>4627</v>
      </c>
      <c r="C2772" t="s">
        <v>658</v>
      </c>
      <c r="D2772">
        <v>1.8433037636093999E-9</v>
      </c>
      <c r="E2772" t="s">
        <v>94</v>
      </c>
      <c r="H2772" t="s">
        <v>588</v>
      </c>
    </row>
    <row r="2773" spans="2:8">
      <c r="B2773" t="s">
        <v>4628</v>
      </c>
      <c r="C2773" t="s">
        <v>654</v>
      </c>
      <c r="D2773">
        <v>2.7982327402768701E-10</v>
      </c>
      <c r="E2773" t="s">
        <v>94</v>
      </c>
      <c r="H2773" t="s">
        <v>588</v>
      </c>
    </row>
    <row r="2774" spans="2:8">
      <c r="B2774" t="s">
        <v>756</v>
      </c>
      <c r="C2774" t="s">
        <v>654</v>
      </c>
      <c r="D2774">
        <v>2.9048808414730102E-10</v>
      </c>
      <c r="E2774" t="s">
        <v>94</v>
      </c>
      <c r="H2774" t="s">
        <v>588</v>
      </c>
    </row>
    <row r="2775" spans="2:8">
      <c r="B2775" t="s">
        <v>756</v>
      </c>
      <c r="C2775" t="s">
        <v>658</v>
      </c>
      <c r="D2775">
        <v>1.6275026314966501E-11</v>
      </c>
      <c r="E2775" t="s">
        <v>94</v>
      </c>
      <c r="H2775" t="s">
        <v>588</v>
      </c>
    </row>
    <row r="2776" spans="2:8">
      <c r="B2776" t="s">
        <v>756</v>
      </c>
      <c r="C2776" t="s">
        <v>887</v>
      </c>
      <c r="D2776">
        <v>2.5329018329447798E-7</v>
      </c>
      <c r="E2776" t="s">
        <v>94</v>
      </c>
      <c r="H2776" t="s">
        <v>588</v>
      </c>
    </row>
    <row r="2777" spans="2:8">
      <c r="B2777" t="s">
        <v>756</v>
      </c>
      <c r="C2777" t="s">
        <v>661</v>
      </c>
      <c r="D2777">
        <v>2.4143133511323799E-8</v>
      </c>
      <c r="E2777" t="s">
        <v>94</v>
      </c>
      <c r="H2777" t="s">
        <v>588</v>
      </c>
    </row>
    <row r="2778" spans="2:8">
      <c r="B2778" t="s">
        <v>4629</v>
      </c>
      <c r="C2778" t="s">
        <v>661</v>
      </c>
      <c r="D2778">
        <v>4.6245430744740002E-7</v>
      </c>
      <c r="E2778" t="s">
        <v>890</v>
      </c>
      <c r="H2778" t="s">
        <v>588</v>
      </c>
    </row>
    <row r="2779" spans="2:8">
      <c r="B2779" t="s">
        <v>1548</v>
      </c>
      <c r="C2779" t="s">
        <v>787</v>
      </c>
      <c r="D2779">
        <v>1.8724435743595899E-4</v>
      </c>
      <c r="E2779" t="s">
        <v>94</v>
      </c>
      <c r="H2779" t="s">
        <v>588</v>
      </c>
    </row>
    <row r="2780" spans="2:8">
      <c r="B2780" t="s">
        <v>1548</v>
      </c>
      <c r="C2780" t="s">
        <v>787</v>
      </c>
      <c r="D2780">
        <v>5.6075669859853004E-7</v>
      </c>
      <c r="E2780" t="s">
        <v>94</v>
      </c>
      <c r="H2780" t="s">
        <v>588</v>
      </c>
    </row>
    <row r="2781" spans="2:8">
      <c r="B2781" t="s">
        <v>1548</v>
      </c>
      <c r="C2781" t="s">
        <v>787</v>
      </c>
      <c r="D2781">
        <v>2.0505595700127299E-5</v>
      </c>
      <c r="E2781" t="s">
        <v>94</v>
      </c>
      <c r="H2781" t="s">
        <v>588</v>
      </c>
    </row>
    <row r="2782" spans="2:8">
      <c r="B2782" t="s">
        <v>1548</v>
      </c>
      <c r="C2782" t="s">
        <v>787</v>
      </c>
      <c r="D2782">
        <v>4.59478076703649E-6</v>
      </c>
      <c r="E2782" t="s">
        <v>94</v>
      </c>
      <c r="H2782" t="s">
        <v>588</v>
      </c>
    </row>
    <row r="2783" spans="2:8">
      <c r="B2783" t="s">
        <v>1548</v>
      </c>
      <c r="C2783" t="s">
        <v>787</v>
      </c>
      <c r="D2783">
        <v>2.9156504978866501E-7</v>
      </c>
      <c r="E2783" t="s">
        <v>94</v>
      </c>
      <c r="H2783" t="s">
        <v>588</v>
      </c>
    </row>
    <row r="2784" spans="2:8">
      <c r="B2784" t="s">
        <v>1548</v>
      </c>
      <c r="C2784" t="s">
        <v>787</v>
      </c>
      <c r="D2784">
        <v>8.71901763100876E-6</v>
      </c>
      <c r="E2784" t="s">
        <v>94</v>
      </c>
      <c r="H2784" t="s">
        <v>588</v>
      </c>
    </row>
    <row r="2785" spans="2:8">
      <c r="B2785" t="s">
        <v>1548</v>
      </c>
      <c r="C2785" t="s">
        <v>787</v>
      </c>
      <c r="D2785">
        <v>1.33100788067856E-5</v>
      </c>
      <c r="E2785" t="s">
        <v>94</v>
      </c>
      <c r="H2785" t="s">
        <v>588</v>
      </c>
    </row>
    <row r="2786" spans="2:8">
      <c r="B2786" t="s">
        <v>1548</v>
      </c>
      <c r="C2786" t="s">
        <v>787</v>
      </c>
      <c r="D2786">
        <v>7.33158659799206E-6</v>
      </c>
      <c r="E2786" t="s">
        <v>94</v>
      </c>
      <c r="H2786" t="s">
        <v>588</v>
      </c>
    </row>
    <row r="2787" spans="2:8">
      <c r="B2787" t="s">
        <v>1548</v>
      </c>
      <c r="C2787" t="s">
        <v>787</v>
      </c>
      <c r="D2787">
        <v>2.0430265821378699E-5</v>
      </c>
      <c r="E2787" t="s">
        <v>94</v>
      </c>
      <c r="H2787" t="s">
        <v>588</v>
      </c>
    </row>
    <row r="2788" spans="2:8">
      <c r="B2788" t="s">
        <v>1548</v>
      </c>
      <c r="C2788" t="s">
        <v>787</v>
      </c>
      <c r="D2788">
        <v>2.0739066539528999E-5</v>
      </c>
      <c r="E2788" t="s">
        <v>94</v>
      </c>
      <c r="H2788" t="s">
        <v>588</v>
      </c>
    </row>
    <row r="2789" spans="2:8">
      <c r="B2789" t="s">
        <v>1548</v>
      </c>
      <c r="C2789" t="s">
        <v>787</v>
      </c>
      <c r="D2789">
        <v>8.82152643062958E-7</v>
      </c>
      <c r="E2789" t="s">
        <v>94</v>
      </c>
      <c r="H2789" t="s">
        <v>588</v>
      </c>
    </row>
    <row r="2790" spans="2:8">
      <c r="B2790" t="s">
        <v>1548</v>
      </c>
      <c r="C2790" t="s">
        <v>787</v>
      </c>
      <c r="D2790">
        <v>6.5961832520165496E-6</v>
      </c>
      <c r="E2790" t="s">
        <v>94</v>
      </c>
      <c r="H2790" t="s">
        <v>588</v>
      </c>
    </row>
    <row r="2791" spans="2:8">
      <c r="B2791" t="s">
        <v>1548</v>
      </c>
      <c r="C2791" t="s">
        <v>787</v>
      </c>
      <c r="D2791">
        <v>4.94966286237149E-2</v>
      </c>
      <c r="E2791" t="s">
        <v>94</v>
      </c>
      <c r="H2791" t="s">
        <v>588</v>
      </c>
    </row>
    <row r="2792" spans="2:8">
      <c r="B2792" t="s">
        <v>1548</v>
      </c>
      <c r="C2792" t="s">
        <v>787</v>
      </c>
      <c r="D2792">
        <v>1.0306891499592001E-5</v>
      </c>
      <c r="E2792" t="s">
        <v>94</v>
      </c>
      <c r="H2792" t="s">
        <v>588</v>
      </c>
    </row>
    <row r="2793" spans="2:8">
      <c r="B2793" t="s">
        <v>1548</v>
      </c>
      <c r="C2793" t="s">
        <v>787</v>
      </c>
      <c r="D2793">
        <v>1.70239438917826E-4</v>
      </c>
      <c r="E2793" t="s">
        <v>94</v>
      </c>
      <c r="H2793" t="s">
        <v>588</v>
      </c>
    </row>
    <row r="2794" spans="2:8">
      <c r="B2794" t="s">
        <v>1548</v>
      </c>
      <c r="C2794" t="s">
        <v>787</v>
      </c>
      <c r="D2794">
        <v>2.4449100319916398E-6</v>
      </c>
      <c r="E2794" t="s">
        <v>94</v>
      </c>
      <c r="H2794" t="s">
        <v>588</v>
      </c>
    </row>
    <row r="2795" spans="2:8">
      <c r="B2795" t="s">
        <v>1548</v>
      </c>
      <c r="C2795" t="s">
        <v>787</v>
      </c>
      <c r="D2795">
        <v>8.0407479099398593E-6</v>
      </c>
      <c r="E2795" t="s">
        <v>94</v>
      </c>
      <c r="H2795" t="s">
        <v>588</v>
      </c>
    </row>
    <row r="2796" spans="2:8">
      <c r="B2796" t="s">
        <v>1548</v>
      </c>
      <c r="C2796" t="s">
        <v>787</v>
      </c>
      <c r="D2796">
        <v>1.58238479998718E-7</v>
      </c>
      <c r="E2796" t="s">
        <v>94</v>
      </c>
      <c r="H2796" t="s">
        <v>588</v>
      </c>
    </row>
    <row r="2797" spans="2:8">
      <c r="B2797" t="s">
        <v>1548</v>
      </c>
      <c r="C2797" t="s">
        <v>787</v>
      </c>
      <c r="D2797">
        <v>1.6808599651142999E-6</v>
      </c>
      <c r="E2797" t="s">
        <v>94</v>
      </c>
      <c r="H2797" t="s">
        <v>588</v>
      </c>
    </row>
    <row r="2798" spans="2:8">
      <c r="B2798" t="s">
        <v>1548</v>
      </c>
      <c r="C2798" t="s">
        <v>787</v>
      </c>
      <c r="D2798">
        <v>3.73988355892067E-6</v>
      </c>
      <c r="E2798" t="s">
        <v>94</v>
      </c>
      <c r="H2798" t="s">
        <v>588</v>
      </c>
    </row>
    <row r="2799" spans="2:8">
      <c r="B2799" t="s">
        <v>1548</v>
      </c>
      <c r="C2799" t="s">
        <v>787</v>
      </c>
      <c r="D2799">
        <v>3.1002862777469598E-5</v>
      </c>
      <c r="E2799" t="s">
        <v>94</v>
      </c>
      <c r="H2799" t="s">
        <v>588</v>
      </c>
    </row>
    <row r="2800" spans="2:8">
      <c r="B2800" t="s">
        <v>1548</v>
      </c>
      <c r="C2800" t="s">
        <v>787</v>
      </c>
      <c r="D2800">
        <v>8.8641997712595799E-6</v>
      </c>
      <c r="E2800" t="s">
        <v>94</v>
      </c>
      <c r="H2800" t="s">
        <v>588</v>
      </c>
    </row>
    <row r="2801" spans="2:8">
      <c r="B2801" t="s">
        <v>1548</v>
      </c>
      <c r="C2801" t="s">
        <v>787</v>
      </c>
      <c r="D2801">
        <v>6.0977768274434804E-6</v>
      </c>
      <c r="E2801" t="s">
        <v>94</v>
      </c>
      <c r="H2801" t="s">
        <v>588</v>
      </c>
    </row>
    <row r="2802" spans="2:8">
      <c r="B2802" t="s">
        <v>1548</v>
      </c>
      <c r="C2802" t="s">
        <v>787</v>
      </c>
      <c r="D2802">
        <v>8.3926329856671202E-6</v>
      </c>
      <c r="E2802" t="s">
        <v>94</v>
      </c>
      <c r="H2802" t="s">
        <v>588</v>
      </c>
    </row>
    <row r="2803" spans="2:8">
      <c r="B2803" t="s">
        <v>1548</v>
      </c>
      <c r="C2803" t="s">
        <v>787</v>
      </c>
      <c r="D2803">
        <v>6.7396025573236103E-6</v>
      </c>
      <c r="E2803" t="s">
        <v>94</v>
      </c>
      <c r="H2803" t="s">
        <v>588</v>
      </c>
    </row>
    <row r="2804" spans="2:8">
      <c r="B2804" t="s">
        <v>1548</v>
      </c>
      <c r="C2804" t="s">
        <v>787</v>
      </c>
      <c r="D2804">
        <v>5.9329061341631301E-6</v>
      </c>
      <c r="E2804" t="s">
        <v>94</v>
      </c>
      <c r="H2804" t="s">
        <v>588</v>
      </c>
    </row>
    <row r="2805" spans="2:8">
      <c r="B2805" t="s">
        <v>1548</v>
      </c>
      <c r="C2805" t="s">
        <v>787</v>
      </c>
      <c r="D2805">
        <v>4.8858965299467197E-7</v>
      </c>
      <c r="E2805" t="s">
        <v>94</v>
      </c>
      <c r="H2805" t="s">
        <v>588</v>
      </c>
    </row>
    <row r="2806" spans="2:8">
      <c r="B2806" t="s">
        <v>1548</v>
      </c>
      <c r="C2806" t="s">
        <v>787</v>
      </c>
      <c r="D2806">
        <v>5.5144024941612604E-4</v>
      </c>
      <c r="E2806" t="s">
        <v>94</v>
      </c>
      <c r="H2806" t="s">
        <v>588</v>
      </c>
    </row>
    <row r="2807" spans="2:8">
      <c r="B2807" t="s">
        <v>1548</v>
      </c>
      <c r="C2807" t="s">
        <v>787</v>
      </c>
      <c r="D2807">
        <v>7.1980606589296601E-6</v>
      </c>
      <c r="E2807" t="s">
        <v>94</v>
      </c>
      <c r="H2807" t="s">
        <v>588</v>
      </c>
    </row>
    <row r="2808" spans="2:8">
      <c r="B2808" t="s">
        <v>1548</v>
      </c>
      <c r="C2808" t="s">
        <v>787</v>
      </c>
      <c r="D2808">
        <v>7.4775573153155397E-6</v>
      </c>
      <c r="E2808" t="s">
        <v>94</v>
      </c>
      <c r="H2808" t="s">
        <v>588</v>
      </c>
    </row>
    <row r="2809" spans="2:8">
      <c r="B2809" t="s">
        <v>1548</v>
      </c>
      <c r="C2809" t="s">
        <v>787</v>
      </c>
      <c r="D2809">
        <v>1.12769381525635E-10</v>
      </c>
      <c r="E2809" t="s">
        <v>94</v>
      </c>
      <c r="H2809" t="s">
        <v>588</v>
      </c>
    </row>
    <row r="2810" spans="2:8">
      <c r="B2810" t="s">
        <v>1548</v>
      </c>
      <c r="C2810" t="s">
        <v>787</v>
      </c>
      <c r="D2810">
        <v>1.3851936256187401E-5</v>
      </c>
      <c r="E2810" t="s">
        <v>94</v>
      </c>
      <c r="H2810" t="s">
        <v>588</v>
      </c>
    </row>
    <row r="2811" spans="2:8">
      <c r="B2811" t="s">
        <v>1548</v>
      </c>
      <c r="C2811" t="s">
        <v>787</v>
      </c>
      <c r="D2811">
        <v>1.14367768246237E-4</v>
      </c>
      <c r="E2811" t="s">
        <v>94</v>
      </c>
      <c r="H2811" t="s">
        <v>588</v>
      </c>
    </row>
    <row r="2812" spans="2:8">
      <c r="B2812" t="s">
        <v>1548</v>
      </c>
      <c r="C2812" t="s">
        <v>787</v>
      </c>
      <c r="D2812">
        <v>1.1497219384206901E-4</v>
      </c>
      <c r="E2812" t="s">
        <v>94</v>
      </c>
      <c r="H2812" t="s">
        <v>588</v>
      </c>
    </row>
    <row r="2813" spans="2:8">
      <c r="B2813" t="s">
        <v>1548</v>
      </c>
      <c r="C2813" t="s">
        <v>787</v>
      </c>
      <c r="D2813">
        <v>4.0520650977906303E-6</v>
      </c>
      <c r="E2813" t="s">
        <v>94</v>
      </c>
      <c r="H2813" t="s">
        <v>588</v>
      </c>
    </row>
    <row r="2814" spans="2:8">
      <c r="B2814" t="s">
        <v>1548</v>
      </c>
      <c r="C2814" t="s">
        <v>787</v>
      </c>
      <c r="D2814">
        <v>6.439199614515E-6</v>
      </c>
      <c r="E2814" t="s">
        <v>94</v>
      </c>
      <c r="H2814" t="s">
        <v>588</v>
      </c>
    </row>
    <row r="2815" spans="2:8">
      <c r="B2815" t="s">
        <v>1548</v>
      </c>
      <c r="C2815" t="s">
        <v>787</v>
      </c>
      <c r="D2815">
        <v>2.6424824883149698E-7</v>
      </c>
      <c r="E2815" t="s">
        <v>94</v>
      </c>
      <c r="H2815" t="s">
        <v>588</v>
      </c>
    </row>
    <row r="2816" spans="2:8">
      <c r="B2816" t="s">
        <v>1548</v>
      </c>
      <c r="C2816" t="s">
        <v>787</v>
      </c>
      <c r="D2816">
        <v>1.1071180542944199E-5</v>
      </c>
      <c r="E2816" t="s">
        <v>94</v>
      </c>
      <c r="H2816" t="s">
        <v>588</v>
      </c>
    </row>
    <row r="2817" spans="2:8">
      <c r="B2817" t="s">
        <v>1548</v>
      </c>
      <c r="C2817" t="s">
        <v>787</v>
      </c>
      <c r="D2817">
        <v>4.9902424172054002E-3</v>
      </c>
      <c r="E2817" t="s">
        <v>94</v>
      </c>
      <c r="H2817" t="s">
        <v>588</v>
      </c>
    </row>
    <row r="2818" spans="2:8">
      <c r="B2818" t="s">
        <v>1548</v>
      </c>
      <c r="C2818" t="s">
        <v>787</v>
      </c>
      <c r="D2818">
        <v>5.5529195958731502E-6</v>
      </c>
      <c r="E2818" t="s">
        <v>94</v>
      </c>
      <c r="H2818" t="s">
        <v>588</v>
      </c>
    </row>
    <row r="2819" spans="2:8">
      <c r="B2819" t="s">
        <v>1548</v>
      </c>
      <c r="C2819" t="s">
        <v>787</v>
      </c>
      <c r="D2819">
        <v>1.5197348578779601E-5</v>
      </c>
      <c r="E2819" t="s">
        <v>94</v>
      </c>
      <c r="H2819" t="s">
        <v>588</v>
      </c>
    </row>
    <row r="2820" spans="2:8">
      <c r="B2820" t="s">
        <v>1548</v>
      </c>
      <c r="C2820" t="s">
        <v>787</v>
      </c>
      <c r="D2820">
        <v>2.7052258398713401E-5</v>
      </c>
      <c r="E2820" t="s">
        <v>94</v>
      </c>
      <c r="H2820" t="s">
        <v>588</v>
      </c>
    </row>
    <row r="2821" spans="2:8">
      <c r="B2821" t="s">
        <v>1548</v>
      </c>
      <c r="C2821" t="s">
        <v>787</v>
      </c>
      <c r="D2821">
        <v>2.9807794015176799E-6</v>
      </c>
      <c r="E2821" t="s">
        <v>94</v>
      </c>
      <c r="H2821" t="s">
        <v>588</v>
      </c>
    </row>
    <row r="2822" spans="2:8">
      <c r="B2822" t="s">
        <v>1548</v>
      </c>
      <c r="C2822" t="s">
        <v>787</v>
      </c>
      <c r="D2822">
        <v>6.4900270730572001E-6</v>
      </c>
      <c r="E2822" t="s">
        <v>94</v>
      </c>
      <c r="H2822" t="s">
        <v>588</v>
      </c>
    </row>
    <row r="2823" spans="2:8">
      <c r="B2823" t="s">
        <v>1548</v>
      </c>
      <c r="C2823" t="s">
        <v>787</v>
      </c>
      <c r="D2823">
        <v>3.6627978544059799E-6</v>
      </c>
      <c r="E2823" t="s">
        <v>94</v>
      </c>
      <c r="H2823" t="s">
        <v>588</v>
      </c>
    </row>
    <row r="2824" spans="2:8">
      <c r="B2824" t="s">
        <v>757</v>
      </c>
      <c r="C2824" t="s">
        <v>887</v>
      </c>
      <c r="D2824">
        <v>9.2763422297162106E-6</v>
      </c>
      <c r="E2824" t="s">
        <v>94</v>
      </c>
      <c r="H2824" t="s">
        <v>588</v>
      </c>
    </row>
    <row r="2825" spans="2:8">
      <c r="B2825" t="s">
        <v>757</v>
      </c>
      <c r="C2825" t="s">
        <v>4389</v>
      </c>
      <c r="D2825">
        <v>2.3274459544457601E-11</v>
      </c>
      <c r="E2825" t="s">
        <v>94</v>
      </c>
      <c r="H2825" t="s">
        <v>588</v>
      </c>
    </row>
    <row r="2826" spans="2:8">
      <c r="B2826" t="s">
        <v>757</v>
      </c>
      <c r="C2826" t="s">
        <v>654</v>
      </c>
      <c r="D2826">
        <v>1.90161187968619E-8</v>
      </c>
      <c r="E2826" t="s">
        <v>94</v>
      </c>
      <c r="H2826" t="s">
        <v>588</v>
      </c>
    </row>
    <row r="2827" spans="2:8">
      <c r="B2827" t="s">
        <v>757</v>
      </c>
      <c r="C2827" t="s">
        <v>4413</v>
      </c>
      <c r="D2827">
        <v>1.8634382482533301E-7</v>
      </c>
      <c r="E2827" t="s">
        <v>94</v>
      </c>
    </row>
    <row r="2828" spans="2:8">
      <c r="B2828" t="s">
        <v>757</v>
      </c>
      <c r="C2828" t="s">
        <v>658</v>
      </c>
      <c r="D2828">
        <v>1.12896938210555E-10</v>
      </c>
      <c r="E2828" t="s">
        <v>94</v>
      </c>
      <c r="H2828" t="s">
        <v>588</v>
      </c>
    </row>
    <row r="2829" spans="2:8">
      <c r="B2829" t="s">
        <v>4636</v>
      </c>
      <c r="C2829" t="s">
        <v>744</v>
      </c>
      <c r="D2829">
        <v>8.1792075735043304E-7</v>
      </c>
      <c r="E2829" t="s">
        <v>94</v>
      </c>
      <c r="H2829" t="s">
        <v>588</v>
      </c>
    </row>
    <row r="2830" spans="2:8">
      <c r="B2830" t="s">
        <v>758</v>
      </c>
      <c r="C2830" t="s">
        <v>881</v>
      </c>
      <c r="D2830">
        <v>1.3523934919787E-7</v>
      </c>
      <c r="E2830" t="s">
        <v>94</v>
      </c>
      <c r="H2830" t="s">
        <v>588</v>
      </c>
    </row>
    <row r="2831" spans="2:8">
      <c r="B2831" t="s">
        <v>758</v>
      </c>
      <c r="C2831" t="s">
        <v>883</v>
      </c>
      <c r="D2831">
        <v>4.3314115806234101E-10</v>
      </c>
      <c r="E2831" t="s">
        <v>94</v>
      </c>
      <c r="H2831" t="s">
        <v>588</v>
      </c>
    </row>
    <row r="2832" spans="2:8">
      <c r="B2832" t="s">
        <v>758</v>
      </c>
      <c r="C2832" t="s">
        <v>661</v>
      </c>
      <c r="D2832">
        <v>6.7801322814186301E-7</v>
      </c>
      <c r="E2832" t="s">
        <v>94</v>
      </c>
      <c r="H2832" t="s">
        <v>588</v>
      </c>
    </row>
    <row r="2833" spans="2:8">
      <c r="B2833" t="s">
        <v>758</v>
      </c>
      <c r="C2833" t="s">
        <v>712</v>
      </c>
      <c r="D2833">
        <v>8.4297866398381004E-7</v>
      </c>
      <c r="E2833" t="s">
        <v>94</v>
      </c>
      <c r="H2833" t="s">
        <v>588</v>
      </c>
    </row>
    <row r="2834" spans="2:8">
      <c r="B2834" t="s">
        <v>4639</v>
      </c>
      <c r="C2834" t="s">
        <v>661</v>
      </c>
      <c r="D2834">
        <v>3.0623869322925001E-6</v>
      </c>
      <c r="E2834" t="s">
        <v>890</v>
      </c>
      <c r="H2834" t="s">
        <v>588</v>
      </c>
    </row>
    <row r="2835" spans="2:8">
      <c r="B2835" t="s">
        <v>4639</v>
      </c>
      <c r="C2835" t="s">
        <v>658</v>
      </c>
      <c r="D2835">
        <v>6.9986503760520796E-3</v>
      </c>
      <c r="E2835" t="s">
        <v>890</v>
      </c>
      <c r="H2835" t="s">
        <v>588</v>
      </c>
    </row>
    <row r="2836" spans="2:8">
      <c r="B2836" t="s">
        <v>759</v>
      </c>
      <c r="C2836" t="s">
        <v>661</v>
      </c>
      <c r="D2836">
        <v>1.4869992479401599E-4</v>
      </c>
      <c r="E2836" t="s">
        <v>94</v>
      </c>
      <c r="H2836" t="s">
        <v>588</v>
      </c>
    </row>
    <row r="2837" spans="2:8">
      <c r="B2837" t="s">
        <v>759</v>
      </c>
      <c r="C2837" t="s">
        <v>712</v>
      </c>
      <c r="D2837">
        <v>5.4292066779059998E-8</v>
      </c>
      <c r="E2837" t="s">
        <v>94</v>
      </c>
      <c r="H2837" t="s">
        <v>588</v>
      </c>
    </row>
    <row r="2838" spans="2:8">
      <c r="B2838" t="s">
        <v>759</v>
      </c>
      <c r="C2838" t="s">
        <v>883</v>
      </c>
      <c r="D2838">
        <v>5.38136851288282E-10</v>
      </c>
      <c r="E2838" t="s">
        <v>94</v>
      </c>
      <c r="H2838" t="s">
        <v>588</v>
      </c>
    </row>
    <row r="2839" spans="2:8">
      <c r="B2839" t="s">
        <v>759</v>
      </c>
      <c r="C2839" t="s">
        <v>881</v>
      </c>
      <c r="D2839">
        <v>3.30290551760284E-3</v>
      </c>
      <c r="E2839" t="s">
        <v>94</v>
      </c>
      <c r="H2839" t="s">
        <v>588</v>
      </c>
    </row>
    <row r="2840" spans="2:8">
      <c r="B2840" t="s">
        <v>4640</v>
      </c>
      <c r="C2840" t="s">
        <v>4389</v>
      </c>
      <c r="D2840">
        <v>1.1869948865697701E-10</v>
      </c>
      <c r="E2840" t="s">
        <v>94</v>
      </c>
      <c r="H2840" t="s">
        <v>588</v>
      </c>
    </row>
    <row r="2841" spans="2:8">
      <c r="B2841" t="s">
        <v>760</v>
      </c>
      <c r="C2841" t="s">
        <v>661</v>
      </c>
      <c r="D2841">
        <v>7.7691355269202904E-9</v>
      </c>
      <c r="E2841" t="s">
        <v>94</v>
      </c>
      <c r="H2841" t="s">
        <v>588</v>
      </c>
    </row>
    <row r="2842" spans="2:8">
      <c r="B2842" t="s">
        <v>260</v>
      </c>
      <c r="C2842" t="s">
        <v>661</v>
      </c>
      <c r="D2842">
        <v>2.2319169821884101E-4</v>
      </c>
      <c r="E2842" t="s">
        <v>94</v>
      </c>
      <c r="H2842" t="s">
        <v>588</v>
      </c>
    </row>
    <row r="2843" spans="2:8">
      <c r="B2843" t="s">
        <v>260</v>
      </c>
      <c r="C2843" t="s">
        <v>712</v>
      </c>
      <c r="D2843">
        <v>3.1282537301892699E-5</v>
      </c>
      <c r="E2843" t="s">
        <v>94</v>
      </c>
      <c r="H2843" t="s">
        <v>1733</v>
      </c>
    </row>
    <row r="2844" spans="2:8">
      <c r="B2844" t="s">
        <v>260</v>
      </c>
      <c r="C2844" t="s">
        <v>881</v>
      </c>
      <c r="D2844">
        <v>4.8516575909966996E-6</v>
      </c>
      <c r="E2844" t="s">
        <v>94</v>
      </c>
      <c r="H2844" t="s">
        <v>588</v>
      </c>
    </row>
    <row r="2845" spans="2:8">
      <c r="B2845" t="s">
        <v>260</v>
      </c>
      <c r="C2845" t="s">
        <v>654</v>
      </c>
      <c r="D2845">
        <v>9.2665141053442995E-5</v>
      </c>
      <c r="E2845" t="s">
        <v>94</v>
      </c>
      <c r="H2845" t="s">
        <v>588</v>
      </c>
    </row>
    <row r="2846" spans="2:8">
      <c r="B2846" t="s">
        <v>260</v>
      </c>
      <c r="C2846" t="s">
        <v>883</v>
      </c>
      <c r="D2846">
        <v>1.41850148166908E-8</v>
      </c>
      <c r="E2846" t="s">
        <v>94</v>
      </c>
      <c r="H2846" t="s">
        <v>588</v>
      </c>
    </row>
    <row r="2847" spans="2:8">
      <c r="B2847" t="s">
        <v>260</v>
      </c>
      <c r="C2847" t="s">
        <v>4389</v>
      </c>
      <c r="D2847">
        <v>4.5126288659523903E-9</v>
      </c>
      <c r="E2847" t="s">
        <v>94</v>
      </c>
      <c r="H2847" t="s">
        <v>588</v>
      </c>
    </row>
    <row r="2848" spans="2:8">
      <c r="B2848" t="s">
        <v>4643</v>
      </c>
      <c r="C2848" t="s">
        <v>661</v>
      </c>
      <c r="D2848">
        <v>3.04570289937038E-11</v>
      </c>
      <c r="E2848" t="s">
        <v>94</v>
      </c>
      <c r="H2848" t="s">
        <v>588</v>
      </c>
    </row>
    <row r="2849" spans="2:8">
      <c r="B2849" t="s">
        <v>761</v>
      </c>
      <c r="C2849" t="s">
        <v>4455</v>
      </c>
      <c r="D2849">
        <v>1.04224898817652E-6</v>
      </c>
      <c r="E2849" t="s">
        <v>94</v>
      </c>
      <c r="H2849" t="s">
        <v>588</v>
      </c>
    </row>
    <row r="2850" spans="2:8">
      <c r="B2850" t="s">
        <v>761</v>
      </c>
      <c r="C2850" t="s">
        <v>887</v>
      </c>
      <c r="D2850">
        <v>7.6304578277441703E-3</v>
      </c>
      <c r="E2850" t="s">
        <v>94</v>
      </c>
      <c r="H2850" t="s">
        <v>588</v>
      </c>
    </row>
    <row r="2851" spans="2:8">
      <c r="B2851" t="s">
        <v>761</v>
      </c>
      <c r="C2851" t="s">
        <v>654</v>
      </c>
      <c r="D2851">
        <v>2.04128226435333E-4</v>
      </c>
      <c r="E2851" t="s">
        <v>94</v>
      </c>
      <c r="H2851" t="s">
        <v>588</v>
      </c>
    </row>
    <row r="2852" spans="2:8">
      <c r="B2852" t="s">
        <v>761</v>
      </c>
      <c r="C2852" t="s">
        <v>658</v>
      </c>
      <c r="D2852">
        <v>1.6621003736760599E-4</v>
      </c>
      <c r="E2852" t="s">
        <v>94</v>
      </c>
      <c r="H2852" t="s">
        <v>588</v>
      </c>
    </row>
    <row r="2853" spans="2:8">
      <c r="B2853" t="s">
        <v>4646</v>
      </c>
      <c r="C2853" t="s">
        <v>661</v>
      </c>
      <c r="D2853">
        <v>6.8661626091338504E-8</v>
      </c>
      <c r="E2853" t="s">
        <v>94</v>
      </c>
      <c r="H2853" t="s">
        <v>588</v>
      </c>
    </row>
    <row r="2854" spans="2:8">
      <c r="B2854" t="s">
        <v>4646</v>
      </c>
      <c r="C2854" t="s">
        <v>712</v>
      </c>
      <c r="D2854">
        <v>8.6542026342530803E-8</v>
      </c>
      <c r="E2854" t="s">
        <v>94</v>
      </c>
      <c r="H2854" t="s">
        <v>588</v>
      </c>
    </row>
    <row r="2855" spans="2:8">
      <c r="B2855" t="s">
        <v>762</v>
      </c>
      <c r="C2855" t="s">
        <v>654</v>
      </c>
      <c r="D2855">
        <v>1.5502138321824699E-4</v>
      </c>
      <c r="E2855" t="s">
        <v>94</v>
      </c>
      <c r="H2855" t="s">
        <v>588</v>
      </c>
    </row>
    <row r="2856" spans="2:8">
      <c r="B2856" t="s">
        <v>762</v>
      </c>
      <c r="C2856" t="s">
        <v>658</v>
      </c>
      <c r="D2856">
        <v>7.3439383363391094E-5</v>
      </c>
      <c r="E2856" t="s">
        <v>94</v>
      </c>
      <c r="H2856" t="s">
        <v>588</v>
      </c>
    </row>
    <row r="2857" spans="2:8">
      <c r="B2857" t="s">
        <v>762</v>
      </c>
      <c r="C2857" t="s">
        <v>887</v>
      </c>
      <c r="D2857">
        <v>4.0051939572118E-4</v>
      </c>
      <c r="E2857" t="s">
        <v>94</v>
      </c>
      <c r="H2857" t="s">
        <v>588</v>
      </c>
    </row>
    <row r="2858" spans="2:8">
      <c r="B2858" t="s">
        <v>4647</v>
      </c>
      <c r="C2858" t="s">
        <v>658</v>
      </c>
      <c r="D2858">
        <v>0.21328078076405699</v>
      </c>
      <c r="E2858" t="s">
        <v>890</v>
      </c>
      <c r="H2858" t="s">
        <v>588</v>
      </c>
    </row>
    <row r="2859" spans="2:8">
      <c r="B2859" t="s">
        <v>4648</v>
      </c>
      <c r="C2859" t="s">
        <v>744</v>
      </c>
      <c r="D2859">
        <v>4.1710570307343001E-2</v>
      </c>
      <c r="E2859" t="s">
        <v>94</v>
      </c>
      <c r="H2859" t="s">
        <v>588</v>
      </c>
    </row>
    <row r="2860" spans="2:8">
      <c r="B2860" t="s">
        <v>4650</v>
      </c>
      <c r="C2860" t="s">
        <v>661</v>
      </c>
      <c r="D2860">
        <v>1.3509157684989301E-7</v>
      </c>
      <c r="E2860" t="s">
        <v>94</v>
      </c>
    </row>
    <row r="2861" spans="2:8">
      <c r="B2861" t="s">
        <v>4650</v>
      </c>
      <c r="C2861" t="s">
        <v>4389</v>
      </c>
      <c r="D2861">
        <v>1.38682595423154E-6</v>
      </c>
      <c r="E2861" t="s">
        <v>94</v>
      </c>
      <c r="H2861" t="s">
        <v>588</v>
      </c>
    </row>
    <row r="2862" spans="2:8">
      <c r="B2862" t="s">
        <v>4650</v>
      </c>
      <c r="C2862" t="s">
        <v>883</v>
      </c>
      <c r="D2862">
        <v>3.3446664333445201E-6</v>
      </c>
      <c r="E2862" t="s">
        <v>94</v>
      </c>
      <c r="H2862" t="s">
        <v>1733</v>
      </c>
    </row>
    <row r="2863" spans="2:8">
      <c r="B2863" t="s">
        <v>980</v>
      </c>
      <c r="C2863" t="s">
        <v>661</v>
      </c>
      <c r="D2863">
        <v>1.61608799476851E-4</v>
      </c>
      <c r="E2863" t="s">
        <v>94</v>
      </c>
      <c r="H2863" t="s">
        <v>588</v>
      </c>
    </row>
    <row r="2864" spans="2:8">
      <c r="B2864" t="s">
        <v>980</v>
      </c>
      <c r="C2864" t="s">
        <v>883</v>
      </c>
      <c r="D2864">
        <v>5.0797938674099698E-6</v>
      </c>
      <c r="E2864" t="s">
        <v>94</v>
      </c>
      <c r="H2864" t="s">
        <v>588</v>
      </c>
    </row>
    <row r="2865" spans="2:8">
      <c r="B2865" t="s">
        <v>980</v>
      </c>
      <c r="C2865" t="s">
        <v>881</v>
      </c>
      <c r="D2865">
        <v>1.0760445651442399E-6</v>
      </c>
      <c r="E2865" t="s">
        <v>94</v>
      </c>
      <c r="H2865" t="s">
        <v>588</v>
      </c>
    </row>
    <row r="2866" spans="2:8">
      <c r="B2866" t="s">
        <v>980</v>
      </c>
      <c r="C2866" t="s">
        <v>712</v>
      </c>
      <c r="D2866">
        <v>1.9162707969223301E-7</v>
      </c>
      <c r="E2866" t="s">
        <v>94</v>
      </c>
      <c r="H2866" t="s">
        <v>588</v>
      </c>
    </row>
    <row r="2867" spans="2:8">
      <c r="B2867" t="s">
        <v>980</v>
      </c>
      <c r="C2867" t="s">
        <v>4389</v>
      </c>
      <c r="D2867">
        <v>5.2817132521200699E-7</v>
      </c>
      <c r="E2867" t="s">
        <v>94</v>
      </c>
      <c r="H2867" t="s">
        <v>588</v>
      </c>
    </row>
    <row r="2868" spans="2:8">
      <c r="B2868" t="s">
        <v>980</v>
      </c>
      <c r="C2868" t="s">
        <v>4401</v>
      </c>
      <c r="D2868">
        <v>4.6629145489765203E-6</v>
      </c>
      <c r="E2868" t="s">
        <v>94</v>
      </c>
      <c r="H2868" t="s">
        <v>588</v>
      </c>
    </row>
    <row r="2869" spans="2:8">
      <c r="B2869" t="s">
        <v>980</v>
      </c>
      <c r="C2869" t="s">
        <v>4653</v>
      </c>
      <c r="D2869">
        <v>1.9430640437243199E-4</v>
      </c>
      <c r="E2869" t="s">
        <v>94</v>
      </c>
      <c r="H2869" t="s">
        <v>588</v>
      </c>
    </row>
    <row r="2870" spans="2:8">
      <c r="B2870" t="s">
        <v>763</v>
      </c>
      <c r="C2870" t="s">
        <v>883</v>
      </c>
      <c r="D2870">
        <v>3.1562871210456002E-9</v>
      </c>
      <c r="E2870" t="s">
        <v>94</v>
      </c>
      <c r="H2870" t="s">
        <v>588</v>
      </c>
    </row>
    <row r="2871" spans="2:8">
      <c r="B2871" t="s">
        <v>763</v>
      </c>
      <c r="C2871" t="s">
        <v>654</v>
      </c>
      <c r="D2871">
        <v>2.44064725793213E-9</v>
      </c>
      <c r="E2871" t="s">
        <v>94</v>
      </c>
      <c r="H2871" t="s">
        <v>588</v>
      </c>
    </row>
    <row r="2872" spans="2:8">
      <c r="B2872" t="s">
        <v>763</v>
      </c>
      <c r="C2872" t="s">
        <v>661</v>
      </c>
      <c r="D2872">
        <v>1.27891596884798E-9</v>
      </c>
      <c r="E2872" t="s">
        <v>94</v>
      </c>
      <c r="H2872" t="s">
        <v>588</v>
      </c>
    </row>
    <row r="2873" spans="2:8">
      <c r="B2873" t="s">
        <v>763</v>
      </c>
      <c r="C2873" t="s">
        <v>887</v>
      </c>
      <c r="D2873">
        <v>1.7848060035342799E-7</v>
      </c>
      <c r="E2873" t="s">
        <v>94</v>
      </c>
      <c r="H2873" t="s">
        <v>588</v>
      </c>
    </row>
    <row r="2874" spans="2:8">
      <c r="B2874" t="s">
        <v>763</v>
      </c>
      <c r="C2874" t="s">
        <v>658</v>
      </c>
      <c r="D2874">
        <v>6.3650866909847899E-10</v>
      </c>
      <c r="E2874" t="s">
        <v>94</v>
      </c>
      <c r="H2874" t="s">
        <v>588</v>
      </c>
    </row>
    <row r="2875" spans="2:8">
      <c r="B2875" t="s">
        <v>4657</v>
      </c>
      <c r="C2875" t="s">
        <v>661</v>
      </c>
      <c r="D2875">
        <v>1.1104309224073501E-5</v>
      </c>
      <c r="E2875" t="s">
        <v>94</v>
      </c>
      <c r="H2875" t="s">
        <v>588</v>
      </c>
    </row>
    <row r="2876" spans="2:8">
      <c r="B2876" t="s">
        <v>4657</v>
      </c>
      <c r="C2876" t="s">
        <v>887</v>
      </c>
      <c r="D2876">
        <v>2.4979018704459798E-6</v>
      </c>
      <c r="E2876" t="s">
        <v>94</v>
      </c>
      <c r="H2876" t="s">
        <v>588</v>
      </c>
    </row>
    <row r="2877" spans="2:8">
      <c r="B2877" t="s">
        <v>4660</v>
      </c>
      <c r="C2877" t="s">
        <v>4413</v>
      </c>
      <c r="D2877">
        <v>1.77333346214327E-6</v>
      </c>
      <c r="E2877" t="s">
        <v>94</v>
      </c>
      <c r="H2877" t="s">
        <v>588</v>
      </c>
    </row>
    <row r="2878" spans="2:8">
      <c r="B2878" t="s">
        <v>653</v>
      </c>
      <c r="C2878" t="s">
        <v>887</v>
      </c>
      <c r="D2878">
        <v>4.5851819724773701E-4</v>
      </c>
      <c r="E2878" t="s">
        <v>94</v>
      </c>
      <c r="H2878" t="s">
        <v>588</v>
      </c>
    </row>
    <row r="2879" spans="2:8">
      <c r="B2879" t="s">
        <v>653</v>
      </c>
      <c r="C2879" t="s">
        <v>4455</v>
      </c>
      <c r="D2879">
        <v>2.1250555728269599E-7</v>
      </c>
      <c r="E2879" t="s">
        <v>94</v>
      </c>
      <c r="H2879" t="s">
        <v>588</v>
      </c>
    </row>
    <row r="2880" spans="2:8">
      <c r="B2880" t="s">
        <v>653</v>
      </c>
      <c r="C2880" t="s">
        <v>654</v>
      </c>
      <c r="D2880">
        <v>2.3037298620735802E-5</v>
      </c>
      <c r="E2880" t="s">
        <v>94</v>
      </c>
      <c r="H2880" t="s">
        <v>588</v>
      </c>
    </row>
    <row r="2881" spans="2:8">
      <c r="B2881" t="s">
        <v>653</v>
      </c>
      <c r="C2881" t="s">
        <v>658</v>
      </c>
      <c r="D2881">
        <v>1.40705192327691E-5</v>
      </c>
      <c r="E2881" t="s">
        <v>94</v>
      </c>
      <c r="H2881" t="s">
        <v>588</v>
      </c>
    </row>
    <row r="2882" spans="2:8">
      <c r="B2882" t="s">
        <v>656</v>
      </c>
      <c r="C2882" t="s">
        <v>654</v>
      </c>
      <c r="D2882">
        <v>1.15841177699683E-5</v>
      </c>
      <c r="E2882" t="s">
        <v>94</v>
      </c>
      <c r="H2882" t="s">
        <v>588</v>
      </c>
    </row>
    <row r="2883" spans="2:8">
      <c r="B2883" t="s">
        <v>656</v>
      </c>
      <c r="C2883" t="s">
        <v>4455</v>
      </c>
      <c r="D2883">
        <v>7.2250458273376597E-8</v>
      </c>
      <c r="E2883" t="s">
        <v>94</v>
      </c>
      <c r="H2883" t="s">
        <v>588</v>
      </c>
    </row>
    <row r="2884" spans="2:8">
      <c r="B2884" t="s">
        <v>656</v>
      </c>
      <c r="C2884" t="s">
        <v>658</v>
      </c>
      <c r="D2884">
        <v>1.1508813343041601E-5</v>
      </c>
      <c r="E2884" t="s">
        <v>94</v>
      </c>
      <c r="H2884" t="s">
        <v>588</v>
      </c>
    </row>
    <row r="2885" spans="2:8">
      <c r="B2885" t="s">
        <v>656</v>
      </c>
      <c r="C2885" t="s">
        <v>887</v>
      </c>
      <c r="D2885">
        <v>2.52056717338134E-4</v>
      </c>
      <c r="E2885" t="s">
        <v>94</v>
      </c>
      <c r="H2885" t="s">
        <v>588</v>
      </c>
    </row>
    <row r="2886" spans="2:8">
      <c r="B2886" t="s">
        <v>657</v>
      </c>
      <c r="C2886" t="s">
        <v>658</v>
      </c>
      <c r="D2886">
        <v>1.26695813460138E-5</v>
      </c>
      <c r="E2886" t="s">
        <v>94</v>
      </c>
      <c r="H2886" t="s">
        <v>588</v>
      </c>
    </row>
    <row r="2887" spans="2:8">
      <c r="B2887" t="s">
        <v>657</v>
      </c>
      <c r="C2887" t="s">
        <v>654</v>
      </c>
      <c r="D2887">
        <v>4.4686621883602903E-6</v>
      </c>
      <c r="E2887" t="s">
        <v>94</v>
      </c>
      <c r="H2887" t="s">
        <v>588</v>
      </c>
    </row>
    <row r="2888" spans="2:8">
      <c r="B2888" t="s">
        <v>657</v>
      </c>
      <c r="C2888" t="s">
        <v>887</v>
      </c>
      <c r="D2888">
        <v>2.63223666634067E-4</v>
      </c>
      <c r="E2888" t="s">
        <v>94</v>
      </c>
      <c r="H2888" t="s">
        <v>588</v>
      </c>
    </row>
    <row r="2889" spans="2:8">
      <c r="B2889" t="s">
        <v>4664</v>
      </c>
      <c r="C2889" t="s">
        <v>658</v>
      </c>
      <c r="D2889">
        <v>4.5087270259051001E-10</v>
      </c>
      <c r="E2889" t="s">
        <v>94</v>
      </c>
      <c r="H2889" t="s">
        <v>588</v>
      </c>
    </row>
    <row r="2890" spans="2:8">
      <c r="B2890" t="s">
        <v>4664</v>
      </c>
      <c r="C2890" t="s">
        <v>654</v>
      </c>
      <c r="D2890">
        <v>3.4372841262235801E-8</v>
      </c>
      <c r="E2890" t="s">
        <v>94</v>
      </c>
      <c r="H2890" t="s">
        <v>588</v>
      </c>
    </row>
    <row r="2891" spans="2:8">
      <c r="B2891" t="s">
        <v>4664</v>
      </c>
      <c r="C2891" t="s">
        <v>887</v>
      </c>
      <c r="D2891">
        <v>7.31239289663575E-8</v>
      </c>
      <c r="E2891" t="s">
        <v>94</v>
      </c>
      <c r="H2891" t="s">
        <v>588</v>
      </c>
    </row>
    <row r="2892" spans="2:8">
      <c r="B2892" t="s">
        <v>4665</v>
      </c>
      <c r="C2892" t="s">
        <v>654</v>
      </c>
      <c r="D2892">
        <v>4.1910555678314803E-11</v>
      </c>
      <c r="E2892" t="s">
        <v>94</v>
      </c>
      <c r="H2892" t="s">
        <v>588</v>
      </c>
    </row>
    <row r="2893" spans="2:8">
      <c r="B2893" t="s">
        <v>4666</v>
      </c>
      <c r="C2893" t="s">
        <v>4413</v>
      </c>
      <c r="D2893">
        <v>3.1994815566188301E-7</v>
      </c>
      <c r="E2893" t="s">
        <v>94</v>
      </c>
      <c r="H2893" t="s">
        <v>588</v>
      </c>
    </row>
    <row r="2894" spans="2:8">
      <c r="B2894" t="s">
        <v>765</v>
      </c>
      <c r="C2894" t="s">
        <v>883</v>
      </c>
      <c r="D2894">
        <v>4.55473051030026E-8</v>
      </c>
      <c r="E2894" t="s">
        <v>94</v>
      </c>
      <c r="H2894" t="s">
        <v>588</v>
      </c>
    </row>
    <row r="2895" spans="2:8">
      <c r="B2895" t="s">
        <v>765</v>
      </c>
      <c r="C2895" t="s">
        <v>881</v>
      </c>
      <c r="D2895">
        <v>5.0001730264888597E-8</v>
      </c>
      <c r="E2895" t="s">
        <v>94</v>
      </c>
      <c r="H2895" t="s">
        <v>588</v>
      </c>
    </row>
    <row r="2896" spans="2:8">
      <c r="B2896" t="s">
        <v>765</v>
      </c>
      <c r="C2896" t="s">
        <v>658</v>
      </c>
      <c r="D2896">
        <v>4.8660570238199403E-7</v>
      </c>
      <c r="E2896" t="s">
        <v>94</v>
      </c>
      <c r="H2896" t="s">
        <v>588</v>
      </c>
    </row>
    <row r="2897" spans="2:8">
      <c r="B2897" t="s">
        <v>765</v>
      </c>
      <c r="C2897" t="s">
        <v>654</v>
      </c>
      <c r="D2897">
        <v>6.6094131828967198E-7</v>
      </c>
      <c r="E2897" t="s">
        <v>94</v>
      </c>
      <c r="H2897" t="s">
        <v>588</v>
      </c>
    </row>
    <row r="2898" spans="2:8">
      <c r="B2898" t="s">
        <v>765</v>
      </c>
      <c r="C2898" t="s">
        <v>887</v>
      </c>
      <c r="D2898">
        <v>3.64406288788509E-9</v>
      </c>
      <c r="E2898" t="s">
        <v>94</v>
      </c>
      <c r="H2898" t="s">
        <v>588</v>
      </c>
    </row>
    <row r="2899" spans="2:8">
      <c r="B2899" t="s">
        <v>765</v>
      </c>
      <c r="C2899" t="s">
        <v>661</v>
      </c>
      <c r="D2899">
        <v>1.8727828890540101E-7</v>
      </c>
      <c r="E2899" t="s">
        <v>94</v>
      </c>
      <c r="H2899" t="s">
        <v>588</v>
      </c>
    </row>
    <row r="2900" spans="2:8">
      <c r="B2900" t="s">
        <v>765</v>
      </c>
      <c r="C2900" t="s">
        <v>712</v>
      </c>
      <c r="D2900">
        <v>5.4893818771824103E-9</v>
      </c>
      <c r="E2900" t="s">
        <v>94</v>
      </c>
      <c r="H2900" t="s">
        <v>588</v>
      </c>
    </row>
    <row r="2901" spans="2:8">
      <c r="B2901" t="s">
        <v>828</v>
      </c>
      <c r="C2901" t="s">
        <v>654</v>
      </c>
      <c r="D2901">
        <v>1.46046492091907E-9</v>
      </c>
      <c r="E2901" t="s">
        <v>94</v>
      </c>
      <c r="H2901" t="s">
        <v>588</v>
      </c>
    </row>
    <row r="2902" spans="2:8">
      <c r="B2902" t="s">
        <v>828</v>
      </c>
      <c r="C2902" t="s">
        <v>658</v>
      </c>
      <c r="D2902">
        <v>6.3298195447456505E-14</v>
      </c>
      <c r="E2902" t="s">
        <v>94</v>
      </c>
      <c r="H2902" t="s">
        <v>588</v>
      </c>
    </row>
    <row r="2903" spans="2:8">
      <c r="B2903" t="s">
        <v>828</v>
      </c>
      <c r="C2903" t="s">
        <v>887</v>
      </c>
      <c r="D2903">
        <v>9.9008371725303703E-11</v>
      </c>
      <c r="E2903" t="s">
        <v>94</v>
      </c>
      <c r="H2903" t="s">
        <v>588</v>
      </c>
    </row>
    <row r="2904" spans="2:8">
      <c r="B2904" t="s">
        <v>828</v>
      </c>
      <c r="C2904" t="s">
        <v>4401</v>
      </c>
      <c r="D2904">
        <v>4.8632987685565602E-11</v>
      </c>
      <c r="E2904" t="s">
        <v>94</v>
      </c>
      <c r="H2904" t="s">
        <v>588</v>
      </c>
    </row>
    <row r="2905" spans="2:8">
      <c r="B2905" t="s">
        <v>892</v>
      </c>
      <c r="C2905" t="s">
        <v>712</v>
      </c>
      <c r="D2905">
        <v>1.8010069469712699E-10</v>
      </c>
      <c r="E2905" t="s">
        <v>94</v>
      </c>
      <c r="H2905" t="s">
        <v>588</v>
      </c>
    </row>
    <row r="2906" spans="2:8">
      <c r="B2906" t="s">
        <v>892</v>
      </c>
      <c r="C2906" t="s">
        <v>881</v>
      </c>
      <c r="D2906">
        <v>1.63729536214251E-6</v>
      </c>
      <c r="E2906" t="s">
        <v>94</v>
      </c>
      <c r="H2906" t="s">
        <v>588</v>
      </c>
    </row>
    <row r="2907" spans="2:8">
      <c r="B2907" t="s">
        <v>892</v>
      </c>
      <c r="C2907" t="s">
        <v>661</v>
      </c>
      <c r="D2907">
        <v>1.22932130342354E-5</v>
      </c>
      <c r="E2907" t="s">
        <v>94</v>
      </c>
      <c r="H2907" t="s">
        <v>588</v>
      </c>
    </row>
    <row r="2908" spans="2:8">
      <c r="B2908" t="s">
        <v>4668</v>
      </c>
      <c r="C2908" t="s">
        <v>658</v>
      </c>
      <c r="D2908">
        <v>2.8334701102908099E-12</v>
      </c>
      <c r="E2908" t="s">
        <v>94</v>
      </c>
      <c r="H2908" t="s">
        <v>588</v>
      </c>
    </row>
    <row r="2909" spans="2:8">
      <c r="B2909" t="s">
        <v>766</v>
      </c>
      <c r="C2909" t="s">
        <v>887</v>
      </c>
      <c r="D2909">
        <v>3.66045553270395E-6</v>
      </c>
      <c r="E2909" t="s">
        <v>94</v>
      </c>
      <c r="H2909" t="s">
        <v>588</v>
      </c>
    </row>
    <row r="2910" spans="2:8">
      <c r="B2910" t="s">
        <v>766</v>
      </c>
      <c r="C2910" t="s">
        <v>712</v>
      </c>
      <c r="D2910">
        <v>6.2172301102648203E-6</v>
      </c>
      <c r="E2910" t="s">
        <v>94</v>
      </c>
      <c r="H2910" t="s">
        <v>1733</v>
      </c>
    </row>
    <row r="2911" spans="2:8">
      <c r="B2911" t="s">
        <v>766</v>
      </c>
      <c r="C2911" t="s">
        <v>661</v>
      </c>
      <c r="D2911">
        <v>1.04137269976074E-5</v>
      </c>
      <c r="E2911" t="s">
        <v>94</v>
      </c>
      <c r="H2911" t="s">
        <v>588</v>
      </c>
    </row>
    <row r="2912" spans="2:8">
      <c r="B2912" t="s">
        <v>766</v>
      </c>
      <c r="C2912" t="s">
        <v>658</v>
      </c>
      <c r="D2912">
        <v>1.4325450405693501E-9</v>
      </c>
      <c r="E2912" t="s">
        <v>94</v>
      </c>
      <c r="H2912" t="s">
        <v>588</v>
      </c>
    </row>
    <row r="2913" spans="2:8">
      <c r="B2913" t="s">
        <v>766</v>
      </c>
      <c r="C2913" t="s">
        <v>881</v>
      </c>
      <c r="D2913">
        <v>4.4510219170984902E-7</v>
      </c>
      <c r="E2913" t="s">
        <v>94</v>
      </c>
      <c r="H2913" t="s">
        <v>588</v>
      </c>
    </row>
    <row r="2914" spans="2:8">
      <c r="B2914" t="s">
        <v>766</v>
      </c>
      <c r="C2914" t="s">
        <v>654</v>
      </c>
      <c r="D2914">
        <v>5.8871566174266302E-8</v>
      </c>
      <c r="E2914" t="s">
        <v>94</v>
      </c>
      <c r="H2914" t="s">
        <v>588</v>
      </c>
    </row>
    <row r="2915" spans="2:8">
      <c r="B2915" t="s">
        <v>893</v>
      </c>
      <c r="C2915" t="s">
        <v>661</v>
      </c>
      <c r="D2915">
        <v>3.7730919717294398E-4</v>
      </c>
      <c r="E2915" t="s">
        <v>890</v>
      </c>
      <c r="H2915" t="s">
        <v>588</v>
      </c>
    </row>
    <row r="2916" spans="2:8">
      <c r="B2916" t="s">
        <v>893</v>
      </c>
      <c r="C2916" t="s">
        <v>887</v>
      </c>
      <c r="D2916">
        <v>1.0399396732585699E-6</v>
      </c>
      <c r="E2916" t="s">
        <v>890</v>
      </c>
      <c r="H2916" t="s">
        <v>588</v>
      </c>
    </row>
    <row r="2917" spans="2:8">
      <c r="B2917" t="s">
        <v>893</v>
      </c>
      <c r="C2917" t="s">
        <v>654</v>
      </c>
      <c r="D2917">
        <v>8.5710397796249004E-7</v>
      </c>
      <c r="E2917" t="s">
        <v>890</v>
      </c>
      <c r="H2917" t="s">
        <v>588</v>
      </c>
    </row>
    <row r="2918" spans="2:8">
      <c r="B2918" t="s">
        <v>4671</v>
      </c>
      <c r="C2918" t="s">
        <v>712</v>
      </c>
      <c r="D2918">
        <v>3.0574074109775201E-11</v>
      </c>
      <c r="E2918" t="s">
        <v>94</v>
      </c>
      <c r="H2918" t="s">
        <v>588</v>
      </c>
    </row>
    <row r="2919" spans="2:8">
      <c r="B2919" t="s">
        <v>4672</v>
      </c>
      <c r="C2919" t="s">
        <v>654</v>
      </c>
      <c r="D2919">
        <v>4.5466794662705701E-6</v>
      </c>
      <c r="E2919" t="s">
        <v>94</v>
      </c>
      <c r="H2919" t="s">
        <v>588</v>
      </c>
    </row>
    <row r="2920" spans="2:8">
      <c r="B2920" t="s">
        <v>4672</v>
      </c>
      <c r="C2920" t="s">
        <v>887</v>
      </c>
      <c r="D2920">
        <v>2.8545802211990301E-4</v>
      </c>
      <c r="E2920" t="s">
        <v>94</v>
      </c>
      <c r="H2920" t="s">
        <v>588</v>
      </c>
    </row>
    <row r="2921" spans="2:8">
      <c r="B2921" t="s">
        <v>4672</v>
      </c>
      <c r="C2921" t="s">
        <v>658</v>
      </c>
      <c r="D2921">
        <v>1.8286145149763401E-7</v>
      </c>
      <c r="E2921" t="s">
        <v>94</v>
      </c>
      <c r="H2921" t="s">
        <v>588</v>
      </c>
    </row>
    <row r="2922" spans="2:8">
      <c r="B2922" t="s">
        <v>4673</v>
      </c>
      <c r="C2922" t="s">
        <v>883</v>
      </c>
      <c r="D2922">
        <v>9.8623432631237701E-3</v>
      </c>
      <c r="E2922" t="s">
        <v>94</v>
      </c>
      <c r="H2922" t="s">
        <v>588</v>
      </c>
    </row>
    <row r="2923" spans="2:8">
      <c r="B2923" t="s">
        <v>4673</v>
      </c>
      <c r="C2923" t="s">
        <v>661</v>
      </c>
      <c r="D2923">
        <v>2.0722786122097E-5</v>
      </c>
      <c r="E2923" t="s">
        <v>94</v>
      </c>
      <c r="H2923" t="s">
        <v>588</v>
      </c>
    </row>
    <row r="2924" spans="2:8">
      <c r="B2924" t="s">
        <v>894</v>
      </c>
      <c r="C2924" t="s">
        <v>661</v>
      </c>
      <c r="D2924">
        <v>4.7364346028092898E-4</v>
      </c>
      <c r="E2924" t="s">
        <v>890</v>
      </c>
      <c r="H2924" t="s">
        <v>588</v>
      </c>
    </row>
    <row r="2925" spans="2:8">
      <c r="B2925" t="s">
        <v>894</v>
      </c>
      <c r="C2925" t="s">
        <v>887</v>
      </c>
      <c r="D2925">
        <v>1.5455523165834801E-7</v>
      </c>
      <c r="E2925" t="s">
        <v>890</v>
      </c>
      <c r="H2925" t="s">
        <v>588</v>
      </c>
    </row>
    <row r="2926" spans="2:8">
      <c r="B2926" t="s">
        <v>894</v>
      </c>
      <c r="C2926" t="s">
        <v>654</v>
      </c>
      <c r="D2926">
        <v>1.27520787054506E-7</v>
      </c>
      <c r="E2926" t="s">
        <v>890</v>
      </c>
      <c r="H2926" t="s">
        <v>588</v>
      </c>
    </row>
    <row r="2927" spans="2:8">
      <c r="B2927" t="s">
        <v>4674</v>
      </c>
      <c r="C2927" t="s">
        <v>658</v>
      </c>
      <c r="D2927">
        <v>1.8674829720988199E-9</v>
      </c>
      <c r="E2927" t="s">
        <v>94</v>
      </c>
      <c r="H2927" t="s">
        <v>588</v>
      </c>
    </row>
    <row r="2928" spans="2:8">
      <c r="B2928" t="s">
        <v>829</v>
      </c>
      <c r="C2928" t="s">
        <v>887</v>
      </c>
      <c r="D2928">
        <v>6.2350741853946298E-6</v>
      </c>
      <c r="E2928" t="s">
        <v>94</v>
      </c>
      <c r="H2928" t="s">
        <v>588</v>
      </c>
    </row>
    <row r="2929" spans="2:8">
      <c r="B2929" t="s">
        <v>829</v>
      </c>
      <c r="C2929" t="s">
        <v>654</v>
      </c>
      <c r="D2929">
        <v>6.8860867341815597E-8</v>
      </c>
      <c r="E2929" t="s">
        <v>94</v>
      </c>
      <c r="H2929" t="s">
        <v>588</v>
      </c>
    </row>
    <row r="2930" spans="2:8">
      <c r="B2930" t="s">
        <v>829</v>
      </c>
      <c r="C2930" t="s">
        <v>658</v>
      </c>
      <c r="D2930">
        <v>3.3168362603303098E-6</v>
      </c>
      <c r="E2930" t="s">
        <v>94</v>
      </c>
      <c r="H2930" t="s">
        <v>588</v>
      </c>
    </row>
    <row r="2931" spans="2:8">
      <c r="B2931" t="s">
        <v>1554</v>
      </c>
      <c r="C2931" t="s">
        <v>658</v>
      </c>
      <c r="D2931">
        <v>4.4416664669499401E-13</v>
      </c>
      <c r="E2931" t="s">
        <v>94</v>
      </c>
      <c r="H2931" t="s">
        <v>588</v>
      </c>
    </row>
    <row r="2932" spans="2:8">
      <c r="B2932" t="s">
        <v>4676</v>
      </c>
      <c r="C2932" t="s">
        <v>654</v>
      </c>
      <c r="D2932">
        <v>3.1548546018379299E-8</v>
      </c>
      <c r="E2932" t="s">
        <v>94</v>
      </c>
      <c r="H2932" t="s">
        <v>588</v>
      </c>
    </row>
    <row r="2933" spans="2:8">
      <c r="B2933" t="s">
        <v>4676</v>
      </c>
      <c r="C2933" t="s">
        <v>887</v>
      </c>
      <c r="D2933">
        <v>1.4317900398676199E-7</v>
      </c>
      <c r="E2933" t="s">
        <v>94</v>
      </c>
    </row>
    <row r="2934" spans="2:8">
      <c r="B2934" t="s">
        <v>4677</v>
      </c>
      <c r="C2934" t="s">
        <v>654</v>
      </c>
      <c r="D2934">
        <v>5.7160660370373697E-10</v>
      </c>
      <c r="E2934" t="s">
        <v>94</v>
      </c>
      <c r="H2934" t="s">
        <v>588</v>
      </c>
    </row>
    <row r="2935" spans="2:8">
      <c r="B2935" t="s">
        <v>4677</v>
      </c>
      <c r="C2935" t="s">
        <v>887</v>
      </c>
      <c r="D2935">
        <v>1.2046097835227901E-9</v>
      </c>
      <c r="E2935" t="s">
        <v>94</v>
      </c>
      <c r="H2935" t="s">
        <v>588</v>
      </c>
    </row>
    <row r="2936" spans="2:8">
      <c r="B2936" t="s">
        <v>4677</v>
      </c>
      <c r="C2936" t="s">
        <v>658</v>
      </c>
      <c r="D2936">
        <v>7.4991905574788093E-12</v>
      </c>
      <c r="E2936" t="s">
        <v>94</v>
      </c>
      <c r="H2936" t="s">
        <v>588</v>
      </c>
    </row>
    <row r="2937" spans="2:8">
      <c r="B2937" t="s">
        <v>4679</v>
      </c>
      <c r="C2937" t="s">
        <v>887</v>
      </c>
      <c r="D2937">
        <v>3.9717809571826901E-8</v>
      </c>
      <c r="E2937" t="s">
        <v>94</v>
      </c>
      <c r="H2937" t="s">
        <v>588</v>
      </c>
    </row>
    <row r="2938" spans="2:8">
      <c r="B2938" t="s">
        <v>4682</v>
      </c>
      <c r="C2938" t="s">
        <v>4413</v>
      </c>
      <c r="D2938">
        <v>1.0598549812493901E-6</v>
      </c>
      <c r="E2938" t="s">
        <v>94</v>
      </c>
      <c r="H2938" t="s">
        <v>588</v>
      </c>
    </row>
    <row r="2939" spans="2:8">
      <c r="B2939" t="s">
        <v>4683</v>
      </c>
      <c r="C2939" t="s">
        <v>654</v>
      </c>
      <c r="D2939">
        <v>2.18442896262732E-12</v>
      </c>
      <c r="E2939" t="s">
        <v>94</v>
      </c>
      <c r="H2939" t="s">
        <v>588</v>
      </c>
    </row>
    <row r="2940" spans="2:8">
      <c r="B2940" t="s">
        <v>4684</v>
      </c>
      <c r="C2940" t="s">
        <v>661</v>
      </c>
      <c r="D2940">
        <v>3.5640113600402298E-8</v>
      </c>
      <c r="E2940" t="s">
        <v>890</v>
      </c>
      <c r="H2940" t="s">
        <v>588</v>
      </c>
    </row>
    <row r="2941" spans="2:8">
      <c r="B2941" t="s">
        <v>4685</v>
      </c>
      <c r="C2941" t="s">
        <v>661</v>
      </c>
      <c r="D2941">
        <v>0.14222483383750301</v>
      </c>
      <c r="E2941" t="s">
        <v>890</v>
      </c>
      <c r="H2941" t="s">
        <v>588</v>
      </c>
    </row>
    <row r="2942" spans="2:8">
      <c r="B2942" t="s">
        <v>4687</v>
      </c>
      <c r="C2942" t="s">
        <v>658</v>
      </c>
      <c r="D2942">
        <v>1.2820845115006401E-7</v>
      </c>
      <c r="E2942" t="s">
        <v>890</v>
      </c>
      <c r="H2942" t="s">
        <v>588</v>
      </c>
    </row>
    <row r="2943" spans="2:8">
      <c r="B2943" t="s">
        <v>4687</v>
      </c>
      <c r="C2943" t="s">
        <v>887</v>
      </c>
      <c r="D2943">
        <v>15.5323198687245</v>
      </c>
      <c r="E2943" t="s">
        <v>890</v>
      </c>
      <c r="H2943" t="s">
        <v>588</v>
      </c>
    </row>
    <row r="2944" spans="2:8">
      <c r="B2944" t="s">
        <v>895</v>
      </c>
      <c r="C2944" t="s">
        <v>661</v>
      </c>
      <c r="D2944">
        <v>2.3280780251096501E-4</v>
      </c>
      <c r="E2944" t="s">
        <v>890</v>
      </c>
      <c r="H2944" t="s">
        <v>588</v>
      </c>
    </row>
    <row r="2945" spans="2:8">
      <c r="B2945" t="s">
        <v>895</v>
      </c>
      <c r="C2945" t="s">
        <v>654</v>
      </c>
      <c r="D2945">
        <v>1.2042667955434301E-7</v>
      </c>
      <c r="E2945" t="s">
        <v>890</v>
      </c>
      <c r="H2945" t="s">
        <v>588</v>
      </c>
    </row>
    <row r="2946" spans="2:8">
      <c r="B2946" t="s">
        <v>895</v>
      </c>
      <c r="C2946" t="s">
        <v>887</v>
      </c>
      <c r="D2946">
        <v>1.4579289434355201E-7</v>
      </c>
      <c r="E2946" t="s">
        <v>890</v>
      </c>
      <c r="H2946" t="s">
        <v>588</v>
      </c>
    </row>
    <row r="2947" spans="2:8">
      <c r="B2947" t="s">
        <v>4688</v>
      </c>
      <c r="C2947" t="s">
        <v>887</v>
      </c>
      <c r="D2947">
        <v>2.2089039747035401E-7</v>
      </c>
      <c r="E2947" t="s">
        <v>890</v>
      </c>
      <c r="H2947" t="s">
        <v>588</v>
      </c>
    </row>
    <row r="2948" spans="2:8">
      <c r="B2948" t="s">
        <v>4688</v>
      </c>
      <c r="C2948" t="s">
        <v>654</v>
      </c>
      <c r="D2948">
        <v>1.7434915943568999E-7</v>
      </c>
      <c r="E2948" t="s">
        <v>890</v>
      </c>
      <c r="H2948" t="s">
        <v>588</v>
      </c>
    </row>
    <row r="2949" spans="2:8">
      <c r="B2949" t="s">
        <v>4689</v>
      </c>
      <c r="C2949" t="s">
        <v>887</v>
      </c>
      <c r="D2949">
        <v>3.15784025415806E-8</v>
      </c>
      <c r="E2949" t="s">
        <v>890</v>
      </c>
      <c r="H2949" t="s">
        <v>588</v>
      </c>
    </row>
    <row r="2950" spans="2:8">
      <c r="B2950" t="s">
        <v>4689</v>
      </c>
      <c r="C2950" t="s">
        <v>654</v>
      </c>
      <c r="D2950">
        <v>2.63621841163081E-8</v>
      </c>
      <c r="E2950" t="s">
        <v>890</v>
      </c>
      <c r="H2950" t="s">
        <v>588</v>
      </c>
    </row>
    <row r="2951" spans="2:8">
      <c r="B2951" t="s">
        <v>896</v>
      </c>
      <c r="C2951" t="s">
        <v>654</v>
      </c>
      <c r="D2951">
        <v>2.63621841163081E-8</v>
      </c>
      <c r="E2951" t="s">
        <v>890</v>
      </c>
      <c r="H2951" t="s">
        <v>588</v>
      </c>
    </row>
    <row r="2952" spans="2:8">
      <c r="B2952" t="s">
        <v>896</v>
      </c>
      <c r="C2952" t="s">
        <v>887</v>
      </c>
      <c r="D2952">
        <v>3.15784025415806E-8</v>
      </c>
      <c r="E2952" t="s">
        <v>890</v>
      </c>
      <c r="H2952" t="s">
        <v>588</v>
      </c>
    </row>
    <row r="2953" spans="2:8">
      <c r="B2953" t="s">
        <v>896</v>
      </c>
      <c r="C2953" t="s">
        <v>658</v>
      </c>
      <c r="D2953">
        <v>1.6845761005401899E-5</v>
      </c>
      <c r="E2953" t="s">
        <v>890</v>
      </c>
      <c r="H2953" t="s">
        <v>588</v>
      </c>
    </row>
    <row r="2954" spans="2:8">
      <c r="B2954" t="s">
        <v>4690</v>
      </c>
      <c r="C2954" t="s">
        <v>1613</v>
      </c>
      <c r="D2954">
        <v>7.5872692540777096E-8</v>
      </c>
      <c r="E2954" t="s">
        <v>640</v>
      </c>
      <c r="H2954" t="s">
        <v>588</v>
      </c>
    </row>
    <row r="2955" spans="2:8">
      <c r="B2955" t="s">
        <v>4690</v>
      </c>
      <c r="C2955" t="s">
        <v>1613</v>
      </c>
      <c r="D2955">
        <v>3.1754507801977802E-6</v>
      </c>
      <c r="E2955" t="s">
        <v>640</v>
      </c>
      <c r="H2955" t="s">
        <v>588</v>
      </c>
    </row>
    <row r="2956" spans="2:8">
      <c r="B2956" t="s">
        <v>4690</v>
      </c>
      <c r="C2956" t="s">
        <v>1613</v>
      </c>
      <c r="D2956">
        <v>1.03043645926981E-5</v>
      </c>
      <c r="E2956" t="s">
        <v>640</v>
      </c>
      <c r="H2956" t="s">
        <v>588</v>
      </c>
    </row>
    <row r="2957" spans="2:8">
      <c r="B2957" t="s">
        <v>4695</v>
      </c>
      <c r="C2957" t="s">
        <v>787</v>
      </c>
      <c r="D2957">
        <v>1.8439129722584599E-4</v>
      </c>
      <c r="E2957" t="s">
        <v>94</v>
      </c>
      <c r="H2957" t="s">
        <v>588</v>
      </c>
    </row>
    <row r="2958" spans="2:8">
      <c r="B2958" t="s">
        <v>769</v>
      </c>
      <c r="C2958" t="s">
        <v>744</v>
      </c>
      <c r="D2958">
        <v>1.0367714007239201E-6</v>
      </c>
      <c r="E2958" t="s">
        <v>94</v>
      </c>
      <c r="H2958" t="s">
        <v>588</v>
      </c>
    </row>
    <row r="2959" spans="2:8">
      <c r="B2959" t="s">
        <v>769</v>
      </c>
      <c r="C2959" t="s">
        <v>744</v>
      </c>
      <c r="D2959">
        <v>3.1076680642941201E-7</v>
      </c>
      <c r="E2959" t="s">
        <v>94</v>
      </c>
      <c r="H2959" t="s">
        <v>588</v>
      </c>
    </row>
    <row r="2960" spans="2:8">
      <c r="B2960" t="s">
        <v>4700</v>
      </c>
      <c r="C2960" t="s">
        <v>787</v>
      </c>
      <c r="D2960">
        <v>2.9510861292401301E-4</v>
      </c>
      <c r="E2960" t="s">
        <v>94</v>
      </c>
      <c r="H2960" t="s">
        <v>588</v>
      </c>
    </row>
    <row r="2961" spans="2:8">
      <c r="B2961" t="s">
        <v>4700</v>
      </c>
      <c r="C2961" t="s">
        <v>787</v>
      </c>
      <c r="D2961">
        <v>3.5763341968973102E-6</v>
      </c>
      <c r="E2961" t="s">
        <v>94</v>
      </c>
      <c r="H2961" t="s">
        <v>588</v>
      </c>
    </row>
    <row r="2962" spans="2:8">
      <c r="B2962" t="s">
        <v>4702</v>
      </c>
      <c r="C2962" t="s">
        <v>787</v>
      </c>
      <c r="D2962">
        <v>7.2413888969371896E-6</v>
      </c>
      <c r="E2962" t="s">
        <v>94</v>
      </c>
      <c r="H2962" t="s">
        <v>588</v>
      </c>
    </row>
    <row r="2963" spans="2:8">
      <c r="B2963" t="s">
        <v>4702</v>
      </c>
      <c r="C2963" t="s">
        <v>787</v>
      </c>
      <c r="D2963">
        <v>4.7932270322905497E-4</v>
      </c>
      <c r="E2963" t="s">
        <v>94</v>
      </c>
      <c r="H2963" t="s">
        <v>588</v>
      </c>
    </row>
    <row r="2964" spans="2:8">
      <c r="B2964" t="s">
        <v>4705</v>
      </c>
      <c r="C2964" t="s">
        <v>787</v>
      </c>
      <c r="D2964">
        <v>6.2259096154603096E-4</v>
      </c>
      <c r="E2964" t="s">
        <v>94</v>
      </c>
      <c r="H2964" t="s">
        <v>588</v>
      </c>
    </row>
    <row r="2965" spans="2:8">
      <c r="B2965" t="s">
        <v>4705</v>
      </c>
      <c r="C2965" t="s">
        <v>787</v>
      </c>
      <c r="D2965">
        <v>9.4056983486058894E-6</v>
      </c>
      <c r="E2965" t="s">
        <v>94</v>
      </c>
      <c r="H2965" t="s">
        <v>588</v>
      </c>
    </row>
    <row r="2966" spans="2:8">
      <c r="B2966" t="s">
        <v>4707</v>
      </c>
      <c r="C2966" t="s">
        <v>787</v>
      </c>
      <c r="D2966">
        <v>6.1305955869476897E-5</v>
      </c>
      <c r="E2966" t="s">
        <v>94</v>
      </c>
      <c r="H2966" t="s">
        <v>588</v>
      </c>
    </row>
    <row r="2967" spans="2:8">
      <c r="B2967" t="s">
        <v>4707</v>
      </c>
      <c r="C2967" t="s">
        <v>787</v>
      </c>
      <c r="D2967">
        <v>6.1305769417854594E-5</v>
      </c>
      <c r="E2967" t="s">
        <v>94</v>
      </c>
      <c r="H2967" t="s">
        <v>588</v>
      </c>
    </row>
    <row r="2968" spans="2:8">
      <c r="B2968" t="s">
        <v>4710</v>
      </c>
      <c r="C2968" t="s">
        <v>661</v>
      </c>
      <c r="D2968">
        <v>2.2877282031152399E-7</v>
      </c>
      <c r="E2968" t="s">
        <v>890</v>
      </c>
      <c r="H2968" t="s">
        <v>588</v>
      </c>
    </row>
    <row r="2969" spans="2:8">
      <c r="B2969" t="s">
        <v>4710</v>
      </c>
      <c r="C2969" t="s">
        <v>658</v>
      </c>
      <c r="D2969">
        <v>9.9832993866712099E-11</v>
      </c>
      <c r="E2969" t="s">
        <v>890</v>
      </c>
      <c r="H2969" t="s">
        <v>588</v>
      </c>
    </row>
    <row r="2970" spans="2:8">
      <c r="B2970" t="s">
        <v>4711</v>
      </c>
      <c r="C2970" t="s">
        <v>744</v>
      </c>
      <c r="D2970">
        <v>6.2650686385814405E-2</v>
      </c>
      <c r="E2970" t="s">
        <v>94</v>
      </c>
      <c r="H2970" t="s">
        <v>588</v>
      </c>
    </row>
    <row r="2971" spans="2:8">
      <c r="B2971" t="s">
        <v>4714</v>
      </c>
      <c r="C2971" t="s">
        <v>654</v>
      </c>
      <c r="D2971">
        <v>6.2284444666360903E-12</v>
      </c>
      <c r="E2971" t="s">
        <v>94</v>
      </c>
      <c r="H2971" t="s">
        <v>588</v>
      </c>
    </row>
    <row r="2972" spans="2:8">
      <c r="B2972" t="s">
        <v>4714</v>
      </c>
      <c r="C2972" t="s">
        <v>887</v>
      </c>
      <c r="D2972">
        <v>7.6858070822990905E-12</v>
      </c>
      <c r="E2972" t="s">
        <v>94</v>
      </c>
      <c r="H2972" t="s">
        <v>588</v>
      </c>
    </row>
    <row r="2973" spans="2:8">
      <c r="B2973" t="s">
        <v>4715</v>
      </c>
      <c r="C2973" t="s">
        <v>787</v>
      </c>
      <c r="D2973">
        <v>4.4887293089646198E-3</v>
      </c>
      <c r="E2973" t="s">
        <v>94</v>
      </c>
    </row>
    <row r="2974" spans="2:8">
      <c r="B2974" t="s">
        <v>4715</v>
      </c>
      <c r="C2974" t="s">
        <v>787</v>
      </c>
      <c r="D2974">
        <v>6.1860562212269504E-5</v>
      </c>
      <c r="E2974" t="s">
        <v>94</v>
      </c>
    </row>
    <row r="2975" spans="2:8">
      <c r="B2975" t="s">
        <v>4715</v>
      </c>
      <c r="C2975" t="s">
        <v>787</v>
      </c>
      <c r="D2975">
        <v>7.3872051902119701E-4</v>
      </c>
      <c r="E2975" t="s">
        <v>94</v>
      </c>
    </row>
    <row r="2976" spans="2:8">
      <c r="B2976" t="s">
        <v>1556</v>
      </c>
      <c r="C2976" t="s">
        <v>787</v>
      </c>
      <c r="D2976">
        <v>6.2842311004028797E-5</v>
      </c>
      <c r="E2976" t="s">
        <v>94</v>
      </c>
      <c r="H2976" t="s">
        <v>588</v>
      </c>
    </row>
    <row r="2977" spans="2:8">
      <c r="B2977" t="s">
        <v>1556</v>
      </c>
      <c r="C2977" t="s">
        <v>787</v>
      </c>
      <c r="D2977">
        <v>2.5263882444463199E-4</v>
      </c>
      <c r="E2977" t="s">
        <v>94</v>
      </c>
      <c r="H2977" t="s">
        <v>588</v>
      </c>
    </row>
    <row r="2978" spans="2:8">
      <c r="B2978" t="s">
        <v>1556</v>
      </c>
      <c r="C2978" t="s">
        <v>787</v>
      </c>
      <c r="D2978">
        <v>3.8363952999120703E-4</v>
      </c>
      <c r="E2978" t="s">
        <v>94</v>
      </c>
      <c r="H2978" t="s">
        <v>588</v>
      </c>
    </row>
    <row r="2979" spans="2:8">
      <c r="B2979" t="s">
        <v>983</v>
      </c>
      <c r="C2979" t="s">
        <v>787</v>
      </c>
      <c r="D2979">
        <v>4.7842146146003699E-3</v>
      </c>
      <c r="E2979" t="s">
        <v>94</v>
      </c>
      <c r="H2979" t="s">
        <v>588</v>
      </c>
    </row>
    <row r="2980" spans="2:8">
      <c r="B2980" t="s">
        <v>983</v>
      </c>
      <c r="C2980" t="s">
        <v>787</v>
      </c>
      <c r="D2980">
        <v>1.80317438721148E-2</v>
      </c>
      <c r="E2980" t="s">
        <v>94</v>
      </c>
      <c r="H2980" t="s">
        <v>588</v>
      </c>
    </row>
    <row r="2981" spans="2:8">
      <c r="B2981" t="s">
        <v>983</v>
      </c>
      <c r="C2981" t="s">
        <v>787</v>
      </c>
      <c r="D2981">
        <v>8.2144854728129699E-3</v>
      </c>
      <c r="E2981" t="s">
        <v>94</v>
      </c>
      <c r="H2981" t="s">
        <v>588</v>
      </c>
    </row>
    <row r="2982" spans="2:8">
      <c r="B2982" t="s">
        <v>4718</v>
      </c>
      <c r="C2982" t="s">
        <v>787</v>
      </c>
      <c r="D2982">
        <v>1.31505962881757E-3</v>
      </c>
      <c r="E2982" t="s">
        <v>94</v>
      </c>
    </row>
    <row r="2983" spans="2:8">
      <c r="B2983" t="s">
        <v>4718</v>
      </c>
      <c r="C2983" t="s">
        <v>787</v>
      </c>
      <c r="D2983">
        <v>4.0606814337227698E-4</v>
      </c>
      <c r="E2983" t="s">
        <v>94</v>
      </c>
    </row>
    <row r="2984" spans="2:8">
      <c r="B2984" t="s">
        <v>772</v>
      </c>
      <c r="C2984" t="s">
        <v>658</v>
      </c>
      <c r="D2984">
        <v>3.7872106209163702E-11</v>
      </c>
      <c r="E2984" t="s">
        <v>94</v>
      </c>
      <c r="H2984" t="s">
        <v>588</v>
      </c>
    </row>
    <row r="2985" spans="2:8">
      <c r="B2985" t="s">
        <v>772</v>
      </c>
      <c r="C2985" t="s">
        <v>887</v>
      </c>
      <c r="D2985">
        <v>4.45124665389203E-7</v>
      </c>
      <c r="E2985" t="s">
        <v>94</v>
      </c>
      <c r="H2985" t="s">
        <v>588</v>
      </c>
    </row>
    <row r="2986" spans="2:8">
      <c r="B2986" t="s">
        <v>772</v>
      </c>
      <c r="C2986" t="s">
        <v>881</v>
      </c>
      <c r="D2986">
        <v>1.7295515668677801E-8</v>
      </c>
      <c r="E2986" t="s">
        <v>94</v>
      </c>
      <c r="H2986" t="s">
        <v>588</v>
      </c>
    </row>
    <row r="2987" spans="2:8">
      <c r="B2987" t="s">
        <v>772</v>
      </c>
      <c r="C2987" t="s">
        <v>654</v>
      </c>
      <c r="D2987">
        <v>4.1748638204923597E-9</v>
      </c>
      <c r="E2987" t="s">
        <v>94</v>
      </c>
      <c r="H2987" t="s">
        <v>588</v>
      </c>
    </row>
    <row r="2988" spans="2:8">
      <c r="B2988" t="s">
        <v>772</v>
      </c>
      <c r="C2988" t="s">
        <v>712</v>
      </c>
      <c r="D2988">
        <v>8.1697628122538902E-9</v>
      </c>
      <c r="E2988" t="s">
        <v>94</v>
      </c>
      <c r="H2988" t="s">
        <v>588</v>
      </c>
    </row>
    <row r="2989" spans="2:8">
      <c r="B2989" t="s">
        <v>772</v>
      </c>
      <c r="C2989" t="s">
        <v>661</v>
      </c>
      <c r="D2989">
        <v>4.05698091808798E-9</v>
      </c>
      <c r="E2989" t="s">
        <v>94</v>
      </c>
      <c r="H2989" t="s">
        <v>588</v>
      </c>
    </row>
    <row r="2990" spans="2:8">
      <c r="B2990" t="s">
        <v>4721</v>
      </c>
      <c r="C2990" t="s">
        <v>787</v>
      </c>
      <c r="D2990">
        <v>8.3292335288523407E-9</v>
      </c>
      <c r="E2990" t="s">
        <v>640</v>
      </c>
      <c r="H2990" t="s">
        <v>588</v>
      </c>
    </row>
    <row r="2991" spans="2:8">
      <c r="B2991" t="s">
        <v>4723</v>
      </c>
      <c r="C2991" t="s">
        <v>661</v>
      </c>
      <c r="D2991">
        <v>4.8490097634697996E-13</v>
      </c>
      <c r="E2991" t="s">
        <v>94</v>
      </c>
      <c r="H2991" t="s">
        <v>588</v>
      </c>
    </row>
    <row r="2992" spans="2:8">
      <c r="B2992" t="s">
        <v>4723</v>
      </c>
      <c r="C2992" t="s">
        <v>883</v>
      </c>
      <c r="D2992">
        <v>1.3249542846263099E-8</v>
      </c>
      <c r="E2992" t="s">
        <v>94</v>
      </c>
      <c r="H2992" t="s">
        <v>588</v>
      </c>
    </row>
    <row r="2993" spans="2:8">
      <c r="B2993" t="s">
        <v>4723</v>
      </c>
      <c r="C2993" t="s">
        <v>654</v>
      </c>
      <c r="D2993">
        <v>7.7040216899880399E-7</v>
      </c>
      <c r="E2993" t="s">
        <v>94</v>
      </c>
      <c r="H2993" t="s">
        <v>588</v>
      </c>
    </row>
    <row r="2994" spans="2:8">
      <c r="B2994" t="s">
        <v>4723</v>
      </c>
      <c r="C2994" t="s">
        <v>887</v>
      </c>
      <c r="D2994">
        <v>1.1902420472999401E-6</v>
      </c>
      <c r="E2994" t="s">
        <v>94</v>
      </c>
      <c r="H2994" t="s">
        <v>588</v>
      </c>
    </row>
    <row r="2995" spans="2:8">
      <c r="B2995" t="s">
        <v>830</v>
      </c>
      <c r="C2995" t="s">
        <v>887</v>
      </c>
      <c r="D2995">
        <v>4.9019971975595901E-12</v>
      </c>
      <c r="E2995" t="s">
        <v>94</v>
      </c>
    </row>
    <row r="2996" spans="2:8">
      <c r="B2996" t="s">
        <v>4724</v>
      </c>
      <c r="C2996" t="s">
        <v>712</v>
      </c>
      <c r="D2996">
        <v>5.0956790182958599E-11</v>
      </c>
      <c r="E2996" t="s">
        <v>94</v>
      </c>
      <c r="H2996" t="s">
        <v>588</v>
      </c>
    </row>
    <row r="2997" spans="2:8">
      <c r="B2997" t="s">
        <v>4725</v>
      </c>
      <c r="C2997" t="s">
        <v>661</v>
      </c>
      <c r="D2997">
        <v>3.3525188010641901E-4</v>
      </c>
      <c r="E2997" t="s">
        <v>890</v>
      </c>
      <c r="H2997" t="s">
        <v>588</v>
      </c>
    </row>
    <row r="2998" spans="2:8">
      <c r="B2998" t="s">
        <v>4725</v>
      </c>
      <c r="C2998" t="s">
        <v>658</v>
      </c>
      <c r="D2998">
        <v>2.4366476039771699E-9</v>
      </c>
      <c r="E2998" t="s">
        <v>890</v>
      </c>
      <c r="H2998" t="s">
        <v>588</v>
      </c>
    </row>
    <row r="2999" spans="2:8">
      <c r="B2999" t="s">
        <v>4726</v>
      </c>
      <c r="C2999" t="s">
        <v>787</v>
      </c>
      <c r="D2999">
        <v>1.05962654357073E-7</v>
      </c>
      <c r="E2999" t="s">
        <v>94</v>
      </c>
      <c r="H2999" t="s">
        <v>588</v>
      </c>
    </row>
    <row r="3000" spans="2:8">
      <c r="B3000" t="s">
        <v>4726</v>
      </c>
      <c r="C3000" t="s">
        <v>787</v>
      </c>
      <c r="D3000">
        <v>9.5622830502087708E-6</v>
      </c>
      <c r="E3000" t="s">
        <v>94</v>
      </c>
      <c r="H3000" t="s">
        <v>588</v>
      </c>
    </row>
    <row r="3001" spans="2:8">
      <c r="B3001" t="s">
        <v>4726</v>
      </c>
      <c r="C3001" t="s">
        <v>787</v>
      </c>
      <c r="D3001">
        <v>5.3250119383338305E-4</v>
      </c>
      <c r="E3001" t="s">
        <v>94</v>
      </c>
      <c r="H3001" t="s">
        <v>588</v>
      </c>
    </row>
    <row r="3002" spans="2:8">
      <c r="B3002" t="s">
        <v>4728</v>
      </c>
      <c r="C3002" t="s">
        <v>744</v>
      </c>
      <c r="D3002">
        <v>2.1776842476889202E-3</v>
      </c>
      <c r="E3002" t="s">
        <v>94</v>
      </c>
      <c r="H3002" t="s">
        <v>588</v>
      </c>
    </row>
    <row r="3003" spans="2:8">
      <c r="B3003" t="s">
        <v>4730</v>
      </c>
      <c r="C3003" t="s">
        <v>654</v>
      </c>
      <c r="D3003">
        <v>2.6803619449898501E-7</v>
      </c>
      <c r="E3003" t="s">
        <v>94</v>
      </c>
      <c r="H3003" t="s">
        <v>588</v>
      </c>
    </row>
    <row r="3004" spans="2:8">
      <c r="B3004" t="s">
        <v>4730</v>
      </c>
      <c r="C3004" t="s">
        <v>658</v>
      </c>
      <c r="D3004">
        <v>1.16847315092958E-8</v>
      </c>
      <c r="E3004" t="s">
        <v>94</v>
      </c>
      <c r="H3004" t="s">
        <v>588</v>
      </c>
    </row>
    <row r="3005" spans="2:8">
      <c r="B3005" t="s">
        <v>4730</v>
      </c>
      <c r="C3005" t="s">
        <v>887</v>
      </c>
      <c r="D3005">
        <v>2.2806267635153299E-5</v>
      </c>
      <c r="E3005" t="s">
        <v>94</v>
      </c>
      <c r="H3005" t="s">
        <v>588</v>
      </c>
    </row>
    <row r="3006" spans="2:8">
      <c r="B3006" t="s">
        <v>4730</v>
      </c>
      <c r="C3006" t="s">
        <v>4389</v>
      </c>
      <c r="D3006">
        <v>2.2275080522994399E-12</v>
      </c>
      <c r="E3006" t="s">
        <v>94</v>
      </c>
      <c r="H3006" t="s">
        <v>588</v>
      </c>
    </row>
    <row r="3007" spans="2:8">
      <c r="B3007" t="s">
        <v>4730</v>
      </c>
      <c r="C3007" t="s">
        <v>712</v>
      </c>
      <c r="D3007">
        <v>3.6100004987853101E-8</v>
      </c>
      <c r="E3007" t="s">
        <v>94</v>
      </c>
      <c r="H3007" t="s">
        <v>588</v>
      </c>
    </row>
    <row r="3008" spans="2:8">
      <c r="B3008" t="s">
        <v>4732</v>
      </c>
      <c r="C3008" t="s">
        <v>887</v>
      </c>
      <c r="D3008">
        <v>7.8478983852342006E-8</v>
      </c>
      <c r="E3008" t="s">
        <v>94</v>
      </c>
      <c r="H3008" t="s">
        <v>588</v>
      </c>
    </row>
    <row r="3009" spans="2:8">
      <c r="B3009" t="s">
        <v>4734</v>
      </c>
      <c r="C3009" t="s">
        <v>887</v>
      </c>
      <c r="D3009">
        <v>1.9131551371755302E-6</v>
      </c>
      <c r="E3009" t="s">
        <v>94</v>
      </c>
      <c r="H3009" t="s">
        <v>588</v>
      </c>
    </row>
    <row r="3010" spans="2:8">
      <c r="B3010" t="s">
        <v>506</v>
      </c>
      <c r="C3010" t="s">
        <v>887</v>
      </c>
      <c r="D3010">
        <v>8.2104085144503499E-8</v>
      </c>
      <c r="E3010" t="s">
        <v>94</v>
      </c>
      <c r="H3010" t="s">
        <v>588</v>
      </c>
    </row>
    <row r="3011" spans="2:8">
      <c r="B3011" t="s">
        <v>773</v>
      </c>
      <c r="C3011" t="s">
        <v>661</v>
      </c>
      <c r="D3011">
        <v>3.3115278716115198E-3</v>
      </c>
      <c r="E3011" t="s">
        <v>94</v>
      </c>
      <c r="H3011" t="s">
        <v>588</v>
      </c>
    </row>
    <row r="3012" spans="2:8">
      <c r="B3012" t="s">
        <v>773</v>
      </c>
      <c r="C3012" t="s">
        <v>712</v>
      </c>
      <c r="D3012">
        <v>1.4698008458684101E-4</v>
      </c>
      <c r="E3012" t="s">
        <v>94</v>
      </c>
      <c r="H3012" t="s">
        <v>588</v>
      </c>
    </row>
    <row r="3013" spans="2:8">
      <c r="B3013" t="s">
        <v>773</v>
      </c>
      <c r="C3013" t="s">
        <v>883</v>
      </c>
      <c r="D3013">
        <v>0.27386728642325497</v>
      </c>
      <c r="E3013" t="s">
        <v>94</v>
      </c>
      <c r="H3013" t="s">
        <v>588</v>
      </c>
    </row>
    <row r="3014" spans="2:8">
      <c r="B3014" t="s">
        <v>4736</v>
      </c>
      <c r="C3014" t="s">
        <v>661</v>
      </c>
      <c r="D3014">
        <v>8.0925403667928306E-6</v>
      </c>
      <c r="E3014" t="s">
        <v>890</v>
      </c>
      <c r="H3014" t="s">
        <v>588</v>
      </c>
    </row>
    <row r="3015" spans="2:8">
      <c r="B3015" t="s">
        <v>831</v>
      </c>
      <c r="C3015" t="s">
        <v>661</v>
      </c>
      <c r="D3015">
        <v>1.3736337014785701E-3</v>
      </c>
      <c r="E3015" t="s">
        <v>94</v>
      </c>
      <c r="H3015" t="s">
        <v>588</v>
      </c>
    </row>
    <row r="3016" spans="2:8">
      <c r="B3016" t="s">
        <v>831</v>
      </c>
      <c r="C3016" t="s">
        <v>883</v>
      </c>
      <c r="D3016">
        <v>1.59701899063277E-6</v>
      </c>
      <c r="E3016" t="s">
        <v>94</v>
      </c>
    </row>
    <row r="3017" spans="2:8">
      <c r="B3017" t="s">
        <v>4738</v>
      </c>
      <c r="C3017" t="s">
        <v>787</v>
      </c>
      <c r="D3017">
        <v>1.3899956509346701E-6</v>
      </c>
      <c r="E3017" t="s">
        <v>94</v>
      </c>
      <c r="H3017" t="s">
        <v>588</v>
      </c>
    </row>
    <row r="3018" spans="2:8">
      <c r="B3018" t="s">
        <v>4738</v>
      </c>
      <c r="C3018" t="s">
        <v>787</v>
      </c>
      <c r="D3018">
        <v>1.16323965017598E-6</v>
      </c>
      <c r="E3018" t="s">
        <v>94</v>
      </c>
      <c r="H3018" t="s">
        <v>588</v>
      </c>
    </row>
    <row r="3019" spans="2:8">
      <c r="B3019" t="s">
        <v>4741</v>
      </c>
      <c r="C3019" t="s">
        <v>744</v>
      </c>
      <c r="D3019">
        <v>2.7142670574097698E-6</v>
      </c>
      <c r="E3019" t="s">
        <v>94</v>
      </c>
      <c r="H3019" t="s">
        <v>588</v>
      </c>
    </row>
    <row r="3020" spans="2:8">
      <c r="B3020" t="s">
        <v>4743</v>
      </c>
      <c r="C3020" t="s">
        <v>744</v>
      </c>
      <c r="D3020">
        <v>7.6527821622183593E-6</v>
      </c>
      <c r="E3020" t="s">
        <v>94</v>
      </c>
      <c r="H3020" t="s">
        <v>588</v>
      </c>
    </row>
    <row r="3021" spans="2:8">
      <c r="B3021" t="s">
        <v>1560</v>
      </c>
      <c r="C3021" t="s">
        <v>744</v>
      </c>
      <c r="D3021">
        <v>2.73353859153491E-5</v>
      </c>
      <c r="E3021" t="s">
        <v>94</v>
      </c>
      <c r="H3021" t="s">
        <v>588</v>
      </c>
    </row>
    <row r="3022" spans="2:8">
      <c r="B3022" t="s">
        <v>1560</v>
      </c>
      <c r="C3022" t="s">
        <v>744</v>
      </c>
      <c r="D3022">
        <v>1.43258874274332E-3</v>
      </c>
      <c r="E3022" t="s">
        <v>94</v>
      </c>
      <c r="H3022" t="s">
        <v>588</v>
      </c>
    </row>
    <row r="3023" spans="2:8">
      <c r="B3023" t="s">
        <v>1560</v>
      </c>
      <c r="C3023" t="s">
        <v>744</v>
      </c>
      <c r="D3023">
        <v>8.0899340257233E-7</v>
      </c>
      <c r="E3023" t="s">
        <v>94</v>
      </c>
      <c r="H3023" t="s">
        <v>588</v>
      </c>
    </row>
    <row r="3024" spans="2:8">
      <c r="B3024" t="s">
        <v>4747</v>
      </c>
      <c r="C3024" t="s">
        <v>744</v>
      </c>
      <c r="D3024">
        <v>3.1216144356091798E-3</v>
      </c>
      <c r="E3024" t="s">
        <v>94</v>
      </c>
    </row>
    <row r="3025" spans="2:8">
      <c r="B3025" t="s">
        <v>4749</v>
      </c>
      <c r="C3025" t="s">
        <v>787</v>
      </c>
      <c r="D3025">
        <v>2.4038813176887301E-4</v>
      </c>
      <c r="E3025" t="s">
        <v>94</v>
      </c>
    </row>
    <row r="3026" spans="2:8">
      <c r="B3026" t="s">
        <v>4752</v>
      </c>
      <c r="C3026" t="s">
        <v>654</v>
      </c>
      <c r="D3026">
        <v>1.9781850130915901E-9</v>
      </c>
      <c r="E3026" t="s">
        <v>94</v>
      </c>
      <c r="H3026" t="s">
        <v>588</v>
      </c>
    </row>
    <row r="3027" spans="2:8">
      <c r="B3027" t="s">
        <v>4752</v>
      </c>
      <c r="C3027" t="s">
        <v>887</v>
      </c>
      <c r="D3027">
        <v>2.3940701822561998E-9</v>
      </c>
      <c r="E3027" t="s">
        <v>94</v>
      </c>
      <c r="H3027" t="s">
        <v>588</v>
      </c>
    </row>
    <row r="3028" spans="2:8">
      <c r="B3028" t="s">
        <v>4752</v>
      </c>
      <c r="C3028" t="s">
        <v>661</v>
      </c>
      <c r="D3028">
        <v>4.4419461670754903E-11</v>
      </c>
      <c r="E3028" t="s">
        <v>94</v>
      </c>
    </row>
    <row r="3029" spans="2:8">
      <c r="B3029" t="s">
        <v>4752</v>
      </c>
      <c r="C3029" t="s">
        <v>883</v>
      </c>
      <c r="D3029">
        <v>3.3299173549508301E-4</v>
      </c>
      <c r="E3029" t="s">
        <v>94</v>
      </c>
      <c r="H3029" t="s">
        <v>588</v>
      </c>
    </row>
    <row r="3030" spans="2:8">
      <c r="B3030" t="s">
        <v>4753</v>
      </c>
      <c r="C3030" t="s">
        <v>661</v>
      </c>
      <c r="D3030">
        <v>9.4389721782623196E-6</v>
      </c>
      <c r="E3030" t="s">
        <v>890</v>
      </c>
      <c r="H3030" t="s">
        <v>588</v>
      </c>
    </row>
    <row r="3031" spans="2:8">
      <c r="B3031" t="s">
        <v>4754</v>
      </c>
      <c r="C3031" t="s">
        <v>661</v>
      </c>
      <c r="D3031">
        <v>1.52757399259909E-2</v>
      </c>
      <c r="E3031" t="s">
        <v>890</v>
      </c>
      <c r="H3031" t="s">
        <v>588</v>
      </c>
    </row>
    <row r="3032" spans="2:8">
      <c r="B3032" t="s">
        <v>832</v>
      </c>
      <c r="C3032" t="s">
        <v>887</v>
      </c>
      <c r="D3032">
        <v>2.4320829835803599E-7</v>
      </c>
      <c r="E3032" t="s">
        <v>94</v>
      </c>
    </row>
    <row r="3033" spans="2:8">
      <c r="B3033" t="s">
        <v>774</v>
      </c>
      <c r="C3033" t="s">
        <v>654</v>
      </c>
      <c r="D3033">
        <v>2.2738106553707698E-9</v>
      </c>
      <c r="E3033" t="s">
        <v>94</v>
      </c>
      <c r="H3033" t="s">
        <v>588</v>
      </c>
    </row>
    <row r="3034" spans="2:8">
      <c r="B3034" t="s">
        <v>774</v>
      </c>
      <c r="C3034" t="s">
        <v>4401</v>
      </c>
      <c r="D3034">
        <v>3.7931747228304297E-11</v>
      </c>
      <c r="E3034" t="s">
        <v>94</v>
      </c>
      <c r="H3034" t="s">
        <v>588</v>
      </c>
    </row>
    <row r="3035" spans="2:8">
      <c r="B3035" t="s">
        <v>774</v>
      </c>
      <c r="C3035" t="s">
        <v>661</v>
      </c>
      <c r="D3035">
        <v>5.7122026829702901E-3</v>
      </c>
      <c r="E3035" t="s">
        <v>94</v>
      </c>
      <c r="H3035" t="s">
        <v>588</v>
      </c>
    </row>
    <row r="3036" spans="2:8">
      <c r="B3036" t="s">
        <v>774</v>
      </c>
      <c r="C3036" t="s">
        <v>887</v>
      </c>
      <c r="D3036">
        <v>1.11618370354627E-4</v>
      </c>
      <c r="E3036" t="s">
        <v>94</v>
      </c>
    </row>
    <row r="3037" spans="2:8">
      <c r="B3037" t="s">
        <v>774</v>
      </c>
      <c r="C3037" t="s">
        <v>712</v>
      </c>
      <c r="D3037">
        <v>3.83773476040961E-4</v>
      </c>
      <c r="E3037" t="s">
        <v>94</v>
      </c>
      <c r="H3037" t="s">
        <v>588</v>
      </c>
    </row>
    <row r="3038" spans="2:8">
      <c r="B3038" t="s">
        <v>774</v>
      </c>
      <c r="C3038" t="s">
        <v>883</v>
      </c>
      <c r="D3038">
        <v>6.9820775022441398E-2</v>
      </c>
      <c r="E3038" t="s">
        <v>94</v>
      </c>
      <c r="H3038" t="s">
        <v>588</v>
      </c>
    </row>
    <row r="3039" spans="2:8">
      <c r="B3039" t="s">
        <v>775</v>
      </c>
      <c r="C3039" t="s">
        <v>881</v>
      </c>
      <c r="D3039">
        <v>1.2101218710640501E-7</v>
      </c>
      <c r="E3039" t="s">
        <v>94</v>
      </c>
      <c r="H3039" t="s">
        <v>588</v>
      </c>
    </row>
    <row r="3040" spans="2:8">
      <c r="B3040" t="s">
        <v>775</v>
      </c>
      <c r="C3040" t="s">
        <v>661</v>
      </c>
      <c r="D3040">
        <v>3.3951495357372199E-6</v>
      </c>
      <c r="E3040" t="s">
        <v>94</v>
      </c>
      <c r="H3040" t="s">
        <v>588</v>
      </c>
    </row>
    <row r="3041" spans="2:8">
      <c r="B3041" t="s">
        <v>775</v>
      </c>
      <c r="C3041" t="s">
        <v>712</v>
      </c>
      <c r="D3041">
        <v>1.6170360951863201E-8</v>
      </c>
      <c r="E3041" t="s">
        <v>94</v>
      </c>
      <c r="H3041" t="s">
        <v>588</v>
      </c>
    </row>
    <row r="3042" spans="2:8">
      <c r="B3042" t="s">
        <v>4755</v>
      </c>
      <c r="C3042" t="s">
        <v>744</v>
      </c>
      <c r="D3042">
        <v>5.3162783580818201E-3</v>
      </c>
      <c r="E3042" t="s">
        <v>94</v>
      </c>
      <c r="H3042" t="s">
        <v>588</v>
      </c>
    </row>
    <row r="3043" spans="2:8">
      <c r="B3043" t="s">
        <v>4755</v>
      </c>
      <c r="C3043" t="s">
        <v>744</v>
      </c>
      <c r="D3043">
        <v>1.3884260954602E-3</v>
      </c>
      <c r="E3043" t="s">
        <v>94</v>
      </c>
      <c r="H3043" t="s">
        <v>588</v>
      </c>
    </row>
    <row r="3044" spans="2:8">
      <c r="B3044" t="s">
        <v>4755</v>
      </c>
      <c r="C3044" t="s">
        <v>744</v>
      </c>
      <c r="D3044">
        <v>6.5550228298678795E-4</v>
      </c>
      <c r="E3044" t="s">
        <v>94</v>
      </c>
      <c r="H3044" t="s">
        <v>588</v>
      </c>
    </row>
    <row r="3045" spans="2:8">
      <c r="B3045" t="s">
        <v>4755</v>
      </c>
      <c r="C3045" t="s">
        <v>744</v>
      </c>
      <c r="D3045">
        <v>9.5486553033508504E-4</v>
      </c>
      <c r="E3045" t="s">
        <v>94</v>
      </c>
      <c r="H3045" t="s">
        <v>588</v>
      </c>
    </row>
    <row r="3046" spans="2:8">
      <c r="B3046" t="s">
        <v>4755</v>
      </c>
      <c r="C3046" t="s">
        <v>744</v>
      </c>
      <c r="D3046">
        <v>2.7149149673311098E-4</v>
      </c>
      <c r="E3046" t="s">
        <v>94</v>
      </c>
      <c r="H3046" t="s">
        <v>588</v>
      </c>
    </row>
    <row r="3047" spans="2:8">
      <c r="B3047" t="s">
        <v>4755</v>
      </c>
      <c r="C3047" t="s">
        <v>744</v>
      </c>
      <c r="D3047">
        <v>7.4840811837074202E-4</v>
      </c>
      <c r="E3047" t="s">
        <v>94</v>
      </c>
      <c r="H3047" t="s">
        <v>588</v>
      </c>
    </row>
    <row r="3048" spans="2:8">
      <c r="B3048" t="s">
        <v>4755</v>
      </c>
      <c r="C3048" t="s">
        <v>744</v>
      </c>
      <c r="D3048">
        <v>3.0576342711919101E-3</v>
      </c>
      <c r="E3048" t="s">
        <v>94</v>
      </c>
      <c r="H3048" t="s">
        <v>588</v>
      </c>
    </row>
    <row r="3049" spans="2:8">
      <c r="B3049" t="s">
        <v>4755</v>
      </c>
      <c r="C3049" t="s">
        <v>744</v>
      </c>
      <c r="D3049">
        <v>1.8013409193888899E-3</v>
      </c>
      <c r="E3049" t="s">
        <v>94</v>
      </c>
      <c r="H3049" t="s">
        <v>588</v>
      </c>
    </row>
    <row r="3050" spans="2:8">
      <c r="B3050" t="s">
        <v>4757</v>
      </c>
      <c r="C3050" t="s">
        <v>744</v>
      </c>
      <c r="D3050">
        <v>3.0792893339338299E-2</v>
      </c>
      <c r="E3050" t="s">
        <v>94</v>
      </c>
      <c r="H3050" t="s">
        <v>588</v>
      </c>
    </row>
    <row r="3051" spans="2:8">
      <c r="B3051" t="s">
        <v>4760</v>
      </c>
      <c r="C3051" t="s">
        <v>661</v>
      </c>
      <c r="D3051">
        <v>4.1985803263588198E-5</v>
      </c>
      <c r="E3051" t="s">
        <v>94</v>
      </c>
      <c r="H3051" t="s">
        <v>588</v>
      </c>
    </row>
    <row r="3052" spans="2:8">
      <c r="B3052" t="s">
        <v>4761</v>
      </c>
      <c r="C3052" t="s">
        <v>4389</v>
      </c>
      <c r="D3052">
        <v>1.42672850601538E-5</v>
      </c>
      <c r="E3052" t="s">
        <v>94</v>
      </c>
      <c r="H3052" t="s">
        <v>588</v>
      </c>
    </row>
    <row r="3053" spans="2:8">
      <c r="B3053" t="s">
        <v>4761</v>
      </c>
      <c r="C3053" t="s">
        <v>712</v>
      </c>
      <c r="D3053">
        <v>7.0752587546621902E-13</v>
      </c>
      <c r="E3053" t="s">
        <v>94</v>
      </c>
      <c r="H3053" t="s">
        <v>588</v>
      </c>
    </row>
    <row r="3054" spans="2:8">
      <c r="B3054" t="s">
        <v>4761</v>
      </c>
      <c r="C3054" t="s">
        <v>883</v>
      </c>
      <c r="D3054">
        <v>1.2969646176089201E-8</v>
      </c>
      <c r="E3054" t="s">
        <v>94</v>
      </c>
      <c r="H3054" t="s">
        <v>588</v>
      </c>
    </row>
    <row r="3055" spans="2:8">
      <c r="B3055" t="s">
        <v>4761</v>
      </c>
      <c r="C3055" t="s">
        <v>661</v>
      </c>
      <c r="D3055">
        <v>1.51621500653276E-4</v>
      </c>
      <c r="E3055" t="s">
        <v>94</v>
      </c>
      <c r="H3055" t="s">
        <v>588</v>
      </c>
    </row>
    <row r="3056" spans="2:8">
      <c r="B3056" t="s">
        <v>776</v>
      </c>
      <c r="C3056" t="s">
        <v>887</v>
      </c>
      <c r="D3056">
        <v>1.1304937030098499E-2</v>
      </c>
      <c r="E3056" t="s">
        <v>94</v>
      </c>
      <c r="H3056" t="s">
        <v>588</v>
      </c>
    </row>
    <row r="3057" spans="2:8">
      <c r="B3057" t="s">
        <v>776</v>
      </c>
      <c r="C3057" t="s">
        <v>4455</v>
      </c>
      <c r="D3057">
        <v>2.71170952689812E-8</v>
      </c>
      <c r="E3057" t="s">
        <v>94</v>
      </c>
      <c r="H3057" t="s">
        <v>588</v>
      </c>
    </row>
    <row r="3058" spans="2:8">
      <c r="B3058" t="s">
        <v>776</v>
      </c>
      <c r="C3058" t="s">
        <v>654</v>
      </c>
      <c r="D3058">
        <v>5.8705900071784799E-5</v>
      </c>
      <c r="E3058" t="s">
        <v>94</v>
      </c>
      <c r="H3058" t="s">
        <v>588</v>
      </c>
    </row>
    <row r="3059" spans="2:8">
      <c r="B3059" t="s">
        <v>776</v>
      </c>
      <c r="C3059" t="s">
        <v>658</v>
      </c>
      <c r="D3059">
        <v>3.0626102012979201E-5</v>
      </c>
      <c r="E3059" t="s">
        <v>94</v>
      </c>
      <c r="H3059" t="s">
        <v>588</v>
      </c>
    </row>
    <row r="3060" spans="2:8">
      <c r="B3060" t="s">
        <v>4764</v>
      </c>
      <c r="C3060" t="s">
        <v>654</v>
      </c>
      <c r="D3060">
        <v>1.41606091087521E-10</v>
      </c>
      <c r="E3060" t="s">
        <v>94</v>
      </c>
      <c r="H3060" t="s">
        <v>588</v>
      </c>
    </row>
    <row r="3061" spans="2:8">
      <c r="B3061" t="s">
        <v>4766</v>
      </c>
      <c r="C3061" t="s">
        <v>654</v>
      </c>
      <c r="D3061">
        <v>3.5831652638424202E-6</v>
      </c>
      <c r="E3061" t="s">
        <v>94</v>
      </c>
      <c r="H3061" t="s">
        <v>588</v>
      </c>
    </row>
    <row r="3062" spans="2:8">
      <c r="B3062" t="s">
        <v>4767</v>
      </c>
      <c r="C3062" t="s">
        <v>887</v>
      </c>
      <c r="D3062">
        <v>5.5640567629146798E-6</v>
      </c>
      <c r="E3062" t="s">
        <v>94</v>
      </c>
      <c r="H3062" t="s">
        <v>588</v>
      </c>
    </row>
    <row r="3063" spans="2:8">
      <c r="B3063" t="s">
        <v>275</v>
      </c>
      <c r="C3063" t="s">
        <v>654</v>
      </c>
      <c r="D3063">
        <v>2.6748617725288601E-8</v>
      </c>
      <c r="E3063" t="s">
        <v>94</v>
      </c>
      <c r="H3063" t="s">
        <v>588</v>
      </c>
    </row>
    <row r="3064" spans="2:8">
      <c r="B3064" t="s">
        <v>275</v>
      </c>
      <c r="C3064" t="s">
        <v>661</v>
      </c>
      <c r="D3064">
        <v>8.53324733386816E-7</v>
      </c>
      <c r="E3064" t="s">
        <v>94</v>
      </c>
      <c r="H3064" t="s">
        <v>588</v>
      </c>
    </row>
    <row r="3065" spans="2:8">
      <c r="B3065" t="s">
        <v>275</v>
      </c>
      <c r="C3065" t="s">
        <v>887</v>
      </c>
      <c r="D3065">
        <v>4.2712109473465997E-8</v>
      </c>
      <c r="E3065" t="s">
        <v>94</v>
      </c>
      <c r="H3065" t="s">
        <v>588</v>
      </c>
    </row>
    <row r="3066" spans="2:8">
      <c r="B3066" t="s">
        <v>275</v>
      </c>
      <c r="C3066" t="s">
        <v>4455</v>
      </c>
      <c r="D3066">
        <v>5.8150091152952099E-10</v>
      </c>
      <c r="E3066" t="s">
        <v>94</v>
      </c>
      <c r="H3066" t="s">
        <v>588</v>
      </c>
    </row>
    <row r="3067" spans="2:8">
      <c r="B3067" t="s">
        <v>275</v>
      </c>
      <c r="C3067" t="s">
        <v>658</v>
      </c>
      <c r="D3067">
        <v>1.6993430419497699E-8</v>
      </c>
      <c r="E3067" t="s">
        <v>94</v>
      </c>
      <c r="H3067" t="s">
        <v>588</v>
      </c>
    </row>
    <row r="3068" spans="2:8">
      <c r="B3068" t="s">
        <v>777</v>
      </c>
      <c r="C3068" t="s">
        <v>881</v>
      </c>
      <c r="D3068">
        <v>8.8327337714585006E-6</v>
      </c>
      <c r="E3068" t="s">
        <v>94</v>
      </c>
      <c r="H3068" t="s">
        <v>588</v>
      </c>
    </row>
    <row r="3069" spans="2:8">
      <c r="B3069" t="s">
        <v>777</v>
      </c>
      <c r="C3069" t="s">
        <v>712</v>
      </c>
      <c r="D3069">
        <v>2.4535913680118599E-5</v>
      </c>
      <c r="E3069" t="s">
        <v>94</v>
      </c>
      <c r="H3069" t="s">
        <v>588</v>
      </c>
    </row>
    <row r="3070" spans="2:8">
      <c r="B3070" t="s">
        <v>777</v>
      </c>
      <c r="C3070" t="s">
        <v>883</v>
      </c>
      <c r="D3070">
        <v>3.8815634855398601E-7</v>
      </c>
      <c r="E3070" t="s">
        <v>94</v>
      </c>
      <c r="H3070" t="s">
        <v>588</v>
      </c>
    </row>
    <row r="3071" spans="2:8">
      <c r="B3071" t="s">
        <v>777</v>
      </c>
      <c r="C3071" t="s">
        <v>661</v>
      </c>
      <c r="D3071">
        <v>4.5085802789255599E-4</v>
      </c>
      <c r="E3071" t="s">
        <v>94</v>
      </c>
      <c r="H3071" t="s">
        <v>588</v>
      </c>
    </row>
    <row r="3072" spans="2:8">
      <c r="B3072" t="s">
        <v>778</v>
      </c>
      <c r="C3072" t="s">
        <v>887</v>
      </c>
      <c r="D3072">
        <v>2.57463712295095E-7</v>
      </c>
      <c r="E3072" t="s">
        <v>94</v>
      </c>
      <c r="H3072" t="s">
        <v>588</v>
      </c>
    </row>
    <row r="3073" spans="2:8">
      <c r="B3073" t="s">
        <v>4770</v>
      </c>
      <c r="C3073" t="s">
        <v>661</v>
      </c>
      <c r="D3073">
        <v>1.18622277279626E-5</v>
      </c>
      <c r="E3073" t="s">
        <v>890</v>
      </c>
      <c r="H3073" t="s">
        <v>588</v>
      </c>
    </row>
    <row r="3074" spans="2:8">
      <c r="B3074" t="s">
        <v>4771</v>
      </c>
      <c r="C3074" t="s">
        <v>661</v>
      </c>
      <c r="D3074">
        <v>1.2416222111124799E-6</v>
      </c>
      <c r="E3074" t="s">
        <v>890</v>
      </c>
      <c r="H3074" t="s">
        <v>588</v>
      </c>
    </row>
    <row r="3075" spans="2:8">
      <c r="B3075" t="s">
        <v>4772</v>
      </c>
      <c r="C3075" t="s">
        <v>661</v>
      </c>
      <c r="D3075">
        <v>6.5548155991973498E-8</v>
      </c>
      <c r="E3075" t="s">
        <v>890</v>
      </c>
      <c r="H3075" t="s">
        <v>588</v>
      </c>
    </row>
    <row r="3076" spans="2:8">
      <c r="B3076" t="s">
        <v>4773</v>
      </c>
      <c r="C3076" t="s">
        <v>4413</v>
      </c>
      <c r="D3076">
        <v>2.26986683153994E-6</v>
      </c>
      <c r="E3076" t="s">
        <v>94</v>
      </c>
      <c r="H3076" t="s">
        <v>588</v>
      </c>
    </row>
    <row r="3077" spans="2:8">
      <c r="B3077" t="s">
        <v>780</v>
      </c>
      <c r="C3077" t="s">
        <v>887</v>
      </c>
      <c r="D3077">
        <v>4.76734869482171E-12</v>
      </c>
      <c r="E3077" t="s">
        <v>94</v>
      </c>
      <c r="H3077" t="s">
        <v>588</v>
      </c>
    </row>
    <row r="3078" spans="2:8">
      <c r="B3078" t="s">
        <v>780</v>
      </c>
      <c r="C3078" t="s">
        <v>883</v>
      </c>
      <c r="D3078">
        <v>2.4773603339882999E-11</v>
      </c>
      <c r="E3078" t="s">
        <v>94</v>
      </c>
      <c r="H3078" t="s">
        <v>588</v>
      </c>
    </row>
    <row r="3079" spans="2:8">
      <c r="B3079" t="s">
        <v>780</v>
      </c>
      <c r="C3079" t="s">
        <v>661</v>
      </c>
      <c r="D3079">
        <v>8.4645847246372705E-8</v>
      </c>
      <c r="E3079" t="s">
        <v>94</v>
      </c>
      <c r="H3079" t="s">
        <v>588</v>
      </c>
    </row>
    <row r="3080" spans="2:8">
      <c r="B3080" t="s">
        <v>780</v>
      </c>
      <c r="C3080" t="s">
        <v>654</v>
      </c>
      <c r="D3080">
        <v>2.4677345067059101E-9</v>
      </c>
      <c r="E3080" t="s">
        <v>94</v>
      </c>
      <c r="H3080" t="s">
        <v>588</v>
      </c>
    </row>
    <row r="3081" spans="2:8">
      <c r="B3081" t="s">
        <v>4774</v>
      </c>
      <c r="C3081" t="s">
        <v>4413</v>
      </c>
      <c r="D3081">
        <v>1.7664249687492799E-6</v>
      </c>
      <c r="E3081" t="s">
        <v>94</v>
      </c>
      <c r="H3081" t="s">
        <v>588</v>
      </c>
    </row>
    <row r="3082" spans="2:8">
      <c r="B3082" t="s">
        <v>4775</v>
      </c>
      <c r="C3082" t="s">
        <v>887</v>
      </c>
      <c r="D3082">
        <v>2.6702378644301001E-11</v>
      </c>
      <c r="E3082" t="s">
        <v>94</v>
      </c>
      <c r="H3082" t="s">
        <v>588</v>
      </c>
    </row>
    <row r="3083" spans="2:8">
      <c r="B3083" t="s">
        <v>4775</v>
      </c>
      <c r="C3083" t="s">
        <v>654</v>
      </c>
      <c r="D3083">
        <v>2.2108394499337201E-11</v>
      </c>
      <c r="E3083" t="s">
        <v>94</v>
      </c>
      <c r="H3083" t="s">
        <v>588</v>
      </c>
    </row>
    <row r="3084" spans="2:8">
      <c r="B3084" t="s">
        <v>898</v>
      </c>
      <c r="C3084" t="s">
        <v>654</v>
      </c>
      <c r="D3084">
        <v>5.56037267069744E-8</v>
      </c>
      <c r="E3084" t="s">
        <v>890</v>
      </c>
      <c r="H3084" t="s">
        <v>588</v>
      </c>
    </row>
    <row r="3085" spans="2:8">
      <c r="B3085" t="s">
        <v>898</v>
      </c>
      <c r="C3085" t="s">
        <v>887</v>
      </c>
      <c r="D3085">
        <v>6.7327499472028395E-8</v>
      </c>
      <c r="E3085" t="s">
        <v>890</v>
      </c>
      <c r="H3085" t="s">
        <v>588</v>
      </c>
    </row>
    <row r="3086" spans="2:8">
      <c r="B3086" t="s">
        <v>4776</v>
      </c>
      <c r="C3086" t="s">
        <v>661</v>
      </c>
      <c r="D3086">
        <v>8.8306407848986806E-5</v>
      </c>
      <c r="E3086" t="s">
        <v>890</v>
      </c>
      <c r="H3086" t="s">
        <v>588</v>
      </c>
    </row>
    <row r="3087" spans="2:8">
      <c r="B3087" t="s">
        <v>4776</v>
      </c>
      <c r="C3087" t="s">
        <v>887</v>
      </c>
      <c r="D3087">
        <v>4.2059151061815298E-8</v>
      </c>
      <c r="E3087" t="s">
        <v>890</v>
      </c>
      <c r="H3087" t="s">
        <v>588</v>
      </c>
    </row>
    <row r="3088" spans="2:8">
      <c r="B3088" t="s">
        <v>4776</v>
      </c>
      <c r="C3088" t="s">
        <v>654</v>
      </c>
      <c r="D3088">
        <v>3.4716284454403202E-8</v>
      </c>
      <c r="E3088" t="s">
        <v>890</v>
      </c>
      <c r="H3088" t="s">
        <v>588</v>
      </c>
    </row>
    <row r="3089" spans="2:8">
      <c r="B3089" t="s">
        <v>4777</v>
      </c>
      <c r="C3089" t="s">
        <v>661</v>
      </c>
      <c r="D3089">
        <v>1.36466024714535E-7</v>
      </c>
      <c r="E3089" t="s">
        <v>890</v>
      </c>
      <c r="H3089" t="s">
        <v>588</v>
      </c>
    </row>
    <row r="3090" spans="2:8">
      <c r="B3090" t="s">
        <v>4777</v>
      </c>
      <c r="C3090" t="s">
        <v>658</v>
      </c>
      <c r="D3090">
        <v>1.2766176505553199E-8</v>
      </c>
      <c r="E3090" t="s">
        <v>890</v>
      </c>
      <c r="H3090" t="s">
        <v>588</v>
      </c>
    </row>
    <row r="3091" spans="2:8">
      <c r="B3091" t="s">
        <v>781</v>
      </c>
      <c r="C3091" t="s">
        <v>887</v>
      </c>
      <c r="D3091">
        <v>1.6265021470588299E-11</v>
      </c>
      <c r="E3091" t="s">
        <v>94</v>
      </c>
      <c r="H3091" t="s">
        <v>588</v>
      </c>
    </row>
    <row r="3092" spans="2:8">
      <c r="B3092" t="s">
        <v>781</v>
      </c>
      <c r="C3092" t="s">
        <v>654</v>
      </c>
      <c r="D3092">
        <v>7.3688469617240305E-8</v>
      </c>
      <c r="E3092" t="s">
        <v>94</v>
      </c>
      <c r="H3092" t="s">
        <v>588</v>
      </c>
    </row>
    <row r="3093" spans="2:8">
      <c r="B3093" t="s">
        <v>782</v>
      </c>
      <c r="C3093" t="s">
        <v>661</v>
      </c>
      <c r="D3093">
        <v>2.6823449713303001E-8</v>
      </c>
      <c r="E3093" t="s">
        <v>94</v>
      </c>
      <c r="H3093" t="s">
        <v>588</v>
      </c>
    </row>
    <row r="3094" spans="2:8">
      <c r="B3094" t="s">
        <v>782</v>
      </c>
      <c r="C3094" t="s">
        <v>712</v>
      </c>
      <c r="D3094">
        <v>4.2430740354168802E-7</v>
      </c>
      <c r="E3094" t="s">
        <v>94</v>
      </c>
      <c r="H3094" t="s">
        <v>588</v>
      </c>
    </row>
    <row r="3095" spans="2:8">
      <c r="B3095" t="s">
        <v>4778</v>
      </c>
      <c r="C3095" t="s">
        <v>654</v>
      </c>
      <c r="D3095">
        <v>2.2585665310058699E-9</v>
      </c>
      <c r="E3095" t="s">
        <v>94</v>
      </c>
      <c r="H3095" t="s">
        <v>588</v>
      </c>
    </row>
    <row r="3096" spans="2:8">
      <c r="B3096" t="s">
        <v>4778</v>
      </c>
      <c r="C3096" t="s">
        <v>887</v>
      </c>
      <c r="D3096">
        <v>2.7669163110390299E-9</v>
      </c>
      <c r="E3096" t="s">
        <v>94</v>
      </c>
      <c r="H3096" t="s">
        <v>588</v>
      </c>
    </row>
    <row r="3097" spans="2:8">
      <c r="B3097" t="s">
        <v>4779</v>
      </c>
      <c r="C3097" t="s">
        <v>883</v>
      </c>
      <c r="D3097">
        <v>1.92444330621549E-9</v>
      </c>
      <c r="E3097" t="s">
        <v>94</v>
      </c>
      <c r="H3097" t="s">
        <v>588</v>
      </c>
    </row>
    <row r="3098" spans="2:8">
      <c r="B3098" t="s">
        <v>783</v>
      </c>
      <c r="C3098" t="s">
        <v>881</v>
      </c>
      <c r="D3098">
        <v>3.34728327501358E-3</v>
      </c>
      <c r="E3098" t="s">
        <v>94</v>
      </c>
    </row>
    <row r="3099" spans="2:8">
      <c r="B3099" t="s">
        <v>783</v>
      </c>
      <c r="C3099" t="s">
        <v>661</v>
      </c>
      <c r="D3099">
        <v>5.9815364939957299E-4</v>
      </c>
      <c r="E3099" t="s">
        <v>94</v>
      </c>
      <c r="H3099" t="s">
        <v>588</v>
      </c>
    </row>
    <row r="3100" spans="2:8">
      <c r="B3100" t="s">
        <v>783</v>
      </c>
      <c r="C3100" t="s">
        <v>712</v>
      </c>
      <c r="D3100">
        <v>3.1986714329153698E-5</v>
      </c>
      <c r="E3100" t="s">
        <v>94</v>
      </c>
      <c r="H3100" t="s">
        <v>588</v>
      </c>
    </row>
    <row r="3101" spans="2:8">
      <c r="B3101" t="s">
        <v>783</v>
      </c>
      <c r="C3101" t="s">
        <v>883</v>
      </c>
      <c r="D3101">
        <v>5.5799848394157497E-6</v>
      </c>
      <c r="E3101" t="s">
        <v>94</v>
      </c>
      <c r="H3101" t="s">
        <v>588</v>
      </c>
    </row>
    <row r="3102" spans="2:8">
      <c r="B3102" t="s">
        <v>833</v>
      </c>
      <c r="C3102" t="s">
        <v>658</v>
      </c>
      <c r="D3102">
        <v>1.52763467095481E-9</v>
      </c>
      <c r="E3102" t="s">
        <v>94</v>
      </c>
      <c r="H3102" t="s">
        <v>588</v>
      </c>
    </row>
    <row r="3103" spans="2:8">
      <c r="B3103" t="s">
        <v>833</v>
      </c>
      <c r="C3103" t="s">
        <v>661</v>
      </c>
      <c r="D3103">
        <v>1.20779872200978E-8</v>
      </c>
      <c r="E3103" t="s">
        <v>94</v>
      </c>
      <c r="H3103" t="s">
        <v>588</v>
      </c>
    </row>
    <row r="3104" spans="2:8">
      <c r="B3104" t="s">
        <v>833</v>
      </c>
      <c r="C3104" t="s">
        <v>887</v>
      </c>
      <c r="D3104">
        <v>4.1805675279830197E-6</v>
      </c>
      <c r="E3104" t="s">
        <v>94</v>
      </c>
      <c r="H3104" t="s">
        <v>588</v>
      </c>
    </row>
    <row r="3105" spans="2:8">
      <c r="B3105" t="s">
        <v>833</v>
      </c>
      <c r="C3105" t="s">
        <v>883</v>
      </c>
      <c r="D3105">
        <v>2.3847330374291201E-8</v>
      </c>
      <c r="E3105" t="s">
        <v>94</v>
      </c>
      <c r="H3105" t="s">
        <v>588</v>
      </c>
    </row>
    <row r="3106" spans="2:8">
      <c r="B3106" t="s">
        <v>833</v>
      </c>
      <c r="C3106" t="s">
        <v>654</v>
      </c>
      <c r="D3106">
        <v>9.7137084474999194E-8</v>
      </c>
      <c r="E3106" t="s">
        <v>94</v>
      </c>
      <c r="H3106" t="s">
        <v>588</v>
      </c>
    </row>
    <row r="3107" spans="2:8">
      <c r="B3107" t="s">
        <v>4781</v>
      </c>
      <c r="C3107" t="s">
        <v>883</v>
      </c>
      <c r="D3107">
        <v>1.13517732645396E-7</v>
      </c>
      <c r="E3107" t="s">
        <v>94</v>
      </c>
      <c r="H3107" t="s">
        <v>588</v>
      </c>
    </row>
    <row r="3108" spans="2:8">
      <c r="B3108" t="s">
        <v>4781</v>
      </c>
      <c r="C3108" t="s">
        <v>712</v>
      </c>
      <c r="D3108">
        <v>3.5671096221421898E-9</v>
      </c>
      <c r="E3108" t="s">
        <v>94</v>
      </c>
      <c r="H3108" t="s">
        <v>588</v>
      </c>
    </row>
    <row r="3109" spans="2:8">
      <c r="B3109" t="s">
        <v>4781</v>
      </c>
      <c r="C3109" t="s">
        <v>661</v>
      </c>
      <c r="D3109">
        <v>1.07495641372385E-9</v>
      </c>
      <c r="E3109" t="s">
        <v>94</v>
      </c>
      <c r="H3109" t="s">
        <v>588</v>
      </c>
    </row>
    <row r="3110" spans="2:8">
      <c r="B3110" t="s">
        <v>4782</v>
      </c>
      <c r="C3110" t="s">
        <v>887</v>
      </c>
      <c r="D3110">
        <v>4.2987136950630501E-11</v>
      </c>
      <c r="E3110" t="s">
        <v>94</v>
      </c>
      <c r="H3110" t="s">
        <v>588</v>
      </c>
    </row>
    <row r="3111" spans="2:8">
      <c r="B3111" t="s">
        <v>4782</v>
      </c>
      <c r="C3111" t="s">
        <v>654</v>
      </c>
      <c r="D3111">
        <v>3.5655395885947601E-11</v>
      </c>
      <c r="E3111" t="s">
        <v>94</v>
      </c>
      <c r="H3111" t="s">
        <v>588</v>
      </c>
    </row>
    <row r="3112" spans="2:8">
      <c r="B3112" t="s">
        <v>4783</v>
      </c>
      <c r="C3112" t="s">
        <v>661</v>
      </c>
      <c r="D3112">
        <v>3.60974646019092E-10</v>
      </c>
      <c r="E3112" t="s">
        <v>890</v>
      </c>
      <c r="H3112" t="s">
        <v>588</v>
      </c>
    </row>
    <row r="3113" spans="2:8">
      <c r="B3113" t="s">
        <v>4783</v>
      </c>
      <c r="C3113" t="s">
        <v>658</v>
      </c>
      <c r="D3113">
        <v>2.5532353011106499E-9</v>
      </c>
      <c r="E3113" t="s">
        <v>890</v>
      </c>
      <c r="H3113" t="s">
        <v>588</v>
      </c>
    </row>
    <row r="3114" spans="2:8">
      <c r="B3114" t="s">
        <v>899</v>
      </c>
      <c r="C3114" t="s">
        <v>654</v>
      </c>
      <c r="D3114">
        <v>1.00763735186544E-7</v>
      </c>
      <c r="E3114" t="s">
        <v>890</v>
      </c>
      <c r="H3114" t="s">
        <v>588</v>
      </c>
    </row>
    <row r="3115" spans="2:8">
      <c r="B3115" t="s">
        <v>899</v>
      </c>
      <c r="C3115" t="s">
        <v>661</v>
      </c>
      <c r="D3115">
        <v>1.84640670956972E-4</v>
      </c>
      <c r="E3115" t="s">
        <v>890</v>
      </c>
      <c r="H3115" t="s">
        <v>588</v>
      </c>
    </row>
    <row r="3116" spans="2:8">
      <c r="B3116" t="s">
        <v>899</v>
      </c>
      <c r="C3116" t="s">
        <v>887</v>
      </c>
      <c r="D3116">
        <v>1.22010271730585E-7</v>
      </c>
      <c r="E3116" t="s">
        <v>890</v>
      </c>
      <c r="H3116" t="s">
        <v>588</v>
      </c>
    </row>
    <row r="3117" spans="2:8">
      <c r="B3117" t="s">
        <v>4784</v>
      </c>
      <c r="C3117" t="s">
        <v>670</v>
      </c>
      <c r="D3117">
        <v>3.1121423840793201E-5</v>
      </c>
      <c r="E3117" t="s">
        <v>616</v>
      </c>
      <c r="H3117" t="s">
        <v>588</v>
      </c>
    </row>
    <row r="3118" spans="2:8">
      <c r="B3118" t="s">
        <v>4784</v>
      </c>
      <c r="C3118" t="s">
        <v>670</v>
      </c>
      <c r="D3118">
        <v>3.1771649308545398E-5</v>
      </c>
      <c r="E3118" t="s">
        <v>616</v>
      </c>
      <c r="H3118" t="s">
        <v>588</v>
      </c>
    </row>
    <row r="3119" spans="2:8">
      <c r="B3119" t="s">
        <v>4787</v>
      </c>
      <c r="C3119" t="s">
        <v>670</v>
      </c>
      <c r="D3119">
        <v>1.5588941916441901E-5</v>
      </c>
      <c r="E3119" t="s">
        <v>616</v>
      </c>
      <c r="H3119" t="s">
        <v>588</v>
      </c>
    </row>
    <row r="3120" spans="2:8">
      <c r="B3120" t="s">
        <v>4787</v>
      </c>
      <c r="C3120" t="s">
        <v>670</v>
      </c>
      <c r="D3120">
        <v>1.5549439635987401E-5</v>
      </c>
      <c r="E3120" t="s">
        <v>616</v>
      </c>
      <c r="H3120" t="s">
        <v>588</v>
      </c>
    </row>
    <row r="3121" spans="2:8">
      <c r="B3121" t="s">
        <v>4789</v>
      </c>
      <c r="C3121" t="s">
        <v>670</v>
      </c>
      <c r="D3121">
        <v>1.6057781467353701E-4</v>
      </c>
      <c r="E3121" t="s">
        <v>616</v>
      </c>
      <c r="H3121" t="s">
        <v>588</v>
      </c>
    </row>
    <row r="3122" spans="2:8">
      <c r="B3122" t="s">
        <v>4789</v>
      </c>
      <c r="C3122" t="s">
        <v>670</v>
      </c>
      <c r="D3122">
        <v>1.61214768185711E-4</v>
      </c>
      <c r="E3122" t="s">
        <v>616</v>
      </c>
      <c r="H3122" t="s">
        <v>588</v>
      </c>
    </row>
    <row r="3123" spans="2:8">
      <c r="B3123" t="s">
        <v>4791</v>
      </c>
      <c r="C3123" t="s">
        <v>670</v>
      </c>
      <c r="D3123">
        <v>3.8041280231855301E-4</v>
      </c>
      <c r="E3123" t="s">
        <v>616</v>
      </c>
      <c r="H3123" t="s">
        <v>588</v>
      </c>
    </row>
    <row r="3124" spans="2:8">
      <c r="B3124" t="s">
        <v>4791</v>
      </c>
      <c r="C3124" t="s">
        <v>670</v>
      </c>
      <c r="D3124">
        <v>3.8172310850240502E-4</v>
      </c>
      <c r="E3124" t="s">
        <v>616</v>
      </c>
      <c r="H3124" t="s">
        <v>588</v>
      </c>
    </row>
    <row r="3125" spans="2:8">
      <c r="B3125" t="s">
        <v>4793</v>
      </c>
      <c r="C3125" t="s">
        <v>670</v>
      </c>
      <c r="D3125">
        <v>1.7414233171065399E-5</v>
      </c>
      <c r="E3125" t="s">
        <v>616</v>
      </c>
      <c r="H3125" t="s">
        <v>588</v>
      </c>
    </row>
    <row r="3126" spans="2:8">
      <c r="B3126" t="s">
        <v>4795</v>
      </c>
      <c r="C3126" t="s">
        <v>670</v>
      </c>
      <c r="D3126">
        <v>9.6447075548600796E-7</v>
      </c>
      <c r="E3126" t="s">
        <v>616</v>
      </c>
      <c r="H3126" t="s">
        <v>588</v>
      </c>
    </row>
    <row r="3127" spans="2:8">
      <c r="B3127" t="s">
        <v>4795</v>
      </c>
      <c r="C3127" t="s">
        <v>670</v>
      </c>
      <c r="D3127">
        <v>9.8228652451669998E-7</v>
      </c>
      <c r="E3127" t="s">
        <v>616</v>
      </c>
      <c r="H3127" t="s">
        <v>588</v>
      </c>
    </row>
    <row r="3128" spans="2:8">
      <c r="B3128" t="s">
        <v>4797</v>
      </c>
      <c r="C3128" t="s">
        <v>670</v>
      </c>
      <c r="D3128">
        <v>1.4543726528540701E-5</v>
      </c>
      <c r="E3128" t="s">
        <v>616</v>
      </c>
      <c r="H3128" t="s">
        <v>588</v>
      </c>
    </row>
    <row r="3129" spans="2:8">
      <c r="B3129" t="s">
        <v>4797</v>
      </c>
      <c r="C3129" t="s">
        <v>670</v>
      </c>
      <c r="D3129">
        <v>1.4320943680041901E-5</v>
      </c>
      <c r="E3129" t="s">
        <v>616</v>
      </c>
      <c r="H3129" t="s">
        <v>588</v>
      </c>
    </row>
    <row r="3130" spans="2:8">
      <c r="B3130" t="s">
        <v>4799</v>
      </c>
      <c r="C3130" t="s">
        <v>670</v>
      </c>
      <c r="D3130">
        <v>2.0321657327764401E-5</v>
      </c>
      <c r="E3130" t="s">
        <v>94</v>
      </c>
      <c r="H3130" t="s">
        <v>588</v>
      </c>
    </row>
    <row r="3131" spans="2:8">
      <c r="B3131" t="s">
        <v>4802</v>
      </c>
      <c r="C3131" t="s">
        <v>670</v>
      </c>
      <c r="D3131">
        <v>3.2303154740089603E-5</v>
      </c>
      <c r="E3131" t="s">
        <v>94</v>
      </c>
      <c r="H3131" t="s">
        <v>588</v>
      </c>
    </row>
    <row r="3132" spans="2:8">
      <c r="B3132" t="s">
        <v>4804</v>
      </c>
      <c r="C3132" t="s">
        <v>670</v>
      </c>
      <c r="D3132">
        <v>1.4221904074514801E-7</v>
      </c>
      <c r="E3132" t="s">
        <v>616</v>
      </c>
    </row>
    <row r="3133" spans="2:8">
      <c r="B3133" t="s">
        <v>4806</v>
      </c>
      <c r="C3133" t="s">
        <v>787</v>
      </c>
      <c r="D3133">
        <v>6.4475023607954395E-8</v>
      </c>
      <c r="E3133" t="s">
        <v>626</v>
      </c>
      <c r="H3133" t="s">
        <v>588</v>
      </c>
    </row>
    <row r="3134" spans="2:8">
      <c r="B3134" t="s">
        <v>4809</v>
      </c>
      <c r="C3134" t="s">
        <v>787</v>
      </c>
      <c r="D3134">
        <v>1.7811218625317199E-6</v>
      </c>
      <c r="E3134" t="s">
        <v>626</v>
      </c>
      <c r="H3134" t="s">
        <v>588</v>
      </c>
    </row>
    <row r="3135" spans="2:8">
      <c r="B3135" t="s">
        <v>4812</v>
      </c>
      <c r="C3135" t="s">
        <v>787</v>
      </c>
      <c r="D3135">
        <v>1.4515465805178199E-7</v>
      </c>
      <c r="E3135" t="s">
        <v>626</v>
      </c>
      <c r="H3135" t="s">
        <v>588</v>
      </c>
    </row>
    <row r="3136" spans="2:8">
      <c r="B3136" t="s">
        <v>4815</v>
      </c>
      <c r="C3136" t="s">
        <v>787</v>
      </c>
      <c r="D3136">
        <v>9.2182810562814494E-8</v>
      </c>
      <c r="E3136" t="s">
        <v>626</v>
      </c>
      <c r="H3136" t="s">
        <v>588</v>
      </c>
    </row>
    <row r="3137" spans="2:8">
      <c r="B3137" t="s">
        <v>4818</v>
      </c>
      <c r="C3137" t="s">
        <v>670</v>
      </c>
      <c r="D3137">
        <v>2.4126420181848202E-6</v>
      </c>
      <c r="E3137" t="s">
        <v>616</v>
      </c>
      <c r="H3137" t="s">
        <v>588</v>
      </c>
    </row>
    <row r="3138" spans="2:8">
      <c r="B3138" t="s">
        <v>4820</v>
      </c>
      <c r="C3138" t="s">
        <v>670</v>
      </c>
      <c r="D3138">
        <v>1.26692442944963E-6</v>
      </c>
      <c r="E3138" t="s">
        <v>616</v>
      </c>
      <c r="H3138" t="s">
        <v>588</v>
      </c>
    </row>
    <row r="3139" spans="2:8">
      <c r="B3139" t="s">
        <v>4820</v>
      </c>
      <c r="C3139" t="s">
        <v>670</v>
      </c>
      <c r="D3139">
        <v>1.29933583491516E-6</v>
      </c>
      <c r="E3139" t="s">
        <v>616</v>
      </c>
      <c r="H3139" t="s">
        <v>588</v>
      </c>
    </row>
    <row r="3140" spans="2:8">
      <c r="B3140" t="s">
        <v>4822</v>
      </c>
      <c r="C3140" t="s">
        <v>670</v>
      </c>
      <c r="D3140">
        <v>4.6682135761189797E-5</v>
      </c>
      <c r="E3140" t="s">
        <v>616</v>
      </c>
      <c r="H3140" t="s">
        <v>588</v>
      </c>
    </row>
    <row r="3141" spans="2:8">
      <c r="B3141" t="s">
        <v>4822</v>
      </c>
      <c r="C3141" t="s">
        <v>670</v>
      </c>
      <c r="D3141">
        <v>4.7657473962818097E-5</v>
      </c>
      <c r="E3141" t="s">
        <v>616</v>
      </c>
      <c r="H3141" t="s">
        <v>588</v>
      </c>
    </row>
    <row r="3142" spans="2:8">
      <c r="B3142" t="s">
        <v>4824</v>
      </c>
      <c r="C3142" t="s">
        <v>670</v>
      </c>
      <c r="D3142">
        <v>4.8657775032755799E-5</v>
      </c>
      <c r="E3142" t="s">
        <v>1171</v>
      </c>
      <c r="H3142" t="s">
        <v>588</v>
      </c>
    </row>
    <row r="3143" spans="2:8">
      <c r="B3143" t="s">
        <v>4824</v>
      </c>
      <c r="C3143" t="s">
        <v>670</v>
      </c>
      <c r="D3143">
        <v>4.7982177131319502E-5</v>
      </c>
      <c r="E3143" t="s">
        <v>1171</v>
      </c>
      <c r="H3143" t="s">
        <v>588</v>
      </c>
    </row>
    <row r="3144" spans="2:8">
      <c r="B3144" t="s">
        <v>4826</v>
      </c>
      <c r="C3144" t="s">
        <v>670</v>
      </c>
      <c r="D3144">
        <v>2.05115725412428E-5</v>
      </c>
      <c r="E3144" t="s">
        <v>94</v>
      </c>
      <c r="H3144" t="s">
        <v>588</v>
      </c>
    </row>
    <row r="3145" spans="2:8">
      <c r="B3145" t="s">
        <v>1564</v>
      </c>
      <c r="C3145" t="s">
        <v>670</v>
      </c>
      <c r="D3145">
        <v>1.38622129098156E-4</v>
      </c>
      <c r="E3145" t="s">
        <v>94</v>
      </c>
    </row>
    <row r="3146" spans="2:8">
      <c r="B3146" t="s">
        <v>1566</v>
      </c>
      <c r="C3146" t="s">
        <v>670</v>
      </c>
      <c r="D3146">
        <v>1.0401507157247899E-4</v>
      </c>
      <c r="E3146" t="s">
        <v>94</v>
      </c>
    </row>
    <row r="3147" spans="2:8">
      <c r="B3147" t="s">
        <v>4828</v>
      </c>
      <c r="C3147" t="s">
        <v>670</v>
      </c>
      <c r="D3147">
        <v>7.1572352256235599E-5</v>
      </c>
      <c r="E3147" t="s">
        <v>94</v>
      </c>
      <c r="H3147" t="s">
        <v>588</v>
      </c>
    </row>
    <row r="3148" spans="2:8">
      <c r="B3148" t="s">
        <v>4828</v>
      </c>
      <c r="C3148" t="s">
        <v>670</v>
      </c>
      <c r="D3148">
        <v>2.1378754570044398E-5</v>
      </c>
      <c r="E3148" t="s">
        <v>94</v>
      </c>
      <c r="H3148" t="s">
        <v>588</v>
      </c>
    </row>
    <row r="3149" spans="2:8">
      <c r="B3149" t="s">
        <v>4830</v>
      </c>
      <c r="C3149" t="s">
        <v>670</v>
      </c>
      <c r="D3149">
        <v>3.8134217178084901E-5</v>
      </c>
      <c r="E3149" t="s">
        <v>1171</v>
      </c>
      <c r="H3149" t="s">
        <v>588</v>
      </c>
    </row>
    <row r="3150" spans="2:8">
      <c r="B3150" t="s">
        <v>4830</v>
      </c>
      <c r="C3150" t="s">
        <v>670</v>
      </c>
      <c r="D3150">
        <v>3.71924266841434E-5</v>
      </c>
      <c r="E3150" t="s">
        <v>1171</v>
      </c>
      <c r="H3150" t="s">
        <v>588</v>
      </c>
    </row>
    <row r="3151" spans="2:8">
      <c r="B3151" t="s">
        <v>4832</v>
      </c>
      <c r="C3151" t="s">
        <v>670</v>
      </c>
      <c r="D3151">
        <v>1.04238783532918E-7</v>
      </c>
      <c r="E3151" t="s">
        <v>616</v>
      </c>
      <c r="H3151" t="s">
        <v>588</v>
      </c>
    </row>
    <row r="3152" spans="2:8">
      <c r="B3152" t="s">
        <v>4834</v>
      </c>
      <c r="C3152" t="s">
        <v>670</v>
      </c>
      <c r="D3152">
        <v>5.3482267739285398E-8</v>
      </c>
      <c r="E3152" t="s">
        <v>616</v>
      </c>
      <c r="H3152" t="s">
        <v>588</v>
      </c>
    </row>
    <row r="3153" spans="2:8">
      <c r="B3153" t="s">
        <v>4836</v>
      </c>
      <c r="C3153" t="s">
        <v>670</v>
      </c>
      <c r="D3153">
        <v>5.3336953725970702E-8</v>
      </c>
      <c r="E3153" t="s">
        <v>616</v>
      </c>
      <c r="H3153" t="s">
        <v>588</v>
      </c>
    </row>
    <row r="3154" spans="2:8">
      <c r="B3154" t="s">
        <v>4838</v>
      </c>
      <c r="C3154" t="s">
        <v>670</v>
      </c>
      <c r="D3154">
        <v>4.6846835759947398E-8</v>
      </c>
      <c r="E3154" t="s">
        <v>616</v>
      </c>
      <c r="H3154" t="s">
        <v>588</v>
      </c>
    </row>
    <row r="3155" spans="2:8">
      <c r="B3155" t="s">
        <v>1568</v>
      </c>
      <c r="C3155" t="s">
        <v>670</v>
      </c>
      <c r="D3155">
        <v>8.6439949183159199E-5</v>
      </c>
      <c r="E3155" t="s">
        <v>94</v>
      </c>
    </row>
    <row r="3156" spans="2:8">
      <c r="B3156" t="s">
        <v>4840</v>
      </c>
      <c r="C3156" t="s">
        <v>670</v>
      </c>
      <c r="D3156">
        <v>1.97843631748046E-4</v>
      </c>
      <c r="E3156" t="s">
        <v>94</v>
      </c>
      <c r="H3156" t="s">
        <v>588</v>
      </c>
    </row>
    <row r="3157" spans="2:8">
      <c r="B3157" t="s">
        <v>4843</v>
      </c>
      <c r="C3157" t="s">
        <v>670</v>
      </c>
      <c r="D3157">
        <v>3.5139072288491301E-6</v>
      </c>
      <c r="E3157" t="s">
        <v>94</v>
      </c>
      <c r="H3157" t="s">
        <v>588</v>
      </c>
    </row>
    <row r="3158" spans="2:8">
      <c r="B3158" t="s">
        <v>4846</v>
      </c>
      <c r="C3158" t="s">
        <v>670</v>
      </c>
      <c r="D3158">
        <v>1.4676455795370201E-4</v>
      </c>
      <c r="E3158" t="s">
        <v>94</v>
      </c>
      <c r="H3158" t="s">
        <v>588</v>
      </c>
    </row>
    <row r="3159" spans="2:8">
      <c r="B3159" t="s">
        <v>4848</v>
      </c>
      <c r="C3159" t="s">
        <v>787</v>
      </c>
      <c r="D3159">
        <v>8.0370129656750697E-4</v>
      </c>
      <c r="E3159" t="s">
        <v>94</v>
      </c>
      <c r="H3159" t="s">
        <v>588</v>
      </c>
    </row>
    <row r="3160" spans="2:8">
      <c r="B3160" t="s">
        <v>4848</v>
      </c>
      <c r="C3160" t="s">
        <v>787</v>
      </c>
      <c r="D3160">
        <v>1.21418815368824E-5</v>
      </c>
      <c r="E3160" t="s">
        <v>94</v>
      </c>
      <c r="H3160" t="s">
        <v>588</v>
      </c>
    </row>
    <row r="3161" spans="2:8">
      <c r="B3161" t="s">
        <v>4850</v>
      </c>
      <c r="C3161" t="s">
        <v>670</v>
      </c>
      <c r="D3161">
        <v>1.2839767121435101E-7</v>
      </c>
      <c r="E3161" t="s">
        <v>616</v>
      </c>
    </row>
    <row r="3162" spans="2:8">
      <c r="B3162" t="s">
        <v>4852</v>
      </c>
      <c r="C3162" t="s">
        <v>670</v>
      </c>
      <c r="D3162">
        <v>6.0070358889027203E-6</v>
      </c>
      <c r="E3162" t="s">
        <v>616</v>
      </c>
      <c r="H3162" t="s">
        <v>588</v>
      </c>
    </row>
    <row r="3163" spans="2:8">
      <c r="B3163" t="s">
        <v>4854</v>
      </c>
      <c r="C3163" t="s">
        <v>670</v>
      </c>
      <c r="D3163">
        <v>2.54954001677766E-5</v>
      </c>
      <c r="E3163" t="s">
        <v>94</v>
      </c>
      <c r="H3163" t="s">
        <v>588</v>
      </c>
    </row>
    <row r="3164" spans="2:8">
      <c r="B3164" t="s">
        <v>4857</v>
      </c>
      <c r="C3164" t="s">
        <v>670</v>
      </c>
      <c r="D3164">
        <v>1.29933583491516E-6</v>
      </c>
      <c r="E3164" t="s">
        <v>616</v>
      </c>
      <c r="H3164" t="s">
        <v>588</v>
      </c>
    </row>
    <row r="3165" spans="2:8">
      <c r="B3165" t="s">
        <v>4857</v>
      </c>
      <c r="C3165" t="s">
        <v>670</v>
      </c>
      <c r="D3165">
        <v>1.26692442944963E-6</v>
      </c>
      <c r="E3165" t="s">
        <v>616</v>
      </c>
      <c r="H3165" t="s">
        <v>588</v>
      </c>
    </row>
    <row r="3166" spans="2:8">
      <c r="B3166" t="s">
        <v>4859</v>
      </c>
      <c r="C3166" t="s">
        <v>744</v>
      </c>
      <c r="D3166">
        <v>3.9195665775719399E-5</v>
      </c>
      <c r="E3166" t="s">
        <v>94</v>
      </c>
      <c r="H3166" t="s">
        <v>588</v>
      </c>
    </row>
    <row r="3167" spans="2:8">
      <c r="B3167" t="s">
        <v>4861</v>
      </c>
      <c r="C3167" t="s">
        <v>670</v>
      </c>
      <c r="D3167">
        <v>7.8758904372813092E-6</v>
      </c>
      <c r="E3167" t="s">
        <v>94</v>
      </c>
    </row>
    <row r="3168" spans="2:8">
      <c r="B3168" t="s">
        <v>4863</v>
      </c>
      <c r="C3168" t="s">
        <v>670</v>
      </c>
      <c r="D3168">
        <v>1.01449257942791E-5</v>
      </c>
      <c r="E3168" t="s">
        <v>94</v>
      </c>
    </row>
    <row r="3169" spans="2:8">
      <c r="B3169" t="s">
        <v>4865</v>
      </c>
      <c r="C3169" t="s">
        <v>670</v>
      </c>
      <c r="D3169">
        <v>4.0536679354881797E-5</v>
      </c>
      <c r="E3169" t="s">
        <v>94</v>
      </c>
      <c r="H3169" t="s">
        <v>588</v>
      </c>
    </row>
    <row r="3170" spans="2:8">
      <c r="B3170" t="s">
        <v>4867</v>
      </c>
      <c r="C3170" t="s">
        <v>670</v>
      </c>
      <c r="D3170">
        <v>3.4444737915591999E-4</v>
      </c>
      <c r="E3170" t="s">
        <v>94</v>
      </c>
      <c r="H3170" t="s">
        <v>588</v>
      </c>
    </row>
    <row r="3171" spans="2:8">
      <c r="B3171" t="s">
        <v>4869</v>
      </c>
      <c r="C3171" t="s">
        <v>670</v>
      </c>
      <c r="D3171">
        <v>1.51655561762772E-7</v>
      </c>
      <c r="E3171" t="s">
        <v>616</v>
      </c>
      <c r="H3171" t="s">
        <v>588</v>
      </c>
    </row>
    <row r="3172" spans="2:8">
      <c r="B3172" t="s">
        <v>4871</v>
      </c>
      <c r="C3172" t="s">
        <v>670</v>
      </c>
      <c r="D3172">
        <v>9.7954842813508404E-8</v>
      </c>
      <c r="E3172" t="s">
        <v>616</v>
      </c>
      <c r="H3172" t="s">
        <v>588</v>
      </c>
    </row>
    <row r="3173" spans="2:8">
      <c r="B3173" t="s">
        <v>4873</v>
      </c>
      <c r="C3173" t="s">
        <v>670</v>
      </c>
      <c r="D3173">
        <v>9.7915120615293295E-8</v>
      </c>
      <c r="E3173" t="s">
        <v>616</v>
      </c>
      <c r="H3173" t="s">
        <v>588</v>
      </c>
    </row>
    <row r="3174" spans="2:8">
      <c r="B3174" t="s">
        <v>4875</v>
      </c>
      <c r="C3174" t="s">
        <v>670</v>
      </c>
      <c r="D3174">
        <v>4.7657473962818097E-5</v>
      </c>
      <c r="E3174" t="s">
        <v>616</v>
      </c>
      <c r="H3174" t="s">
        <v>588</v>
      </c>
    </row>
    <row r="3175" spans="2:8">
      <c r="B3175" t="s">
        <v>4875</v>
      </c>
      <c r="C3175" t="s">
        <v>670</v>
      </c>
      <c r="D3175">
        <v>4.6682135761189797E-5</v>
      </c>
      <c r="E3175" t="s">
        <v>616</v>
      </c>
      <c r="H3175" t="s">
        <v>588</v>
      </c>
    </row>
    <row r="3176" spans="2:8">
      <c r="B3176" t="s">
        <v>4877</v>
      </c>
      <c r="C3176" t="s">
        <v>670</v>
      </c>
      <c r="D3176">
        <v>1.0683962641898899E-3</v>
      </c>
      <c r="E3176" t="s">
        <v>1171</v>
      </c>
      <c r="H3176" t="s">
        <v>588</v>
      </c>
    </row>
    <row r="3177" spans="2:8">
      <c r="B3177" t="s">
        <v>4877</v>
      </c>
      <c r="C3177" t="s">
        <v>670</v>
      </c>
      <c r="D3177">
        <v>1.05144538544668E-3</v>
      </c>
      <c r="E3177" t="s">
        <v>1171</v>
      </c>
      <c r="H3177" t="s">
        <v>588</v>
      </c>
    </row>
    <row r="3178" spans="2:8">
      <c r="B3178" t="s">
        <v>4879</v>
      </c>
      <c r="C3178" t="s">
        <v>670</v>
      </c>
      <c r="D3178">
        <v>6.9940704196762396E-5</v>
      </c>
      <c r="E3178" t="s">
        <v>616</v>
      </c>
      <c r="H3178" t="s">
        <v>588</v>
      </c>
    </row>
    <row r="3179" spans="2:8">
      <c r="B3179" t="s">
        <v>4879</v>
      </c>
      <c r="C3179" t="s">
        <v>670</v>
      </c>
      <c r="D3179">
        <v>6.8835810966590594E-5</v>
      </c>
      <c r="E3179" t="s">
        <v>616</v>
      </c>
      <c r="H3179" t="s">
        <v>588</v>
      </c>
    </row>
    <row r="3180" spans="2:8">
      <c r="B3180" t="s">
        <v>4881</v>
      </c>
      <c r="C3180" t="s">
        <v>670</v>
      </c>
      <c r="D3180">
        <v>1.9312046160854199E-6</v>
      </c>
      <c r="E3180" t="s">
        <v>616</v>
      </c>
      <c r="H3180" t="s">
        <v>588</v>
      </c>
    </row>
    <row r="3181" spans="2:8">
      <c r="B3181" t="s">
        <v>4881</v>
      </c>
      <c r="C3181" t="s">
        <v>670</v>
      </c>
      <c r="D3181">
        <v>1.9668367972875202E-6</v>
      </c>
      <c r="E3181" t="s">
        <v>616</v>
      </c>
      <c r="H3181" t="s">
        <v>588</v>
      </c>
    </row>
    <row r="3182" spans="2:8">
      <c r="B3182" t="s">
        <v>4883</v>
      </c>
      <c r="C3182" t="s">
        <v>670</v>
      </c>
      <c r="D3182">
        <v>4.4392615241952603E-6</v>
      </c>
      <c r="E3182" t="s">
        <v>94</v>
      </c>
      <c r="H3182" t="s">
        <v>588</v>
      </c>
    </row>
    <row r="3183" spans="2:8">
      <c r="B3183" t="s">
        <v>4886</v>
      </c>
      <c r="C3183" t="s">
        <v>670</v>
      </c>
      <c r="D3183">
        <v>6.3899808804242999E-6</v>
      </c>
      <c r="E3183" t="s">
        <v>94</v>
      </c>
      <c r="H3183" t="s">
        <v>588</v>
      </c>
    </row>
    <row r="3184" spans="2:8">
      <c r="B3184" t="s">
        <v>4888</v>
      </c>
      <c r="C3184" t="s">
        <v>787</v>
      </c>
      <c r="D3184">
        <v>1.56766915359961E-7</v>
      </c>
      <c r="E3184" t="s">
        <v>626</v>
      </c>
      <c r="H3184" t="s">
        <v>588</v>
      </c>
    </row>
    <row r="3185" spans="2:8">
      <c r="B3185" t="s">
        <v>4890</v>
      </c>
      <c r="C3185" t="s">
        <v>670</v>
      </c>
      <c r="D3185">
        <v>9.8228652451669998E-7</v>
      </c>
      <c r="E3185" t="s">
        <v>616</v>
      </c>
      <c r="H3185" t="s">
        <v>588</v>
      </c>
    </row>
    <row r="3186" spans="2:8">
      <c r="B3186" t="s">
        <v>4890</v>
      </c>
      <c r="C3186" t="s">
        <v>670</v>
      </c>
      <c r="D3186">
        <v>9.6447075548600796E-7</v>
      </c>
      <c r="E3186" t="s">
        <v>616</v>
      </c>
      <c r="H3186" t="s">
        <v>588</v>
      </c>
    </row>
    <row r="3187" spans="2:8">
      <c r="B3187" t="s">
        <v>4892</v>
      </c>
      <c r="C3187" t="s">
        <v>670</v>
      </c>
      <c r="D3187">
        <v>1.4543726528540701E-5</v>
      </c>
      <c r="E3187" t="s">
        <v>616</v>
      </c>
      <c r="H3187" t="s">
        <v>588</v>
      </c>
    </row>
    <row r="3188" spans="2:8">
      <c r="B3188" t="s">
        <v>4892</v>
      </c>
      <c r="C3188" t="s">
        <v>670</v>
      </c>
      <c r="D3188">
        <v>1.4320943680041901E-5</v>
      </c>
      <c r="E3188" t="s">
        <v>616</v>
      </c>
      <c r="H3188" t="s">
        <v>588</v>
      </c>
    </row>
    <row r="3189" spans="2:8">
      <c r="B3189" t="s">
        <v>4894</v>
      </c>
      <c r="C3189" t="s">
        <v>787</v>
      </c>
      <c r="D3189">
        <v>1.5297556809000101E-6</v>
      </c>
      <c r="E3189" t="s">
        <v>626</v>
      </c>
      <c r="H3189" t="s">
        <v>588</v>
      </c>
    </row>
    <row r="3190" spans="2:8">
      <c r="B3190" t="s">
        <v>4897</v>
      </c>
      <c r="C3190" t="s">
        <v>787</v>
      </c>
      <c r="D3190">
        <v>5.7044293903282098E-8</v>
      </c>
      <c r="E3190" t="s">
        <v>626</v>
      </c>
      <c r="H3190" t="s">
        <v>588</v>
      </c>
    </row>
    <row r="3191" spans="2:8">
      <c r="B3191" t="s">
        <v>784</v>
      </c>
      <c r="C3191" t="s">
        <v>887</v>
      </c>
      <c r="D3191">
        <v>3.2795627422796599E-5</v>
      </c>
      <c r="E3191" t="s">
        <v>94</v>
      </c>
      <c r="H3191" t="s">
        <v>588</v>
      </c>
    </row>
    <row r="3192" spans="2:8">
      <c r="B3192" t="s">
        <v>784</v>
      </c>
      <c r="C3192" t="s">
        <v>658</v>
      </c>
      <c r="D3192">
        <v>2.0342654526945802E-9</v>
      </c>
      <c r="E3192" t="s">
        <v>94</v>
      </c>
      <c r="H3192" t="s">
        <v>588</v>
      </c>
    </row>
    <row r="3193" spans="2:8">
      <c r="B3193" t="s">
        <v>784</v>
      </c>
      <c r="C3193" t="s">
        <v>654</v>
      </c>
      <c r="D3193">
        <v>5.8076234357999001E-9</v>
      </c>
      <c r="E3193" t="s">
        <v>94</v>
      </c>
      <c r="H3193" t="s">
        <v>588</v>
      </c>
    </row>
    <row r="3194" spans="2:8">
      <c r="B3194" t="s">
        <v>785</v>
      </c>
      <c r="C3194" t="s">
        <v>661</v>
      </c>
      <c r="D3194">
        <v>8.5505385796553898E-7</v>
      </c>
      <c r="E3194" t="s">
        <v>94</v>
      </c>
      <c r="H3194" t="s">
        <v>588</v>
      </c>
    </row>
    <row r="3195" spans="2:8">
      <c r="B3195" t="s">
        <v>785</v>
      </c>
      <c r="C3195" t="s">
        <v>712</v>
      </c>
      <c r="D3195">
        <v>1.0858413355811999E-9</v>
      </c>
      <c r="E3195" t="s">
        <v>94</v>
      </c>
      <c r="H3195" t="s">
        <v>588</v>
      </c>
    </row>
    <row r="3196" spans="2:8">
      <c r="B3196" t="s">
        <v>785</v>
      </c>
      <c r="C3196" t="s">
        <v>881</v>
      </c>
      <c r="D3196">
        <v>1.7280042617495201E-8</v>
      </c>
      <c r="E3196" t="s">
        <v>94</v>
      </c>
      <c r="H3196" t="s">
        <v>588</v>
      </c>
    </row>
    <row r="3197" spans="2:8">
      <c r="B3197" t="s">
        <v>4900</v>
      </c>
      <c r="C3197" t="s">
        <v>654</v>
      </c>
      <c r="D3197">
        <v>1.3841010913702701E-7</v>
      </c>
      <c r="E3197" t="s">
        <v>94</v>
      </c>
      <c r="H3197" t="s">
        <v>588</v>
      </c>
    </row>
    <row r="3198" spans="2:8">
      <c r="B3198" t="s">
        <v>4901</v>
      </c>
      <c r="C3198" t="s">
        <v>787</v>
      </c>
      <c r="D3198">
        <v>3.7525533222394899E-5</v>
      </c>
      <c r="E3198" t="s">
        <v>94</v>
      </c>
      <c r="H3198" t="s">
        <v>588</v>
      </c>
    </row>
    <row r="3199" spans="2:8">
      <c r="B3199" t="s">
        <v>4903</v>
      </c>
      <c r="C3199" t="s">
        <v>787</v>
      </c>
      <c r="D3199">
        <v>1.26446392263133E-4</v>
      </c>
      <c r="E3199" t="s">
        <v>94</v>
      </c>
      <c r="H3199" t="s">
        <v>588</v>
      </c>
    </row>
    <row r="3200" spans="2:8">
      <c r="B3200" t="s">
        <v>4903</v>
      </c>
      <c r="C3200" t="s">
        <v>787</v>
      </c>
      <c r="D3200">
        <v>5.8693948040313397E-5</v>
      </c>
      <c r="E3200" t="s">
        <v>94</v>
      </c>
      <c r="H3200" t="s">
        <v>588</v>
      </c>
    </row>
    <row r="3201" spans="2:8">
      <c r="B3201" t="s">
        <v>4903</v>
      </c>
      <c r="C3201" t="s">
        <v>787</v>
      </c>
      <c r="D3201">
        <v>1.5342243593193399E-6</v>
      </c>
      <c r="E3201" t="s">
        <v>94</v>
      </c>
      <c r="H3201" t="s">
        <v>588</v>
      </c>
    </row>
    <row r="3202" spans="2:8">
      <c r="B3202" t="s">
        <v>4905</v>
      </c>
      <c r="C3202" t="s">
        <v>787</v>
      </c>
      <c r="D3202">
        <v>5.6693255499150002E-5</v>
      </c>
      <c r="E3202" t="s">
        <v>94</v>
      </c>
      <c r="H3202" t="s">
        <v>588</v>
      </c>
    </row>
    <row r="3203" spans="2:8">
      <c r="B3203" t="s">
        <v>4905</v>
      </c>
      <c r="C3203" t="s">
        <v>787</v>
      </c>
      <c r="D3203">
        <v>9.4484035756654296E-5</v>
      </c>
      <c r="E3203" t="s">
        <v>94</v>
      </c>
      <c r="H3203" t="s">
        <v>588</v>
      </c>
    </row>
    <row r="3204" spans="2:8">
      <c r="B3204" t="s">
        <v>4907</v>
      </c>
      <c r="C3204" t="s">
        <v>670</v>
      </c>
      <c r="D3204">
        <v>5.4448870939899103E-4</v>
      </c>
      <c r="E3204" t="s">
        <v>94</v>
      </c>
      <c r="H3204" t="s">
        <v>588</v>
      </c>
    </row>
    <row r="3205" spans="2:8">
      <c r="B3205" t="s">
        <v>4907</v>
      </c>
      <c r="C3205" t="s">
        <v>670</v>
      </c>
      <c r="D3205">
        <v>1.1322374093694701E-3</v>
      </c>
      <c r="E3205" t="s">
        <v>94</v>
      </c>
      <c r="H3205" t="s">
        <v>588</v>
      </c>
    </row>
    <row r="3206" spans="2:8">
      <c r="B3206" t="s">
        <v>4907</v>
      </c>
      <c r="C3206" t="s">
        <v>670</v>
      </c>
      <c r="D3206">
        <v>1.65082212876084E-3</v>
      </c>
      <c r="E3206" t="s">
        <v>94</v>
      </c>
      <c r="H3206" t="s">
        <v>588</v>
      </c>
    </row>
    <row r="3207" spans="2:8">
      <c r="B3207" t="s">
        <v>4909</v>
      </c>
      <c r="C3207" t="s">
        <v>744</v>
      </c>
      <c r="D3207">
        <v>1.4978156198523301E-3</v>
      </c>
      <c r="E3207" t="s">
        <v>94</v>
      </c>
      <c r="H3207" t="s">
        <v>588</v>
      </c>
    </row>
    <row r="3208" spans="2:8">
      <c r="B3208" t="s">
        <v>4912</v>
      </c>
      <c r="C3208" t="s">
        <v>787</v>
      </c>
      <c r="D3208">
        <v>7.1305295371561606E-2</v>
      </c>
      <c r="E3208" t="s">
        <v>94</v>
      </c>
      <c r="H3208" t="s">
        <v>588</v>
      </c>
    </row>
    <row r="3209" spans="2:8">
      <c r="B3209" t="s">
        <v>4912</v>
      </c>
      <c r="C3209" t="s">
        <v>787</v>
      </c>
      <c r="D3209">
        <v>9.2111634042347703E-3</v>
      </c>
      <c r="E3209" t="s">
        <v>94</v>
      </c>
      <c r="H3209" t="s">
        <v>588</v>
      </c>
    </row>
    <row r="3210" spans="2:8">
      <c r="B3210" t="s">
        <v>4912</v>
      </c>
      <c r="C3210" t="s">
        <v>787</v>
      </c>
      <c r="D3210">
        <v>9.9678916238750293E-3</v>
      </c>
      <c r="E3210" t="s">
        <v>94</v>
      </c>
      <c r="H3210" t="s">
        <v>588</v>
      </c>
    </row>
    <row r="3211" spans="2:8">
      <c r="B3211" t="s">
        <v>4917</v>
      </c>
      <c r="C3211" t="s">
        <v>787</v>
      </c>
      <c r="D3211">
        <v>8.2584034761652503E-7</v>
      </c>
      <c r="E3211" t="s">
        <v>94</v>
      </c>
    </row>
    <row r="3212" spans="2:8">
      <c r="B3212" t="s">
        <v>4917</v>
      </c>
      <c r="C3212" t="s">
        <v>787</v>
      </c>
      <c r="D3212">
        <v>6.1312775775485602E-10</v>
      </c>
      <c r="E3212" t="s">
        <v>94</v>
      </c>
    </row>
    <row r="3213" spans="2:8">
      <c r="B3213" t="s">
        <v>4917</v>
      </c>
      <c r="C3213" t="s">
        <v>787</v>
      </c>
      <c r="D3213">
        <v>5.7865406002916797E-8</v>
      </c>
      <c r="E3213" t="s">
        <v>94</v>
      </c>
    </row>
    <row r="3214" spans="2:8">
      <c r="B3214" t="s">
        <v>4920</v>
      </c>
      <c r="C3214" t="s">
        <v>670</v>
      </c>
      <c r="D3214">
        <v>2.0611152695510699E-3</v>
      </c>
      <c r="E3214" t="s">
        <v>94</v>
      </c>
    </row>
    <row r="3215" spans="2:8">
      <c r="B3215" t="s">
        <v>4923</v>
      </c>
      <c r="C3215" t="s">
        <v>787</v>
      </c>
      <c r="D3215">
        <v>3.6090996925280502E-8</v>
      </c>
      <c r="E3215" t="s">
        <v>94</v>
      </c>
      <c r="H3215" t="s">
        <v>588</v>
      </c>
    </row>
    <row r="3216" spans="2:8">
      <c r="B3216" t="s">
        <v>4923</v>
      </c>
      <c r="C3216" t="s">
        <v>787</v>
      </c>
      <c r="D3216">
        <v>5.5445272870070603E-5</v>
      </c>
      <c r="E3216" t="s">
        <v>94</v>
      </c>
      <c r="H3216" t="s">
        <v>588</v>
      </c>
    </row>
    <row r="3217" spans="2:8">
      <c r="B3217" t="s">
        <v>4923</v>
      </c>
      <c r="C3217" t="s">
        <v>787</v>
      </c>
      <c r="D3217">
        <v>5.2513840878326603E-6</v>
      </c>
      <c r="E3217" t="s">
        <v>94</v>
      </c>
      <c r="H3217" t="s">
        <v>588</v>
      </c>
    </row>
    <row r="3218" spans="2:8">
      <c r="B3218" t="s">
        <v>1573</v>
      </c>
      <c r="C3218" t="s">
        <v>787</v>
      </c>
      <c r="D3218">
        <v>1.1275139052576301E-5</v>
      </c>
      <c r="E3218" t="s">
        <v>94</v>
      </c>
    </row>
    <row r="3219" spans="2:8">
      <c r="B3219" t="s">
        <v>1573</v>
      </c>
      <c r="C3219" t="s">
        <v>787</v>
      </c>
      <c r="D3219">
        <v>1.06761644844663E-6</v>
      </c>
      <c r="E3219" t="s">
        <v>94</v>
      </c>
    </row>
    <row r="3220" spans="2:8">
      <c r="B3220" t="s">
        <v>1573</v>
      </c>
      <c r="C3220" t="s">
        <v>787</v>
      </c>
      <c r="D3220">
        <v>2.5201280584339601E-6</v>
      </c>
      <c r="E3220" t="s">
        <v>94</v>
      </c>
    </row>
    <row r="3221" spans="2:8">
      <c r="B3221" t="s">
        <v>1573</v>
      </c>
      <c r="C3221" t="s">
        <v>787</v>
      </c>
      <c r="D3221">
        <v>2.3018345118947901E-7</v>
      </c>
      <c r="E3221" t="s">
        <v>94</v>
      </c>
    </row>
    <row r="3222" spans="2:8">
      <c r="B3222" t="s">
        <v>1573</v>
      </c>
      <c r="C3222" t="s">
        <v>787</v>
      </c>
      <c r="D3222">
        <v>4.8341223790779605E-7</v>
      </c>
      <c r="E3222" t="s">
        <v>94</v>
      </c>
      <c r="H3222" t="s">
        <v>588</v>
      </c>
    </row>
    <row r="3223" spans="2:8">
      <c r="B3223" t="s">
        <v>1573</v>
      </c>
      <c r="C3223" t="s">
        <v>787</v>
      </c>
      <c r="D3223">
        <v>7.3628922159666702E-8</v>
      </c>
      <c r="E3223" t="s">
        <v>94</v>
      </c>
    </row>
    <row r="3224" spans="2:8">
      <c r="B3224" t="s">
        <v>1573</v>
      </c>
      <c r="C3224" t="s">
        <v>787</v>
      </c>
      <c r="D3224">
        <v>5.6749029437084904E-6</v>
      </c>
      <c r="E3224" t="s">
        <v>94</v>
      </c>
    </row>
    <row r="3225" spans="2:8">
      <c r="B3225" t="s">
        <v>1573</v>
      </c>
      <c r="C3225" t="s">
        <v>787</v>
      </c>
      <c r="D3225">
        <v>3.14478656906311E-7</v>
      </c>
      <c r="E3225" t="s">
        <v>94</v>
      </c>
    </row>
    <row r="3226" spans="2:8">
      <c r="B3226" t="s">
        <v>1573</v>
      </c>
      <c r="C3226" t="s">
        <v>787</v>
      </c>
      <c r="D3226">
        <v>1.44413389332623E-7</v>
      </c>
      <c r="E3226" t="s">
        <v>94</v>
      </c>
    </row>
    <row r="3227" spans="2:8">
      <c r="B3227" t="s">
        <v>1573</v>
      </c>
      <c r="C3227" t="s">
        <v>787</v>
      </c>
      <c r="D3227">
        <v>1.5529053293203999E-6</v>
      </c>
      <c r="E3227" t="s">
        <v>94</v>
      </c>
    </row>
    <row r="3228" spans="2:8">
      <c r="B3228" t="s">
        <v>1573</v>
      </c>
      <c r="C3228" t="s">
        <v>787</v>
      </c>
      <c r="D3228">
        <v>4.2049442980729202E-7</v>
      </c>
      <c r="E3228" t="s">
        <v>94</v>
      </c>
    </row>
    <row r="3229" spans="2:8">
      <c r="B3229" t="s">
        <v>1573</v>
      </c>
      <c r="C3229" t="s">
        <v>787</v>
      </c>
      <c r="D3229">
        <v>2.1334075805409201E-5</v>
      </c>
      <c r="E3229" t="s">
        <v>94</v>
      </c>
      <c r="H3229" t="s">
        <v>588</v>
      </c>
    </row>
    <row r="3230" spans="2:8">
      <c r="B3230" t="s">
        <v>1573</v>
      </c>
      <c r="C3230" t="s">
        <v>787</v>
      </c>
      <c r="D3230">
        <v>4.7500854390080202E-4</v>
      </c>
      <c r="E3230" t="s">
        <v>94</v>
      </c>
    </row>
    <row r="3231" spans="2:8">
      <c r="B3231" t="s">
        <v>1573</v>
      </c>
      <c r="C3231" t="s">
        <v>787</v>
      </c>
      <c r="D3231">
        <v>4.5807765753569498E-7</v>
      </c>
      <c r="E3231" t="s">
        <v>94</v>
      </c>
    </row>
    <row r="3232" spans="2:8">
      <c r="B3232" t="s">
        <v>1573</v>
      </c>
      <c r="C3232" t="s">
        <v>787</v>
      </c>
      <c r="D3232">
        <v>1.31763103324418E-7</v>
      </c>
      <c r="E3232" t="s">
        <v>94</v>
      </c>
    </row>
    <row r="3233" spans="2:8">
      <c r="B3233" t="s">
        <v>1573</v>
      </c>
      <c r="C3233" t="s">
        <v>787</v>
      </c>
      <c r="D3233">
        <v>1.85950626395497E-6</v>
      </c>
      <c r="E3233" t="s">
        <v>94</v>
      </c>
    </row>
    <row r="3234" spans="2:8">
      <c r="B3234" t="s">
        <v>1573</v>
      </c>
      <c r="C3234" t="s">
        <v>787</v>
      </c>
      <c r="D3234">
        <v>3.9161446551457097E-7</v>
      </c>
      <c r="E3234" t="s">
        <v>94</v>
      </c>
    </row>
    <row r="3235" spans="2:8">
      <c r="B3235" t="s">
        <v>1573</v>
      </c>
      <c r="C3235" t="s">
        <v>787</v>
      </c>
      <c r="D3235">
        <v>1.79867155385142E-6</v>
      </c>
      <c r="E3235" t="s">
        <v>94</v>
      </c>
    </row>
    <row r="3236" spans="2:8">
      <c r="B3236" t="s">
        <v>1573</v>
      </c>
      <c r="C3236" t="s">
        <v>787</v>
      </c>
      <c r="D3236">
        <v>1.6332859074506301E-7</v>
      </c>
      <c r="E3236" t="s">
        <v>94</v>
      </c>
    </row>
    <row r="3237" spans="2:8">
      <c r="B3237" t="s">
        <v>1573</v>
      </c>
      <c r="C3237" t="s">
        <v>787</v>
      </c>
      <c r="D3237">
        <v>1.5880231536322901E-6</v>
      </c>
      <c r="E3237" t="s">
        <v>94</v>
      </c>
    </row>
    <row r="3238" spans="2:8">
      <c r="B3238" t="s">
        <v>1573</v>
      </c>
      <c r="C3238" t="s">
        <v>787</v>
      </c>
      <c r="D3238">
        <v>1.4366119840747299E-6</v>
      </c>
      <c r="E3238" t="s">
        <v>94</v>
      </c>
    </row>
    <row r="3239" spans="2:8">
      <c r="B3239" t="s">
        <v>1573</v>
      </c>
      <c r="C3239" t="s">
        <v>787</v>
      </c>
      <c r="D3239">
        <v>4.9294221264230497E-7</v>
      </c>
      <c r="E3239" t="s">
        <v>94</v>
      </c>
    </row>
    <row r="3240" spans="2:8">
      <c r="B3240" t="s">
        <v>1573</v>
      </c>
      <c r="C3240" t="s">
        <v>787</v>
      </c>
      <c r="D3240">
        <v>7.5836331658811793E-5</v>
      </c>
      <c r="E3240" t="s">
        <v>94</v>
      </c>
    </row>
    <row r="3241" spans="2:8">
      <c r="B3241" t="s">
        <v>1573</v>
      </c>
      <c r="C3241" t="s">
        <v>787</v>
      </c>
      <c r="D3241">
        <v>6.8044383568594302E-7</v>
      </c>
      <c r="E3241" t="s">
        <v>94</v>
      </c>
    </row>
    <row r="3242" spans="2:8">
      <c r="B3242" t="s">
        <v>1573</v>
      </c>
      <c r="C3242" t="s">
        <v>787</v>
      </c>
      <c r="D3242">
        <v>1.1914742823225E-5</v>
      </c>
      <c r="E3242" t="s">
        <v>94</v>
      </c>
    </row>
    <row r="3243" spans="2:8">
      <c r="B3243" t="s">
        <v>1573</v>
      </c>
      <c r="C3243" t="s">
        <v>787</v>
      </c>
      <c r="D3243">
        <v>7.2931871433339601E-6</v>
      </c>
      <c r="E3243" t="s">
        <v>94</v>
      </c>
    </row>
    <row r="3244" spans="2:8">
      <c r="B3244" t="s">
        <v>1573</v>
      </c>
      <c r="C3244" t="s">
        <v>787</v>
      </c>
      <c r="D3244">
        <v>1.8799954691426501E-6</v>
      </c>
      <c r="E3244" t="s">
        <v>94</v>
      </c>
    </row>
    <row r="3245" spans="2:8">
      <c r="B3245" t="s">
        <v>1573</v>
      </c>
      <c r="C3245" t="s">
        <v>787</v>
      </c>
      <c r="D3245">
        <v>1.1689235944633001E-6</v>
      </c>
      <c r="E3245" t="s">
        <v>94</v>
      </c>
    </row>
    <row r="3246" spans="2:8">
      <c r="B3246" t="s">
        <v>1573</v>
      </c>
      <c r="C3246" t="s">
        <v>787</v>
      </c>
      <c r="D3246">
        <v>8.81774457859173E-7</v>
      </c>
      <c r="E3246" t="s">
        <v>94</v>
      </c>
    </row>
    <row r="3247" spans="2:8">
      <c r="B3247" t="s">
        <v>1573</v>
      </c>
      <c r="C3247" t="s">
        <v>787</v>
      </c>
      <c r="D3247">
        <v>3.2248772341153299E-7</v>
      </c>
      <c r="E3247" t="s">
        <v>94</v>
      </c>
    </row>
    <row r="3248" spans="2:8">
      <c r="B3248" t="s">
        <v>1573</v>
      </c>
      <c r="C3248" t="s">
        <v>787</v>
      </c>
      <c r="D3248">
        <v>5.3543923161077299E-9</v>
      </c>
      <c r="E3248" t="s">
        <v>94</v>
      </c>
      <c r="H3248" t="s">
        <v>588</v>
      </c>
    </row>
    <row r="3249" spans="2:8">
      <c r="B3249" t="s">
        <v>1573</v>
      </c>
      <c r="C3249" t="s">
        <v>787</v>
      </c>
      <c r="D3249">
        <v>1.83960595769529E-4</v>
      </c>
      <c r="E3249" t="s">
        <v>94</v>
      </c>
      <c r="H3249" t="s">
        <v>588</v>
      </c>
    </row>
    <row r="3250" spans="2:8">
      <c r="B3250" t="s">
        <v>1573</v>
      </c>
      <c r="C3250" t="s">
        <v>787</v>
      </c>
      <c r="D3250">
        <v>1.2327700765924599E-6</v>
      </c>
      <c r="E3250" t="s">
        <v>94</v>
      </c>
    </row>
    <row r="3251" spans="2:8">
      <c r="B3251" t="s">
        <v>1573</v>
      </c>
      <c r="C3251" t="s">
        <v>787</v>
      </c>
      <c r="D3251">
        <v>2.7393219455261101E-8</v>
      </c>
      <c r="E3251" t="s">
        <v>94</v>
      </c>
    </row>
    <row r="3252" spans="2:8">
      <c r="B3252" t="s">
        <v>1573</v>
      </c>
      <c r="C3252" t="s">
        <v>787</v>
      </c>
      <c r="D3252">
        <v>9.5834908424196305E-8</v>
      </c>
      <c r="E3252" t="s">
        <v>94</v>
      </c>
    </row>
    <row r="3253" spans="2:8">
      <c r="B3253" t="s">
        <v>1573</v>
      </c>
      <c r="C3253" t="s">
        <v>787</v>
      </c>
      <c r="D3253">
        <v>3.1931481436881202E-5</v>
      </c>
      <c r="E3253" t="s">
        <v>94</v>
      </c>
    </row>
    <row r="3254" spans="2:8">
      <c r="B3254" t="s">
        <v>1573</v>
      </c>
      <c r="C3254" t="s">
        <v>787</v>
      </c>
      <c r="D3254">
        <v>3.9721969632231499E-6</v>
      </c>
      <c r="E3254" t="s">
        <v>94</v>
      </c>
    </row>
    <row r="3255" spans="2:8">
      <c r="B3255" t="s">
        <v>1573</v>
      </c>
      <c r="C3255" t="s">
        <v>787</v>
      </c>
      <c r="D3255">
        <v>3.26027297205483E-7</v>
      </c>
      <c r="E3255" t="s">
        <v>94</v>
      </c>
    </row>
    <row r="3256" spans="2:8">
      <c r="B3256" t="s">
        <v>1573</v>
      </c>
      <c r="C3256" t="s">
        <v>787</v>
      </c>
      <c r="D3256">
        <v>1.65457860865598E-7</v>
      </c>
      <c r="E3256" t="s">
        <v>94</v>
      </c>
    </row>
    <row r="3257" spans="2:8">
      <c r="B3257" t="s">
        <v>1573</v>
      </c>
      <c r="C3257" t="s">
        <v>787</v>
      </c>
      <c r="D3257">
        <v>7.2697223448791105E-7</v>
      </c>
      <c r="E3257" t="s">
        <v>94</v>
      </c>
    </row>
    <row r="3258" spans="2:8">
      <c r="B3258" t="s">
        <v>1573</v>
      </c>
      <c r="C3258" t="s">
        <v>787</v>
      </c>
      <c r="D3258">
        <v>2.4633363041124298E-6</v>
      </c>
      <c r="E3258" t="s">
        <v>94</v>
      </c>
    </row>
    <row r="3259" spans="2:8">
      <c r="B3259" t="s">
        <v>1573</v>
      </c>
      <c r="C3259" t="s">
        <v>787</v>
      </c>
      <c r="D3259">
        <v>6.4269950940829196E-4</v>
      </c>
      <c r="E3259" t="s">
        <v>94</v>
      </c>
      <c r="H3259" t="s">
        <v>588</v>
      </c>
    </row>
    <row r="3260" spans="2:8">
      <c r="B3260" t="s">
        <v>1573</v>
      </c>
      <c r="C3260" t="s">
        <v>787</v>
      </c>
      <c r="D3260">
        <v>1.8777934401004301E-7</v>
      </c>
      <c r="E3260" t="s">
        <v>94</v>
      </c>
    </row>
    <row r="3261" spans="2:8">
      <c r="B3261" t="s">
        <v>1573</v>
      </c>
      <c r="C3261" t="s">
        <v>787</v>
      </c>
      <c r="D3261">
        <v>8.4558251406684704E-8</v>
      </c>
      <c r="E3261" t="s">
        <v>94</v>
      </c>
    </row>
    <row r="3262" spans="2:8">
      <c r="B3262" t="s">
        <v>1573</v>
      </c>
      <c r="C3262" t="s">
        <v>787</v>
      </c>
      <c r="D3262">
        <v>3.1228131811556002E-7</v>
      </c>
      <c r="E3262" t="s">
        <v>94</v>
      </c>
    </row>
    <row r="3263" spans="2:8">
      <c r="B3263" t="s">
        <v>1573</v>
      </c>
      <c r="C3263" t="s">
        <v>787</v>
      </c>
      <c r="D3263">
        <v>1.2223619813920999E-5</v>
      </c>
      <c r="E3263" t="s">
        <v>94</v>
      </c>
    </row>
    <row r="3264" spans="2:8">
      <c r="B3264" t="s">
        <v>4932</v>
      </c>
      <c r="C3264" t="s">
        <v>670</v>
      </c>
      <c r="D3264">
        <v>2.9693782237274401E-4</v>
      </c>
      <c r="E3264" t="s">
        <v>94</v>
      </c>
      <c r="H3264" t="s">
        <v>588</v>
      </c>
    </row>
    <row r="3265" spans="2:8">
      <c r="B3265" t="s">
        <v>4932</v>
      </c>
      <c r="C3265" t="s">
        <v>670</v>
      </c>
      <c r="D3265">
        <v>1.14838612337283E-4</v>
      </c>
      <c r="E3265" t="s">
        <v>94</v>
      </c>
      <c r="H3265" t="s">
        <v>588</v>
      </c>
    </row>
    <row r="3266" spans="2:8">
      <c r="B3266" t="s">
        <v>4934</v>
      </c>
      <c r="C3266" t="s">
        <v>787</v>
      </c>
      <c r="D3266">
        <v>8.1727436234014001E-7</v>
      </c>
      <c r="E3266" t="s">
        <v>94</v>
      </c>
      <c r="H3266" t="s">
        <v>588</v>
      </c>
    </row>
    <row r="3267" spans="2:8">
      <c r="B3267" t="s">
        <v>4934</v>
      </c>
      <c r="C3267" t="s">
        <v>787</v>
      </c>
      <c r="D3267">
        <v>1.2446006120596601E-4</v>
      </c>
      <c r="E3267" t="s">
        <v>94</v>
      </c>
      <c r="H3267" t="s">
        <v>588</v>
      </c>
    </row>
    <row r="3268" spans="2:8">
      <c r="B3268" t="s">
        <v>4934</v>
      </c>
      <c r="C3268" t="s">
        <v>787</v>
      </c>
      <c r="D3268">
        <v>1.2369430886594599E-4</v>
      </c>
      <c r="E3268" t="s">
        <v>94</v>
      </c>
      <c r="H3268" t="s">
        <v>588</v>
      </c>
    </row>
    <row r="3269" spans="2:8">
      <c r="B3269" t="s">
        <v>944</v>
      </c>
      <c r="C3269" t="s">
        <v>787</v>
      </c>
      <c r="D3269">
        <v>3.01788361130723E-10</v>
      </c>
      <c r="E3269" t="s">
        <v>94</v>
      </c>
      <c r="H3269" t="s">
        <v>588</v>
      </c>
    </row>
    <row r="3270" spans="2:8">
      <c r="B3270" t="s">
        <v>944</v>
      </c>
      <c r="C3270" t="s">
        <v>787</v>
      </c>
      <c r="D3270">
        <v>1.7779756238599401E-10</v>
      </c>
      <c r="E3270" t="s">
        <v>94</v>
      </c>
      <c r="H3270" t="s">
        <v>588</v>
      </c>
    </row>
    <row r="3271" spans="2:8">
      <c r="B3271" t="s">
        <v>944</v>
      </c>
      <c r="C3271" t="s">
        <v>787</v>
      </c>
      <c r="D3271">
        <v>8.7859577345220506E-12</v>
      </c>
      <c r="E3271" t="s">
        <v>94</v>
      </c>
      <c r="H3271" t="s">
        <v>588</v>
      </c>
    </row>
    <row r="3272" spans="2:8">
      <c r="B3272" t="s">
        <v>944</v>
      </c>
      <c r="C3272" t="s">
        <v>787</v>
      </c>
      <c r="D3272">
        <v>2.4739669027432802E-11</v>
      </c>
      <c r="E3272" t="s">
        <v>94</v>
      </c>
      <c r="H3272" t="s">
        <v>588</v>
      </c>
    </row>
    <row r="3273" spans="2:8">
      <c r="B3273" t="s">
        <v>944</v>
      </c>
      <c r="C3273" t="s">
        <v>787</v>
      </c>
      <c r="D3273">
        <v>1.4770973917433501E-9</v>
      </c>
      <c r="E3273" t="s">
        <v>94</v>
      </c>
      <c r="H3273" t="s">
        <v>588</v>
      </c>
    </row>
    <row r="3274" spans="2:8">
      <c r="B3274" t="s">
        <v>944</v>
      </c>
      <c r="C3274" t="s">
        <v>787</v>
      </c>
      <c r="D3274">
        <v>4.2858993288918302E-10</v>
      </c>
      <c r="E3274" t="s">
        <v>94</v>
      </c>
      <c r="H3274" t="s">
        <v>588</v>
      </c>
    </row>
    <row r="3275" spans="2:8">
      <c r="B3275" t="s">
        <v>944</v>
      </c>
      <c r="C3275" t="s">
        <v>787</v>
      </c>
      <c r="D3275">
        <v>2.01400230904905E-10</v>
      </c>
      <c r="E3275" t="s">
        <v>94</v>
      </c>
      <c r="H3275" t="s">
        <v>588</v>
      </c>
    </row>
    <row r="3276" spans="2:8">
      <c r="B3276" t="s">
        <v>944</v>
      </c>
      <c r="C3276" t="s">
        <v>787</v>
      </c>
      <c r="D3276">
        <v>3.6233262296855602E-11</v>
      </c>
      <c r="E3276" t="s">
        <v>94</v>
      </c>
      <c r="H3276" t="s">
        <v>588</v>
      </c>
    </row>
    <row r="3277" spans="2:8">
      <c r="B3277" t="s">
        <v>944</v>
      </c>
      <c r="C3277" t="s">
        <v>787</v>
      </c>
      <c r="D3277">
        <v>2.26238386714802E-10</v>
      </c>
      <c r="E3277" t="s">
        <v>94</v>
      </c>
      <c r="H3277" t="s">
        <v>588</v>
      </c>
    </row>
    <row r="3278" spans="2:8">
      <c r="B3278" t="s">
        <v>944</v>
      </c>
      <c r="C3278" t="s">
        <v>787</v>
      </c>
      <c r="D3278">
        <v>1.5134809293311399E-9</v>
      </c>
      <c r="E3278" t="s">
        <v>94</v>
      </c>
      <c r="H3278" t="s">
        <v>588</v>
      </c>
    </row>
    <row r="3279" spans="2:8">
      <c r="B3279" t="s">
        <v>944</v>
      </c>
      <c r="C3279" t="s">
        <v>787</v>
      </c>
      <c r="D3279">
        <v>3.2443630191126298E-10</v>
      </c>
      <c r="E3279" t="s">
        <v>94</v>
      </c>
      <c r="H3279" t="s">
        <v>588</v>
      </c>
    </row>
    <row r="3280" spans="2:8">
      <c r="B3280" t="s">
        <v>944</v>
      </c>
      <c r="C3280" t="s">
        <v>787</v>
      </c>
      <c r="D3280">
        <v>3.2585178464929399E-10</v>
      </c>
      <c r="E3280" t="s">
        <v>94</v>
      </c>
      <c r="H3280" t="s">
        <v>588</v>
      </c>
    </row>
    <row r="3281" spans="2:8">
      <c r="B3281" t="s">
        <v>944</v>
      </c>
      <c r="C3281" t="s">
        <v>787</v>
      </c>
      <c r="D3281">
        <v>3.0834160792748701E-10</v>
      </c>
      <c r="E3281" t="s">
        <v>94</v>
      </c>
      <c r="H3281" t="s">
        <v>588</v>
      </c>
    </row>
    <row r="3282" spans="2:8">
      <c r="B3282" t="s">
        <v>944</v>
      </c>
      <c r="C3282" t="s">
        <v>787</v>
      </c>
      <c r="D3282">
        <v>2.1211815156809401E-10</v>
      </c>
      <c r="E3282" t="s">
        <v>94</v>
      </c>
      <c r="H3282" t="s">
        <v>588</v>
      </c>
    </row>
    <row r="3283" spans="2:8">
      <c r="B3283" t="s">
        <v>944</v>
      </c>
      <c r="C3283" t="s">
        <v>787</v>
      </c>
      <c r="D3283">
        <v>1.32324055346047E-7</v>
      </c>
      <c r="E3283" t="s">
        <v>94</v>
      </c>
      <c r="H3283" t="s">
        <v>588</v>
      </c>
    </row>
    <row r="3284" spans="2:8">
      <c r="B3284" t="s">
        <v>944</v>
      </c>
      <c r="C3284" t="s">
        <v>787</v>
      </c>
      <c r="D3284">
        <v>2.5694622322461301E-11</v>
      </c>
      <c r="E3284" t="s">
        <v>94</v>
      </c>
      <c r="H3284" t="s">
        <v>588</v>
      </c>
    </row>
    <row r="3285" spans="2:8">
      <c r="B3285" t="s">
        <v>944</v>
      </c>
      <c r="C3285" t="s">
        <v>787</v>
      </c>
      <c r="D3285">
        <v>2.9905423297899802E-11</v>
      </c>
      <c r="E3285" t="s">
        <v>94</v>
      </c>
      <c r="H3285" t="s">
        <v>588</v>
      </c>
    </row>
    <row r="3286" spans="2:8">
      <c r="B3286" t="s">
        <v>944</v>
      </c>
      <c r="C3286" t="s">
        <v>787</v>
      </c>
      <c r="D3286">
        <v>3.2440785340752299E-6</v>
      </c>
      <c r="E3286" t="s">
        <v>94</v>
      </c>
      <c r="H3286" t="s">
        <v>588</v>
      </c>
    </row>
    <row r="3287" spans="2:8">
      <c r="B3287" t="s">
        <v>944</v>
      </c>
      <c r="C3287" t="s">
        <v>787</v>
      </c>
      <c r="D3287">
        <v>4.34677222764122E-10</v>
      </c>
      <c r="E3287" t="s">
        <v>94</v>
      </c>
      <c r="H3287" t="s">
        <v>588</v>
      </c>
    </row>
    <row r="3288" spans="2:8">
      <c r="B3288" t="s">
        <v>944</v>
      </c>
      <c r="C3288" t="s">
        <v>787</v>
      </c>
      <c r="D3288">
        <v>5.2462474952814098E-10</v>
      </c>
      <c r="E3288" t="s">
        <v>94</v>
      </c>
      <c r="H3288" t="s">
        <v>588</v>
      </c>
    </row>
    <row r="3289" spans="2:8">
      <c r="B3289" t="s">
        <v>944</v>
      </c>
      <c r="C3289" t="s">
        <v>787</v>
      </c>
      <c r="D3289">
        <v>2.6331047076944901E-10</v>
      </c>
      <c r="E3289" t="s">
        <v>94</v>
      </c>
      <c r="H3289" t="s">
        <v>588</v>
      </c>
    </row>
    <row r="3290" spans="2:8">
      <c r="B3290" t="s">
        <v>944</v>
      </c>
      <c r="C3290" t="s">
        <v>787</v>
      </c>
      <c r="D3290">
        <v>8.6000669853247806E-11</v>
      </c>
      <c r="E3290" t="s">
        <v>94</v>
      </c>
      <c r="H3290" t="s">
        <v>588</v>
      </c>
    </row>
    <row r="3291" spans="2:8">
      <c r="B3291" t="s">
        <v>944</v>
      </c>
      <c r="C3291" t="s">
        <v>787</v>
      </c>
      <c r="D3291">
        <v>6.0264013824584697E-5</v>
      </c>
      <c r="E3291" t="s">
        <v>94</v>
      </c>
      <c r="H3291" t="s">
        <v>588</v>
      </c>
    </row>
    <row r="3292" spans="2:8">
      <c r="B3292" t="s">
        <v>944</v>
      </c>
      <c r="C3292" t="s">
        <v>787</v>
      </c>
      <c r="D3292">
        <v>2.3295931478528298E-10</v>
      </c>
      <c r="E3292" t="s">
        <v>94</v>
      </c>
      <c r="H3292" t="s">
        <v>588</v>
      </c>
    </row>
    <row r="3293" spans="2:8">
      <c r="B3293" t="s">
        <v>944</v>
      </c>
      <c r="C3293" t="s">
        <v>787</v>
      </c>
      <c r="D3293">
        <v>9.65600921768039E-11</v>
      </c>
      <c r="E3293" t="s">
        <v>94</v>
      </c>
      <c r="H3293" t="s">
        <v>588</v>
      </c>
    </row>
    <row r="3294" spans="2:8">
      <c r="B3294" t="s">
        <v>944</v>
      </c>
      <c r="C3294" t="s">
        <v>787</v>
      </c>
      <c r="D3294">
        <v>4.6974376427371303E-11</v>
      </c>
      <c r="E3294" t="s">
        <v>94</v>
      </c>
      <c r="H3294" t="s">
        <v>588</v>
      </c>
    </row>
    <row r="3295" spans="2:8">
      <c r="B3295" t="s">
        <v>944</v>
      </c>
      <c r="C3295" t="s">
        <v>787</v>
      </c>
      <c r="D3295">
        <v>3.2309793337191199E-7</v>
      </c>
      <c r="E3295" t="s">
        <v>94</v>
      </c>
      <c r="H3295" t="s">
        <v>588</v>
      </c>
    </row>
    <row r="3296" spans="2:8">
      <c r="B3296" t="s">
        <v>944</v>
      </c>
      <c r="C3296" t="s">
        <v>787</v>
      </c>
      <c r="D3296">
        <v>2.8730272824126199E-11</v>
      </c>
      <c r="E3296" t="s">
        <v>94</v>
      </c>
      <c r="H3296" t="s">
        <v>588</v>
      </c>
    </row>
    <row r="3297" spans="2:8">
      <c r="B3297" t="s">
        <v>944</v>
      </c>
      <c r="C3297" t="s">
        <v>787</v>
      </c>
      <c r="D3297">
        <v>1.36410879607574E-10</v>
      </c>
      <c r="E3297" t="s">
        <v>94</v>
      </c>
      <c r="H3297" t="s">
        <v>588</v>
      </c>
    </row>
    <row r="3298" spans="2:8">
      <c r="B3298" t="s">
        <v>944</v>
      </c>
      <c r="C3298" t="s">
        <v>787</v>
      </c>
      <c r="D3298">
        <v>2.08713173470793E-9</v>
      </c>
      <c r="E3298" t="s">
        <v>94</v>
      </c>
      <c r="H3298" t="s">
        <v>588</v>
      </c>
    </row>
    <row r="3299" spans="2:8">
      <c r="B3299" t="s">
        <v>944</v>
      </c>
      <c r="C3299" t="s">
        <v>787</v>
      </c>
      <c r="D3299">
        <v>4.9538553776931598E-7</v>
      </c>
      <c r="E3299" t="s">
        <v>94</v>
      </c>
      <c r="H3299" t="s">
        <v>588</v>
      </c>
    </row>
    <row r="3300" spans="2:8">
      <c r="B3300" t="s">
        <v>944</v>
      </c>
      <c r="C3300" t="s">
        <v>787</v>
      </c>
      <c r="D3300">
        <v>1.7454346802852101E-7</v>
      </c>
      <c r="E3300" t="s">
        <v>94</v>
      </c>
      <c r="H3300" t="s">
        <v>588</v>
      </c>
    </row>
    <row r="3301" spans="2:8">
      <c r="B3301" t="s">
        <v>944</v>
      </c>
      <c r="C3301" t="s">
        <v>787</v>
      </c>
      <c r="D3301">
        <v>1.0005213443020599E-8</v>
      </c>
      <c r="E3301" t="s">
        <v>94</v>
      </c>
      <c r="H3301" t="s">
        <v>588</v>
      </c>
    </row>
    <row r="3302" spans="2:8">
      <c r="B3302" t="s">
        <v>944</v>
      </c>
      <c r="C3302" t="s">
        <v>787</v>
      </c>
      <c r="D3302">
        <v>2.3656769368069299E-9</v>
      </c>
      <c r="E3302" t="s">
        <v>94</v>
      </c>
      <c r="H3302" t="s">
        <v>588</v>
      </c>
    </row>
    <row r="3303" spans="2:8">
      <c r="B3303" t="s">
        <v>944</v>
      </c>
      <c r="C3303" t="s">
        <v>787</v>
      </c>
      <c r="D3303">
        <v>1.7994200153779502E-11</v>
      </c>
      <c r="E3303" t="s">
        <v>94</v>
      </c>
      <c r="H3303" t="s">
        <v>588</v>
      </c>
    </row>
    <row r="3304" spans="2:8">
      <c r="B3304" t="s">
        <v>944</v>
      </c>
      <c r="C3304" t="s">
        <v>787</v>
      </c>
      <c r="D3304">
        <v>6.7313164422305199E-11</v>
      </c>
      <c r="E3304" t="s">
        <v>94</v>
      </c>
      <c r="H3304" t="s">
        <v>588</v>
      </c>
    </row>
    <row r="3305" spans="2:8">
      <c r="B3305" t="s">
        <v>944</v>
      </c>
      <c r="C3305" t="s">
        <v>787</v>
      </c>
      <c r="D3305">
        <v>1.89045489024171E-10</v>
      </c>
      <c r="E3305" t="s">
        <v>94</v>
      </c>
      <c r="H3305" t="s">
        <v>588</v>
      </c>
    </row>
    <row r="3306" spans="2:8">
      <c r="B3306" t="s">
        <v>944</v>
      </c>
      <c r="C3306" t="s">
        <v>787</v>
      </c>
      <c r="D3306">
        <v>4.3316974884573098E-8</v>
      </c>
      <c r="E3306" t="s">
        <v>94</v>
      </c>
      <c r="H3306" t="s">
        <v>588</v>
      </c>
    </row>
    <row r="3307" spans="2:8">
      <c r="B3307" t="s">
        <v>944</v>
      </c>
      <c r="C3307" t="s">
        <v>787</v>
      </c>
      <c r="D3307">
        <v>1.79003682856736E-6</v>
      </c>
      <c r="E3307" t="s">
        <v>94</v>
      </c>
      <c r="H3307" t="s">
        <v>588</v>
      </c>
    </row>
    <row r="3308" spans="2:8">
      <c r="B3308" t="s">
        <v>944</v>
      </c>
      <c r="C3308" t="s">
        <v>787</v>
      </c>
      <c r="D3308">
        <v>7.9944470264175398E-11</v>
      </c>
      <c r="E3308" t="s">
        <v>94</v>
      </c>
      <c r="H3308" t="s">
        <v>588</v>
      </c>
    </row>
    <row r="3309" spans="2:8">
      <c r="B3309" t="s">
        <v>944</v>
      </c>
      <c r="C3309" t="s">
        <v>787</v>
      </c>
      <c r="D3309">
        <v>4.7585562818392799E-11</v>
      </c>
      <c r="E3309" t="s">
        <v>94</v>
      </c>
      <c r="H3309" t="s">
        <v>588</v>
      </c>
    </row>
    <row r="3310" spans="2:8">
      <c r="B3310" t="s">
        <v>944</v>
      </c>
      <c r="C3310" t="s">
        <v>787</v>
      </c>
      <c r="D3310">
        <v>1.7721977456830901E-10</v>
      </c>
      <c r="E3310" t="s">
        <v>94</v>
      </c>
      <c r="H3310" t="s">
        <v>588</v>
      </c>
    </row>
    <row r="3311" spans="2:8">
      <c r="B3311" t="s">
        <v>944</v>
      </c>
      <c r="C3311" t="s">
        <v>787</v>
      </c>
      <c r="D3311">
        <v>8.7208423534096604E-11</v>
      </c>
      <c r="E3311" t="s">
        <v>94</v>
      </c>
      <c r="H3311" t="s">
        <v>588</v>
      </c>
    </row>
    <row r="3312" spans="2:8">
      <c r="B3312" t="s">
        <v>786</v>
      </c>
      <c r="C3312" t="s">
        <v>787</v>
      </c>
      <c r="D3312">
        <v>4.9464003243879305E-4</v>
      </c>
      <c r="E3312" t="s">
        <v>94</v>
      </c>
      <c r="H3312" t="s">
        <v>588</v>
      </c>
    </row>
    <row r="3313" spans="2:8">
      <c r="B3313" t="s">
        <v>786</v>
      </c>
      <c r="C3313" t="s">
        <v>787</v>
      </c>
      <c r="D3313">
        <v>2.2973113387073699E-2</v>
      </c>
      <c r="E3313" t="s">
        <v>94</v>
      </c>
      <c r="H3313" t="s">
        <v>588</v>
      </c>
    </row>
    <row r="3314" spans="2:8">
      <c r="B3314" t="s">
        <v>786</v>
      </c>
      <c r="C3314" t="s">
        <v>787</v>
      </c>
      <c r="D3314">
        <v>4.9478013430063702E-4</v>
      </c>
      <c r="E3314" t="s">
        <v>94</v>
      </c>
      <c r="H3314" t="s">
        <v>588</v>
      </c>
    </row>
    <row r="3315" spans="2:8">
      <c r="B3315" t="s">
        <v>4937</v>
      </c>
      <c r="C3315" t="s">
        <v>787</v>
      </c>
      <c r="D3315">
        <v>1.4231201269737401E-4</v>
      </c>
      <c r="E3315" t="s">
        <v>94</v>
      </c>
      <c r="H3315" t="s">
        <v>588</v>
      </c>
    </row>
    <row r="3316" spans="2:8">
      <c r="B3316" t="s">
        <v>1578</v>
      </c>
      <c r="C3316" t="s">
        <v>650</v>
      </c>
      <c r="D3316">
        <v>2.7589680850197001E-3</v>
      </c>
      <c r="E3316" t="s">
        <v>94</v>
      </c>
      <c r="H3316" t="s">
        <v>588</v>
      </c>
    </row>
    <row r="3317" spans="2:8">
      <c r="B3317" t="s">
        <v>1578</v>
      </c>
      <c r="C3317" t="s">
        <v>650</v>
      </c>
      <c r="D3317">
        <v>1.5389680195666999E-6</v>
      </c>
      <c r="E3317" t="s">
        <v>94</v>
      </c>
      <c r="H3317" t="s">
        <v>588</v>
      </c>
    </row>
    <row r="3318" spans="2:8">
      <c r="B3318" t="s">
        <v>1578</v>
      </c>
      <c r="C3318" t="s">
        <v>650</v>
      </c>
      <c r="D3318">
        <v>7.69482977430568E-7</v>
      </c>
      <c r="E3318" t="s">
        <v>94</v>
      </c>
      <c r="H3318" t="s">
        <v>588</v>
      </c>
    </row>
    <row r="3319" spans="2:8">
      <c r="B3319" t="s">
        <v>1578</v>
      </c>
      <c r="C3319" t="s">
        <v>650</v>
      </c>
      <c r="D3319">
        <v>3.9785565521131903E-5</v>
      </c>
      <c r="E3319" t="s">
        <v>94</v>
      </c>
      <c r="H3319" t="s">
        <v>588</v>
      </c>
    </row>
    <row r="3320" spans="2:8">
      <c r="B3320" t="s">
        <v>1578</v>
      </c>
      <c r="C3320" t="s">
        <v>650</v>
      </c>
      <c r="D3320">
        <v>6.7841796713540405E-4</v>
      </c>
      <c r="E3320" t="s">
        <v>94</v>
      </c>
      <c r="H3320" t="s">
        <v>588</v>
      </c>
    </row>
    <row r="3321" spans="2:8">
      <c r="B3321" t="s">
        <v>4942</v>
      </c>
      <c r="C3321" t="s">
        <v>670</v>
      </c>
      <c r="D3321">
        <v>1.72745811713286E-4</v>
      </c>
      <c r="E3321" t="s">
        <v>94</v>
      </c>
      <c r="H3321" t="s">
        <v>588</v>
      </c>
    </row>
    <row r="3322" spans="2:8">
      <c r="B3322" t="s">
        <v>4942</v>
      </c>
      <c r="C3322" t="s">
        <v>670</v>
      </c>
      <c r="D3322">
        <v>9.5062740798444999E-5</v>
      </c>
      <c r="E3322" t="s">
        <v>94</v>
      </c>
      <c r="H3322" t="s">
        <v>588</v>
      </c>
    </row>
    <row r="3323" spans="2:8">
      <c r="B3323" t="s">
        <v>4942</v>
      </c>
      <c r="C3323" t="s">
        <v>670</v>
      </c>
      <c r="D3323">
        <v>3.0633672666407201E-6</v>
      </c>
      <c r="E3323" t="s">
        <v>94</v>
      </c>
      <c r="H3323" t="s">
        <v>588</v>
      </c>
    </row>
    <row r="3324" spans="2:8">
      <c r="B3324" t="s">
        <v>4944</v>
      </c>
      <c r="C3324" t="s">
        <v>787</v>
      </c>
      <c r="D3324">
        <v>7.4784626903148894E-5</v>
      </c>
      <c r="E3324" t="s">
        <v>94</v>
      </c>
      <c r="H3324" t="s">
        <v>588</v>
      </c>
    </row>
    <row r="3325" spans="2:8">
      <c r="B3325" t="s">
        <v>4944</v>
      </c>
      <c r="C3325" t="s">
        <v>787</v>
      </c>
      <c r="D3325">
        <v>1.2844068432958701E-4</v>
      </c>
      <c r="E3325" t="s">
        <v>94</v>
      </c>
      <c r="H3325" t="s">
        <v>588</v>
      </c>
    </row>
    <row r="3326" spans="2:8">
      <c r="B3326" t="s">
        <v>4944</v>
      </c>
      <c r="C3326" t="s">
        <v>787</v>
      </c>
      <c r="D3326">
        <v>5.67049836275005E-5</v>
      </c>
      <c r="E3326" t="s">
        <v>94</v>
      </c>
      <c r="H3326" t="s">
        <v>588</v>
      </c>
    </row>
    <row r="3327" spans="2:8">
      <c r="B3327" t="s">
        <v>4946</v>
      </c>
      <c r="C3327" t="s">
        <v>3159</v>
      </c>
      <c r="D3327">
        <v>1.80820531188189E-2</v>
      </c>
      <c r="E3327" t="s">
        <v>607</v>
      </c>
      <c r="H3327" t="s">
        <v>588</v>
      </c>
    </row>
    <row r="3328" spans="2:8">
      <c r="B3328" t="s">
        <v>4950</v>
      </c>
      <c r="C3328" t="s">
        <v>3159</v>
      </c>
      <c r="D3328">
        <v>7.2360310413657605E-2</v>
      </c>
      <c r="E3328" t="s">
        <v>607</v>
      </c>
      <c r="H3328" t="s">
        <v>588</v>
      </c>
    </row>
    <row r="3329" spans="2:8">
      <c r="B3329" t="s">
        <v>4952</v>
      </c>
      <c r="C3329" t="s">
        <v>670</v>
      </c>
      <c r="D3329">
        <v>3.6768437267651E-4</v>
      </c>
      <c r="E3329" t="s">
        <v>94</v>
      </c>
    </row>
    <row r="3330" spans="2:8">
      <c r="B3330" t="s">
        <v>4955</v>
      </c>
      <c r="C3330" t="s">
        <v>787</v>
      </c>
      <c r="D3330">
        <v>1.6578663750931001E-5</v>
      </c>
      <c r="E3330" t="s">
        <v>94</v>
      </c>
      <c r="H3330" t="s">
        <v>588</v>
      </c>
    </row>
    <row r="3331" spans="2:8">
      <c r="B3331" t="s">
        <v>4955</v>
      </c>
      <c r="C3331" t="s">
        <v>787</v>
      </c>
      <c r="D3331">
        <v>4.9244012801707303E-7</v>
      </c>
      <c r="E3331" t="s">
        <v>94</v>
      </c>
      <c r="H3331" t="s">
        <v>588</v>
      </c>
    </row>
    <row r="3332" spans="2:8">
      <c r="B3332" t="s">
        <v>4955</v>
      </c>
      <c r="C3332" t="s">
        <v>787</v>
      </c>
      <c r="D3332">
        <v>1.1916523904451499E-8</v>
      </c>
      <c r="E3332" t="s">
        <v>94</v>
      </c>
      <c r="H3332" t="s">
        <v>588</v>
      </c>
    </row>
    <row r="3333" spans="2:8">
      <c r="B3333" t="s">
        <v>4955</v>
      </c>
      <c r="C3333" t="s">
        <v>787</v>
      </c>
      <c r="D3333">
        <v>8.8884421332859102E-8</v>
      </c>
      <c r="E3333" t="s">
        <v>94</v>
      </c>
      <c r="H3333" t="s">
        <v>588</v>
      </c>
    </row>
    <row r="3334" spans="2:8">
      <c r="B3334" t="s">
        <v>4955</v>
      </c>
      <c r="C3334" t="s">
        <v>787</v>
      </c>
      <c r="D3334">
        <v>2.1334243270152501E-7</v>
      </c>
      <c r="E3334" t="s">
        <v>94</v>
      </c>
      <c r="H3334" t="s">
        <v>588</v>
      </c>
    </row>
    <row r="3335" spans="2:8">
      <c r="B3335" t="s">
        <v>4955</v>
      </c>
      <c r="C3335" t="s">
        <v>787</v>
      </c>
      <c r="D3335">
        <v>7.5168783184594602E-8</v>
      </c>
      <c r="E3335" t="s">
        <v>94</v>
      </c>
      <c r="H3335" t="s">
        <v>588</v>
      </c>
    </row>
    <row r="3336" spans="2:8">
      <c r="B3336" t="s">
        <v>4955</v>
      </c>
      <c r="C3336" t="s">
        <v>787</v>
      </c>
      <c r="D3336">
        <v>3.1558256817710501E-6</v>
      </c>
      <c r="E3336" t="s">
        <v>94</v>
      </c>
      <c r="H3336" t="s">
        <v>588</v>
      </c>
    </row>
    <row r="3337" spans="2:8">
      <c r="B3337" t="s">
        <v>4955</v>
      </c>
      <c r="C3337" t="s">
        <v>787</v>
      </c>
      <c r="D3337">
        <v>1.3970928772989201E-6</v>
      </c>
      <c r="E3337" t="s">
        <v>94</v>
      </c>
      <c r="H3337" t="s">
        <v>588</v>
      </c>
    </row>
    <row r="3338" spans="2:8">
      <c r="B3338" t="s">
        <v>4959</v>
      </c>
      <c r="C3338" t="s">
        <v>650</v>
      </c>
      <c r="D3338">
        <v>2.9011411085451599E-5</v>
      </c>
      <c r="E3338" t="s">
        <v>94</v>
      </c>
      <c r="H3338" t="s">
        <v>588</v>
      </c>
    </row>
    <row r="3339" spans="2:8">
      <c r="B3339" t="s">
        <v>4959</v>
      </c>
      <c r="C3339" t="s">
        <v>650</v>
      </c>
      <c r="D3339">
        <v>5.9710890395740597E-6</v>
      </c>
      <c r="E3339" t="s">
        <v>94</v>
      </c>
      <c r="H3339" t="s">
        <v>588</v>
      </c>
    </row>
    <row r="3340" spans="2:8">
      <c r="B3340" t="s">
        <v>4959</v>
      </c>
      <c r="C3340" t="s">
        <v>650</v>
      </c>
      <c r="D3340">
        <v>1.7918201079292002E-8</v>
      </c>
      <c r="E3340" t="s">
        <v>94</v>
      </c>
      <c r="H3340" t="s">
        <v>588</v>
      </c>
    </row>
    <row r="3341" spans="2:8">
      <c r="B3341" t="s">
        <v>1583</v>
      </c>
      <c r="C3341" t="s">
        <v>670</v>
      </c>
      <c r="D3341">
        <v>1.03279147814127E-8</v>
      </c>
      <c r="E3341" t="s">
        <v>94</v>
      </c>
    </row>
    <row r="3342" spans="2:8">
      <c r="B3342" t="s">
        <v>1583</v>
      </c>
      <c r="C3342" t="s">
        <v>670</v>
      </c>
      <c r="D3342">
        <v>1.21671923934037E-6</v>
      </c>
      <c r="E3342" t="s">
        <v>94</v>
      </c>
    </row>
    <row r="3343" spans="2:8">
      <c r="B3343" t="s">
        <v>4962</v>
      </c>
      <c r="C3343" t="s">
        <v>670</v>
      </c>
      <c r="D3343">
        <v>3.2531440833450897E-5</v>
      </c>
      <c r="E3343" t="s">
        <v>94</v>
      </c>
      <c r="H3343" t="s">
        <v>588</v>
      </c>
    </row>
    <row r="3344" spans="2:8">
      <c r="B3344" t="s">
        <v>4965</v>
      </c>
      <c r="C3344" t="s">
        <v>787</v>
      </c>
      <c r="D3344">
        <v>7.9850949531638501E-7</v>
      </c>
      <c r="E3344" t="s">
        <v>94</v>
      </c>
    </row>
    <row r="3345" spans="2:8">
      <c r="B3345" t="s">
        <v>1586</v>
      </c>
      <c r="C3345" t="s">
        <v>670</v>
      </c>
      <c r="D3345">
        <v>3.3867114632706599E-5</v>
      </c>
      <c r="E3345" t="s">
        <v>94</v>
      </c>
      <c r="H3345" t="s">
        <v>588</v>
      </c>
    </row>
    <row r="3346" spans="2:8">
      <c r="B3346" t="s">
        <v>1586</v>
      </c>
      <c r="C3346" t="s">
        <v>670</v>
      </c>
      <c r="D3346">
        <v>6.9680017190832102E-5</v>
      </c>
      <c r="E3346" t="s">
        <v>94</v>
      </c>
      <c r="H3346" t="s">
        <v>588</v>
      </c>
    </row>
    <row r="3347" spans="2:8">
      <c r="B3347" t="s">
        <v>1586</v>
      </c>
      <c r="C3347" t="s">
        <v>670</v>
      </c>
      <c r="D3347">
        <v>4.2722194921972499E-5</v>
      </c>
      <c r="E3347" t="s">
        <v>94</v>
      </c>
      <c r="H3347" t="s">
        <v>588</v>
      </c>
    </row>
    <row r="3348" spans="2:8">
      <c r="B3348" t="s">
        <v>4967</v>
      </c>
      <c r="C3348" t="s">
        <v>787</v>
      </c>
      <c r="D3348">
        <v>8.9301444289695405E-7</v>
      </c>
      <c r="E3348" t="s">
        <v>94</v>
      </c>
      <c r="H3348" t="s">
        <v>588</v>
      </c>
    </row>
    <row r="3349" spans="2:8">
      <c r="B3349" t="s">
        <v>4967</v>
      </c>
      <c r="C3349" t="s">
        <v>787</v>
      </c>
      <c r="D3349">
        <v>1.5054725930648202E-8</v>
      </c>
      <c r="E3349" t="s">
        <v>94</v>
      </c>
      <c r="H3349" t="s">
        <v>588</v>
      </c>
    </row>
    <row r="3350" spans="2:8">
      <c r="B3350" t="s">
        <v>4967</v>
      </c>
      <c r="C3350" t="s">
        <v>787</v>
      </c>
      <c r="D3350">
        <v>1.20748298005325E-5</v>
      </c>
      <c r="E3350" t="s">
        <v>94</v>
      </c>
      <c r="H3350" t="s">
        <v>588</v>
      </c>
    </row>
    <row r="3351" spans="2:8">
      <c r="B3351" t="s">
        <v>4967</v>
      </c>
      <c r="C3351" t="s">
        <v>787</v>
      </c>
      <c r="D3351">
        <v>6.2212363471036896E-7</v>
      </c>
      <c r="E3351" t="s">
        <v>94</v>
      </c>
      <c r="H3351" t="s">
        <v>588</v>
      </c>
    </row>
    <row r="3352" spans="2:8">
      <c r="B3352" t="s">
        <v>4967</v>
      </c>
      <c r="C3352" t="s">
        <v>787</v>
      </c>
      <c r="D3352">
        <v>6.0772810730833801E-8</v>
      </c>
      <c r="E3352" t="s">
        <v>94</v>
      </c>
      <c r="H3352" t="s">
        <v>588</v>
      </c>
    </row>
    <row r="3353" spans="2:8">
      <c r="B3353" t="s">
        <v>4967</v>
      </c>
      <c r="C3353" t="s">
        <v>787</v>
      </c>
      <c r="D3353">
        <v>6.0662224939675399E-8</v>
      </c>
      <c r="E3353" t="s">
        <v>94</v>
      </c>
      <c r="H3353" t="s">
        <v>588</v>
      </c>
    </row>
    <row r="3354" spans="2:8">
      <c r="B3354" t="s">
        <v>4967</v>
      </c>
      <c r="C3354" t="s">
        <v>787</v>
      </c>
      <c r="D3354">
        <v>1.72170229361513E-7</v>
      </c>
      <c r="E3354" t="s">
        <v>94</v>
      </c>
      <c r="H3354" t="s">
        <v>588</v>
      </c>
    </row>
    <row r="3355" spans="2:8">
      <c r="B3355" t="s">
        <v>4967</v>
      </c>
      <c r="C3355" t="s">
        <v>787</v>
      </c>
      <c r="D3355">
        <v>1.12747285234351E-6</v>
      </c>
      <c r="E3355" t="s">
        <v>94</v>
      </c>
      <c r="H3355" t="s">
        <v>588</v>
      </c>
    </row>
    <row r="3356" spans="2:8">
      <c r="B3356" t="s">
        <v>4967</v>
      </c>
      <c r="C3356" t="s">
        <v>787</v>
      </c>
      <c r="D3356">
        <v>1.5920727462942099E-6</v>
      </c>
      <c r="E3356" t="s">
        <v>94</v>
      </c>
      <c r="H3356" t="s">
        <v>588</v>
      </c>
    </row>
    <row r="3357" spans="2:8">
      <c r="B3357" t="s">
        <v>4967</v>
      </c>
      <c r="C3357" t="s">
        <v>787</v>
      </c>
      <c r="D3357">
        <v>1.12292025208005E-7</v>
      </c>
      <c r="E3357" t="s">
        <v>94</v>
      </c>
      <c r="H3357" t="s">
        <v>588</v>
      </c>
    </row>
    <row r="3358" spans="2:8">
      <c r="B3358" t="s">
        <v>4973</v>
      </c>
      <c r="C3358" t="s">
        <v>670</v>
      </c>
      <c r="D3358">
        <v>1.2126034406894701E-5</v>
      </c>
      <c r="E3358" t="s">
        <v>94</v>
      </c>
    </row>
    <row r="3359" spans="2:8">
      <c r="B3359" t="s">
        <v>4973</v>
      </c>
      <c r="C3359" t="s">
        <v>670</v>
      </c>
      <c r="D3359">
        <v>1.15862815140556E-4</v>
      </c>
      <c r="E3359" t="s">
        <v>94</v>
      </c>
    </row>
    <row r="3360" spans="2:8">
      <c r="B3360" t="s">
        <v>4973</v>
      </c>
      <c r="C3360" t="s">
        <v>670</v>
      </c>
      <c r="D3360">
        <v>3.54891940970326E-5</v>
      </c>
      <c r="E3360" t="s">
        <v>94</v>
      </c>
    </row>
    <row r="3361" spans="2:8">
      <c r="B3361" t="s">
        <v>4975</v>
      </c>
      <c r="C3361" t="s">
        <v>787</v>
      </c>
      <c r="D3361">
        <v>4.69888401393272E-6</v>
      </c>
      <c r="E3361" t="s">
        <v>94</v>
      </c>
      <c r="H3361" t="s">
        <v>588</v>
      </c>
    </row>
    <row r="3362" spans="2:8">
      <c r="B3362" t="s">
        <v>4975</v>
      </c>
      <c r="C3362" t="s">
        <v>787</v>
      </c>
      <c r="D3362">
        <v>3.1103096846850099E-4</v>
      </c>
      <c r="E3362" t="s">
        <v>94</v>
      </c>
      <c r="H3362" t="s">
        <v>588</v>
      </c>
    </row>
    <row r="3363" spans="2:8">
      <c r="B3363" t="s">
        <v>1589</v>
      </c>
      <c r="C3363" t="s">
        <v>787</v>
      </c>
      <c r="D3363">
        <v>1.18865499742607E-5</v>
      </c>
      <c r="E3363" t="s">
        <v>94</v>
      </c>
      <c r="H3363" t="s">
        <v>588</v>
      </c>
    </row>
    <row r="3364" spans="2:8">
      <c r="B3364" t="s">
        <v>1589</v>
      </c>
      <c r="C3364" t="s">
        <v>787</v>
      </c>
      <c r="D3364">
        <v>1.7957543330868599E-7</v>
      </c>
      <c r="E3364" t="s">
        <v>94</v>
      </c>
      <c r="H3364" t="s">
        <v>588</v>
      </c>
    </row>
    <row r="3365" spans="2:8">
      <c r="B3365" t="s">
        <v>1592</v>
      </c>
      <c r="C3365" t="s">
        <v>787</v>
      </c>
      <c r="D3365">
        <v>1.37039160968681E-4</v>
      </c>
      <c r="E3365" t="s">
        <v>94</v>
      </c>
      <c r="H3365" t="s">
        <v>588</v>
      </c>
    </row>
    <row r="3366" spans="2:8">
      <c r="B3366" t="s">
        <v>1592</v>
      </c>
      <c r="C3366" t="s">
        <v>787</v>
      </c>
      <c r="D3366">
        <v>8.7676930349684003E-7</v>
      </c>
      <c r="E3366" t="s">
        <v>94</v>
      </c>
      <c r="H3366" t="s">
        <v>588</v>
      </c>
    </row>
    <row r="3367" spans="2:8">
      <c r="B3367" t="s">
        <v>1592</v>
      </c>
      <c r="C3367" t="s">
        <v>787</v>
      </c>
      <c r="D3367">
        <v>4.61102915358036E-5</v>
      </c>
      <c r="E3367" t="s">
        <v>94</v>
      </c>
      <c r="H3367" t="s">
        <v>588</v>
      </c>
    </row>
    <row r="3368" spans="2:8">
      <c r="B3368" t="s">
        <v>1592</v>
      </c>
      <c r="C3368" t="s">
        <v>787</v>
      </c>
      <c r="D3368">
        <v>2.0635687034970801E-6</v>
      </c>
      <c r="E3368" t="s">
        <v>94</v>
      </c>
      <c r="H3368" t="s">
        <v>588</v>
      </c>
    </row>
    <row r="3369" spans="2:8">
      <c r="B3369" t="s">
        <v>1592</v>
      </c>
      <c r="C3369" t="s">
        <v>787</v>
      </c>
      <c r="D3369">
        <v>2.1176573235555501E-5</v>
      </c>
      <c r="E3369" t="s">
        <v>94</v>
      </c>
      <c r="H3369" t="s">
        <v>588</v>
      </c>
    </row>
    <row r="3370" spans="2:8">
      <c r="B3370" t="s">
        <v>1592</v>
      </c>
      <c r="C3370" t="s">
        <v>787</v>
      </c>
      <c r="D3370">
        <v>2.1318713741517201E-6</v>
      </c>
      <c r="E3370" t="s">
        <v>94</v>
      </c>
      <c r="H3370" t="s">
        <v>588</v>
      </c>
    </row>
    <row r="3371" spans="2:8">
      <c r="B3371" t="s">
        <v>1592</v>
      </c>
      <c r="C3371" t="s">
        <v>787</v>
      </c>
      <c r="D3371">
        <v>9.0431197475304595E-7</v>
      </c>
      <c r="E3371" t="s">
        <v>94</v>
      </c>
      <c r="H3371" t="s">
        <v>588</v>
      </c>
    </row>
    <row r="3372" spans="2:8">
      <c r="B3372" t="s">
        <v>1592</v>
      </c>
      <c r="C3372" t="s">
        <v>787</v>
      </c>
      <c r="D3372">
        <v>2.2989203951624499E-3</v>
      </c>
      <c r="E3372" t="s">
        <v>94</v>
      </c>
      <c r="H3372" t="s">
        <v>588</v>
      </c>
    </row>
    <row r="3373" spans="2:8">
      <c r="B3373" t="s">
        <v>1592</v>
      </c>
      <c r="C3373" t="s">
        <v>787</v>
      </c>
      <c r="D3373">
        <v>8.52622016021578E-6</v>
      </c>
      <c r="E3373" t="s">
        <v>94</v>
      </c>
      <c r="H3373" t="s">
        <v>588</v>
      </c>
    </row>
    <row r="3374" spans="2:8">
      <c r="B3374" t="s">
        <v>1592</v>
      </c>
      <c r="C3374" t="s">
        <v>787</v>
      </c>
      <c r="D3374">
        <v>3.6836574950459901E-7</v>
      </c>
      <c r="E3374" t="s">
        <v>94</v>
      </c>
      <c r="H3374" t="s">
        <v>588</v>
      </c>
    </row>
    <row r="3375" spans="2:8">
      <c r="B3375" t="s">
        <v>1592</v>
      </c>
      <c r="C3375" t="s">
        <v>787</v>
      </c>
      <c r="D3375">
        <v>4.1310099908190698E-6</v>
      </c>
      <c r="E3375" t="s">
        <v>94</v>
      </c>
      <c r="H3375" t="s">
        <v>588</v>
      </c>
    </row>
    <row r="3376" spans="2:8">
      <c r="B3376" t="s">
        <v>1592</v>
      </c>
      <c r="C3376" t="s">
        <v>787</v>
      </c>
      <c r="D3376">
        <v>2.4088019073729001E-7</v>
      </c>
      <c r="E3376" t="s">
        <v>94</v>
      </c>
      <c r="H3376" t="s">
        <v>588</v>
      </c>
    </row>
    <row r="3377" spans="2:8">
      <c r="B3377" t="s">
        <v>1592</v>
      </c>
      <c r="C3377" t="s">
        <v>787</v>
      </c>
      <c r="D3377">
        <v>3.0515967795821498E-7</v>
      </c>
      <c r="E3377" t="s">
        <v>94</v>
      </c>
      <c r="H3377" t="s">
        <v>588</v>
      </c>
    </row>
    <row r="3378" spans="2:8">
      <c r="B3378" t="s">
        <v>1592</v>
      </c>
      <c r="C3378" t="s">
        <v>787</v>
      </c>
      <c r="D3378">
        <v>5.7058720480001297E-6</v>
      </c>
      <c r="E3378" t="s">
        <v>94</v>
      </c>
      <c r="H3378" t="s">
        <v>588</v>
      </c>
    </row>
    <row r="3379" spans="2:8">
      <c r="B3379" t="s">
        <v>1592</v>
      </c>
      <c r="C3379" t="s">
        <v>787</v>
      </c>
      <c r="D3379">
        <v>1.8155173496418399E-5</v>
      </c>
      <c r="E3379" t="s">
        <v>94</v>
      </c>
      <c r="H3379" t="s">
        <v>588</v>
      </c>
    </row>
    <row r="3380" spans="2:8">
      <c r="B3380" t="s">
        <v>1592</v>
      </c>
      <c r="C3380" t="s">
        <v>787</v>
      </c>
      <c r="D3380">
        <v>2.5089924009860399E-5</v>
      </c>
      <c r="E3380" t="s">
        <v>94</v>
      </c>
      <c r="H3380" t="s">
        <v>588</v>
      </c>
    </row>
    <row r="3381" spans="2:8">
      <c r="B3381" t="s">
        <v>1592</v>
      </c>
      <c r="C3381" t="s">
        <v>787</v>
      </c>
      <c r="D3381">
        <v>3.5389908169816901E-6</v>
      </c>
      <c r="E3381" t="s">
        <v>94</v>
      </c>
      <c r="H3381" t="s">
        <v>588</v>
      </c>
    </row>
    <row r="3382" spans="2:8">
      <c r="B3382" t="s">
        <v>1592</v>
      </c>
      <c r="C3382" t="s">
        <v>787</v>
      </c>
      <c r="D3382">
        <v>9.6445066373481407E-6</v>
      </c>
      <c r="E3382" t="s">
        <v>94</v>
      </c>
      <c r="H3382" t="s">
        <v>588</v>
      </c>
    </row>
    <row r="3383" spans="2:8">
      <c r="B3383" t="s">
        <v>1592</v>
      </c>
      <c r="C3383" t="s">
        <v>787</v>
      </c>
      <c r="D3383">
        <v>2.40864723131821E-6</v>
      </c>
      <c r="E3383" t="s">
        <v>94</v>
      </c>
      <c r="H3383" t="s">
        <v>588</v>
      </c>
    </row>
    <row r="3384" spans="2:8">
      <c r="B3384" t="s">
        <v>1592</v>
      </c>
      <c r="C3384" t="s">
        <v>787</v>
      </c>
      <c r="D3384">
        <v>1.2958018479436E-6</v>
      </c>
      <c r="E3384" t="s">
        <v>94</v>
      </c>
      <c r="H3384" t="s">
        <v>588</v>
      </c>
    </row>
    <row r="3385" spans="2:8">
      <c r="B3385" t="s">
        <v>1592</v>
      </c>
      <c r="C3385" t="s">
        <v>787</v>
      </c>
      <c r="D3385">
        <v>1.20263673822579E-4</v>
      </c>
      <c r="E3385" t="s">
        <v>94</v>
      </c>
      <c r="H3385" t="s">
        <v>588</v>
      </c>
    </row>
    <row r="3386" spans="2:8">
      <c r="B3386" t="s">
        <v>1592</v>
      </c>
      <c r="C3386" t="s">
        <v>787</v>
      </c>
      <c r="D3386">
        <v>8.5372577420676496E-7</v>
      </c>
      <c r="E3386" t="s">
        <v>94</v>
      </c>
      <c r="H3386" t="s">
        <v>588</v>
      </c>
    </row>
    <row r="3387" spans="2:8">
      <c r="B3387" t="s">
        <v>1592</v>
      </c>
      <c r="C3387" t="s">
        <v>787</v>
      </c>
      <c r="D3387">
        <v>3.1899639520600999E-7</v>
      </c>
      <c r="E3387" t="s">
        <v>94</v>
      </c>
      <c r="H3387" t="s">
        <v>588</v>
      </c>
    </row>
    <row r="3388" spans="2:8">
      <c r="B3388" t="s">
        <v>1592</v>
      </c>
      <c r="C3388" t="s">
        <v>787</v>
      </c>
      <c r="D3388">
        <v>3.6683888936573799E-6</v>
      </c>
      <c r="E3388" t="s">
        <v>94</v>
      </c>
      <c r="H3388" t="s">
        <v>588</v>
      </c>
    </row>
    <row r="3389" spans="2:8">
      <c r="B3389" t="s">
        <v>1592</v>
      </c>
      <c r="C3389" t="s">
        <v>787</v>
      </c>
      <c r="D3389">
        <v>2.89258715372245E-6</v>
      </c>
      <c r="E3389" t="s">
        <v>94</v>
      </c>
      <c r="H3389" t="s">
        <v>588</v>
      </c>
    </row>
    <row r="3390" spans="2:8">
      <c r="B3390" t="s">
        <v>1592</v>
      </c>
      <c r="C3390" t="s">
        <v>787</v>
      </c>
      <c r="D3390">
        <v>1.3556561839418301E-5</v>
      </c>
      <c r="E3390" t="s">
        <v>94</v>
      </c>
      <c r="H3390" t="s">
        <v>588</v>
      </c>
    </row>
    <row r="3391" spans="2:8">
      <c r="B3391" t="s">
        <v>1592</v>
      </c>
      <c r="C3391" t="s">
        <v>787</v>
      </c>
      <c r="D3391">
        <v>1.16555900645412E-6</v>
      </c>
      <c r="E3391" t="s">
        <v>94</v>
      </c>
      <c r="H3391" t="s">
        <v>588</v>
      </c>
    </row>
    <row r="3392" spans="2:8">
      <c r="B3392" t="s">
        <v>1592</v>
      </c>
      <c r="C3392" t="s">
        <v>787</v>
      </c>
      <c r="D3392">
        <v>5.3339343653420701E-7</v>
      </c>
      <c r="E3392" t="s">
        <v>94</v>
      </c>
      <c r="H3392" t="s">
        <v>588</v>
      </c>
    </row>
    <row r="3393" spans="2:8">
      <c r="B3393" t="s">
        <v>1592</v>
      </c>
      <c r="C3393" t="s">
        <v>787</v>
      </c>
      <c r="D3393">
        <v>3.5626749855909698E-6</v>
      </c>
      <c r="E3393" t="s">
        <v>94</v>
      </c>
      <c r="H3393" t="s">
        <v>588</v>
      </c>
    </row>
    <row r="3394" spans="2:8">
      <c r="B3394" t="s">
        <v>1592</v>
      </c>
      <c r="C3394" t="s">
        <v>787</v>
      </c>
      <c r="D3394">
        <v>4.5582588930080098E-7</v>
      </c>
      <c r="E3394" t="s">
        <v>94</v>
      </c>
      <c r="H3394" t="s">
        <v>588</v>
      </c>
    </row>
    <row r="3395" spans="2:8">
      <c r="B3395" t="s">
        <v>1592</v>
      </c>
      <c r="C3395" t="s">
        <v>787</v>
      </c>
      <c r="D3395">
        <v>1.48206898707516E-6</v>
      </c>
      <c r="E3395" t="s">
        <v>94</v>
      </c>
      <c r="H3395" t="s">
        <v>588</v>
      </c>
    </row>
    <row r="3396" spans="2:8">
      <c r="B3396" t="s">
        <v>1592</v>
      </c>
      <c r="C3396" t="s">
        <v>787</v>
      </c>
      <c r="D3396">
        <v>1.1028550238204801E-5</v>
      </c>
      <c r="E3396" t="s">
        <v>94</v>
      </c>
      <c r="H3396" t="s">
        <v>588</v>
      </c>
    </row>
    <row r="3397" spans="2:8">
      <c r="B3397" t="s">
        <v>1592</v>
      </c>
      <c r="C3397" t="s">
        <v>787</v>
      </c>
      <c r="D3397">
        <v>1.5204063991443599E-3</v>
      </c>
      <c r="E3397" t="s">
        <v>94</v>
      </c>
      <c r="H3397" t="s">
        <v>588</v>
      </c>
    </row>
    <row r="3398" spans="2:8">
      <c r="B3398" t="s">
        <v>1592</v>
      </c>
      <c r="C3398" t="s">
        <v>787</v>
      </c>
      <c r="D3398">
        <v>3.29398619557585E-7</v>
      </c>
      <c r="E3398" t="s">
        <v>94</v>
      </c>
      <c r="H3398" t="s">
        <v>588</v>
      </c>
    </row>
    <row r="3399" spans="2:8">
      <c r="B3399" t="s">
        <v>1592</v>
      </c>
      <c r="C3399" t="s">
        <v>787</v>
      </c>
      <c r="D3399">
        <v>9.4837366168189504E-8</v>
      </c>
      <c r="E3399" t="s">
        <v>94</v>
      </c>
      <c r="H3399" t="s">
        <v>588</v>
      </c>
    </row>
    <row r="3400" spans="2:8">
      <c r="B3400" t="s">
        <v>1592</v>
      </c>
      <c r="C3400" t="s">
        <v>787</v>
      </c>
      <c r="D3400">
        <v>1.85968476969365E-6</v>
      </c>
      <c r="E3400" t="s">
        <v>94</v>
      </c>
      <c r="H3400" t="s">
        <v>588</v>
      </c>
    </row>
    <row r="3401" spans="2:8">
      <c r="B3401" t="s">
        <v>1592</v>
      </c>
      <c r="C3401" t="s">
        <v>787</v>
      </c>
      <c r="D3401">
        <v>1.01564582636497E-5</v>
      </c>
      <c r="E3401" t="s">
        <v>94</v>
      </c>
      <c r="H3401" t="s">
        <v>588</v>
      </c>
    </row>
    <row r="3402" spans="2:8">
      <c r="B3402" t="s">
        <v>1592</v>
      </c>
      <c r="C3402" t="s">
        <v>787</v>
      </c>
      <c r="D3402">
        <v>2.4388445327383502E-6</v>
      </c>
      <c r="E3402" t="s">
        <v>94</v>
      </c>
      <c r="H3402" t="s">
        <v>588</v>
      </c>
    </row>
    <row r="3403" spans="2:8">
      <c r="B3403" t="s">
        <v>1592</v>
      </c>
      <c r="C3403" t="s">
        <v>787</v>
      </c>
      <c r="D3403">
        <v>3.03541872818271E-6</v>
      </c>
      <c r="E3403" t="s">
        <v>94</v>
      </c>
      <c r="H3403" t="s">
        <v>588</v>
      </c>
    </row>
    <row r="3404" spans="2:8">
      <c r="B3404" t="s">
        <v>1592</v>
      </c>
      <c r="C3404" t="s">
        <v>787</v>
      </c>
      <c r="D3404">
        <v>3.2564670008359299E-7</v>
      </c>
      <c r="E3404" t="s">
        <v>94</v>
      </c>
      <c r="H3404" t="s">
        <v>588</v>
      </c>
    </row>
    <row r="3405" spans="2:8">
      <c r="B3405" t="s">
        <v>1592</v>
      </c>
      <c r="C3405" t="s">
        <v>787</v>
      </c>
      <c r="D3405">
        <v>2.3801649074772001E-6</v>
      </c>
      <c r="E3405" t="s">
        <v>94</v>
      </c>
      <c r="H3405" t="s">
        <v>588</v>
      </c>
    </row>
    <row r="3406" spans="2:8">
      <c r="B3406" t="s">
        <v>1592</v>
      </c>
      <c r="C3406" t="s">
        <v>787</v>
      </c>
      <c r="D3406">
        <v>2.4757081536942702E-5</v>
      </c>
      <c r="E3406" t="s">
        <v>94</v>
      </c>
      <c r="H3406" t="s">
        <v>588</v>
      </c>
    </row>
    <row r="3407" spans="2:8">
      <c r="B3407" t="s">
        <v>1592</v>
      </c>
      <c r="C3407" t="s">
        <v>787</v>
      </c>
      <c r="D3407">
        <v>4.4287442532477003E-6</v>
      </c>
      <c r="E3407" t="s">
        <v>94</v>
      </c>
      <c r="H3407" t="s">
        <v>588</v>
      </c>
    </row>
    <row r="3408" spans="2:8">
      <c r="B3408" t="s">
        <v>1592</v>
      </c>
      <c r="C3408" t="s">
        <v>787</v>
      </c>
      <c r="D3408">
        <v>2.1993556388350498E-6</v>
      </c>
      <c r="E3408" t="s">
        <v>94</v>
      </c>
      <c r="H3408" t="s">
        <v>588</v>
      </c>
    </row>
    <row r="3409" spans="2:8">
      <c r="B3409" t="s">
        <v>1592</v>
      </c>
      <c r="C3409" t="s">
        <v>787</v>
      </c>
      <c r="D3409">
        <v>6.20087274037083E-7</v>
      </c>
      <c r="E3409" t="s">
        <v>94</v>
      </c>
      <c r="H3409" t="s">
        <v>588</v>
      </c>
    </row>
    <row r="3410" spans="2:8">
      <c r="B3410" t="s">
        <v>1592</v>
      </c>
      <c r="C3410" t="s">
        <v>787</v>
      </c>
      <c r="D3410">
        <v>3.7052543891083001E-4</v>
      </c>
      <c r="E3410" t="s">
        <v>94</v>
      </c>
      <c r="H3410" t="s">
        <v>588</v>
      </c>
    </row>
    <row r="3411" spans="2:8">
      <c r="B3411" t="s">
        <v>1596</v>
      </c>
      <c r="C3411" t="s">
        <v>787</v>
      </c>
      <c r="D3411">
        <v>2.02433070871303E-11</v>
      </c>
      <c r="E3411" t="s">
        <v>94</v>
      </c>
      <c r="H3411" t="s">
        <v>588</v>
      </c>
    </row>
    <row r="3412" spans="2:8">
      <c r="B3412" t="s">
        <v>1596</v>
      </c>
      <c r="C3412" t="s">
        <v>787</v>
      </c>
      <c r="D3412">
        <v>4.7954602303603403E-11</v>
      </c>
      <c r="E3412" t="s">
        <v>94</v>
      </c>
      <c r="H3412" t="s">
        <v>588</v>
      </c>
    </row>
    <row r="3413" spans="2:8">
      <c r="B3413" t="s">
        <v>1596</v>
      </c>
      <c r="C3413" t="s">
        <v>787</v>
      </c>
      <c r="D3413">
        <v>2.7684076452040999E-12</v>
      </c>
      <c r="E3413" t="s">
        <v>94</v>
      </c>
      <c r="H3413" t="s">
        <v>588</v>
      </c>
    </row>
    <row r="3414" spans="2:8">
      <c r="B3414" t="s">
        <v>1596</v>
      </c>
      <c r="C3414" t="s">
        <v>787</v>
      </c>
      <c r="D3414">
        <v>2.99422525836153E-11</v>
      </c>
      <c r="E3414" t="s">
        <v>94</v>
      </c>
      <c r="H3414" t="s">
        <v>588</v>
      </c>
    </row>
    <row r="3415" spans="2:8">
      <c r="B3415" t="s">
        <v>1596</v>
      </c>
      <c r="C3415" t="s">
        <v>787</v>
      </c>
      <c r="D3415">
        <v>3.0547708697971902E-4</v>
      </c>
      <c r="E3415" t="s">
        <v>94</v>
      </c>
      <c r="H3415" t="s">
        <v>588</v>
      </c>
    </row>
    <row r="3416" spans="2:8">
      <c r="B3416" t="s">
        <v>1596</v>
      </c>
      <c r="C3416" t="s">
        <v>787</v>
      </c>
      <c r="D3416">
        <v>2.55109642681052E-11</v>
      </c>
      <c r="E3416" t="s">
        <v>94</v>
      </c>
      <c r="H3416" t="s">
        <v>588</v>
      </c>
    </row>
    <row r="3417" spans="2:8">
      <c r="B3417" t="s">
        <v>1596</v>
      </c>
      <c r="C3417" t="s">
        <v>787</v>
      </c>
      <c r="D3417">
        <v>5.9312984720129404E-7</v>
      </c>
      <c r="E3417" t="s">
        <v>94</v>
      </c>
      <c r="H3417" t="s">
        <v>588</v>
      </c>
    </row>
    <row r="3418" spans="2:8">
      <c r="B3418" t="s">
        <v>1596</v>
      </c>
      <c r="C3418" t="s">
        <v>787</v>
      </c>
      <c r="D3418">
        <v>1.18667029961514E-4</v>
      </c>
      <c r="E3418" t="s">
        <v>94</v>
      </c>
      <c r="H3418" t="s">
        <v>588</v>
      </c>
    </row>
    <row r="3419" spans="2:8">
      <c r="B3419" t="s">
        <v>1596</v>
      </c>
      <c r="C3419" t="s">
        <v>787</v>
      </c>
      <c r="D3419">
        <v>2.9743200646068401E-11</v>
      </c>
      <c r="E3419" t="s">
        <v>94</v>
      </c>
      <c r="H3419" t="s">
        <v>588</v>
      </c>
    </row>
    <row r="3420" spans="2:8">
      <c r="B3420" t="s">
        <v>1596</v>
      </c>
      <c r="C3420" t="s">
        <v>787</v>
      </c>
      <c r="D3420">
        <v>3.23931164904749E-6</v>
      </c>
      <c r="E3420" t="s">
        <v>94</v>
      </c>
      <c r="H3420" t="s">
        <v>588</v>
      </c>
    </row>
    <row r="3421" spans="2:8">
      <c r="B3421" t="s">
        <v>1596</v>
      </c>
      <c r="C3421" t="s">
        <v>787</v>
      </c>
      <c r="D3421">
        <v>3.0959041617403999E-12</v>
      </c>
      <c r="E3421" t="s">
        <v>94</v>
      </c>
      <c r="H3421" t="s">
        <v>588</v>
      </c>
    </row>
    <row r="3422" spans="2:8">
      <c r="B3422" t="s">
        <v>1596</v>
      </c>
      <c r="C3422" t="s">
        <v>787</v>
      </c>
      <c r="D3422">
        <v>3.7221071132027803E-11</v>
      </c>
      <c r="E3422" t="s">
        <v>94</v>
      </c>
      <c r="H3422" t="s">
        <v>588</v>
      </c>
    </row>
    <row r="3423" spans="2:8">
      <c r="B3423" t="s">
        <v>1596</v>
      </c>
      <c r="C3423" t="s">
        <v>787</v>
      </c>
      <c r="D3423">
        <v>4.2752358137758097E-5</v>
      </c>
      <c r="E3423" t="s">
        <v>94</v>
      </c>
      <c r="H3423" t="s">
        <v>588</v>
      </c>
    </row>
    <row r="3424" spans="2:8">
      <c r="B3424" t="s">
        <v>1596</v>
      </c>
      <c r="C3424" t="s">
        <v>787</v>
      </c>
      <c r="D3424">
        <v>1.7797702772184E-10</v>
      </c>
      <c r="E3424" t="s">
        <v>94</v>
      </c>
      <c r="H3424" t="s">
        <v>588</v>
      </c>
    </row>
    <row r="3425" spans="2:8">
      <c r="B3425" t="s">
        <v>1596</v>
      </c>
      <c r="C3425" t="s">
        <v>787</v>
      </c>
      <c r="D3425">
        <v>9.9926182151338694E-11</v>
      </c>
      <c r="E3425" t="s">
        <v>94</v>
      </c>
      <c r="H3425" t="s">
        <v>588</v>
      </c>
    </row>
    <row r="3426" spans="2:8">
      <c r="B3426" t="s">
        <v>1596</v>
      </c>
      <c r="C3426" t="s">
        <v>787</v>
      </c>
      <c r="D3426">
        <v>7.1651922935350896E-11</v>
      </c>
      <c r="E3426" t="s">
        <v>94</v>
      </c>
      <c r="H3426" t="s">
        <v>588</v>
      </c>
    </row>
    <row r="3427" spans="2:8">
      <c r="B3427" t="s">
        <v>1596</v>
      </c>
      <c r="C3427" t="s">
        <v>787</v>
      </c>
      <c r="D3427">
        <v>5.2114800980151797E-12</v>
      </c>
      <c r="E3427" t="s">
        <v>94</v>
      </c>
      <c r="H3427" t="s">
        <v>588</v>
      </c>
    </row>
    <row r="3428" spans="2:8">
      <c r="B3428" t="s">
        <v>1596</v>
      </c>
      <c r="C3428" t="s">
        <v>787</v>
      </c>
      <c r="D3428">
        <v>1.24559450797015E-11</v>
      </c>
      <c r="E3428" t="s">
        <v>94</v>
      </c>
      <c r="H3428" t="s">
        <v>588</v>
      </c>
    </row>
    <row r="3429" spans="2:8">
      <c r="B3429" t="s">
        <v>1596</v>
      </c>
      <c r="C3429" t="s">
        <v>787</v>
      </c>
      <c r="D3429">
        <v>7.5995799670836204E-12</v>
      </c>
      <c r="E3429" t="s">
        <v>94</v>
      </c>
      <c r="H3429" t="s">
        <v>588</v>
      </c>
    </row>
    <row r="3430" spans="2:8">
      <c r="B3430" t="s">
        <v>1596</v>
      </c>
      <c r="C3430" t="s">
        <v>787</v>
      </c>
      <c r="D3430">
        <v>1.7915639115391299E-11</v>
      </c>
      <c r="E3430" t="s">
        <v>94</v>
      </c>
      <c r="H3430" t="s">
        <v>588</v>
      </c>
    </row>
    <row r="3431" spans="2:8">
      <c r="B3431" t="s">
        <v>1596</v>
      </c>
      <c r="C3431" t="s">
        <v>787</v>
      </c>
      <c r="D3431">
        <v>2.0497098193566502E-11</v>
      </c>
      <c r="E3431" t="s">
        <v>94</v>
      </c>
      <c r="H3431" t="s">
        <v>588</v>
      </c>
    </row>
    <row r="3432" spans="2:8">
      <c r="B3432" t="s">
        <v>1596</v>
      </c>
      <c r="C3432" t="s">
        <v>787</v>
      </c>
      <c r="D3432">
        <v>3.0830717725602102E-11</v>
      </c>
      <c r="E3432" t="s">
        <v>94</v>
      </c>
      <c r="H3432" t="s">
        <v>588</v>
      </c>
    </row>
    <row r="3433" spans="2:8">
      <c r="B3433" t="s">
        <v>1596</v>
      </c>
      <c r="C3433" t="s">
        <v>787</v>
      </c>
      <c r="D3433">
        <v>2.6809828786379599E-12</v>
      </c>
      <c r="E3433" t="s">
        <v>94</v>
      </c>
      <c r="H3433" t="s">
        <v>588</v>
      </c>
    </row>
    <row r="3434" spans="2:8">
      <c r="B3434" t="s">
        <v>1596</v>
      </c>
      <c r="C3434" t="s">
        <v>787</v>
      </c>
      <c r="D3434">
        <v>1.73431187502792E-11</v>
      </c>
      <c r="E3434" t="s">
        <v>94</v>
      </c>
      <c r="H3434" t="s">
        <v>588</v>
      </c>
    </row>
    <row r="3435" spans="2:8">
      <c r="B3435" t="s">
        <v>1596</v>
      </c>
      <c r="C3435" t="s">
        <v>787</v>
      </c>
      <c r="D3435">
        <v>1.84843305453176E-11</v>
      </c>
      <c r="E3435" t="s">
        <v>94</v>
      </c>
      <c r="H3435" t="s">
        <v>588</v>
      </c>
    </row>
    <row r="3436" spans="2:8">
      <c r="B3436" t="s">
        <v>1596</v>
      </c>
      <c r="C3436" t="s">
        <v>787</v>
      </c>
      <c r="D3436">
        <v>1.0890475944722399E-11</v>
      </c>
      <c r="E3436" t="s">
        <v>94</v>
      </c>
      <c r="H3436" t="s">
        <v>588</v>
      </c>
    </row>
    <row r="3437" spans="2:8">
      <c r="B3437" t="s">
        <v>1596</v>
      </c>
      <c r="C3437" t="s">
        <v>787</v>
      </c>
      <c r="D3437">
        <v>4.18264292500705E-6</v>
      </c>
      <c r="E3437" t="s">
        <v>94</v>
      </c>
      <c r="H3437" t="s">
        <v>588</v>
      </c>
    </row>
    <row r="3438" spans="2:8">
      <c r="B3438" t="s">
        <v>1596</v>
      </c>
      <c r="C3438" t="s">
        <v>787</v>
      </c>
      <c r="D3438">
        <v>2.5644749158676602E-12</v>
      </c>
      <c r="E3438" t="s">
        <v>94</v>
      </c>
      <c r="H3438" t="s">
        <v>588</v>
      </c>
    </row>
    <row r="3439" spans="2:8">
      <c r="B3439" t="s">
        <v>1596</v>
      </c>
      <c r="C3439" t="s">
        <v>787</v>
      </c>
      <c r="D3439">
        <v>9.7958590984318692E-12</v>
      </c>
      <c r="E3439" t="s">
        <v>94</v>
      </c>
      <c r="H3439" t="s">
        <v>588</v>
      </c>
    </row>
    <row r="3440" spans="2:8">
      <c r="B3440" t="s">
        <v>1596</v>
      </c>
      <c r="C3440" t="s">
        <v>787</v>
      </c>
      <c r="D3440">
        <v>2.2655312897549901E-10</v>
      </c>
      <c r="E3440" t="s">
        <v>94</v>
      </c>
      <c r="H3440" t="s">
        <v>588</v>
      </c>
    </row>
    <row r="3441" spans="2:8">
      <c r="B3441" t="s">
        <v>1596</v>
      </c>
      <c r="C3441" t="s">
        <v>787</v>
      </c>
      <c r="D3441">
        <v>4.4828678079655302E-12</v>
      </c>
      <c r="E3441" t="s">
        <v>94</v>
      </c>
      <c r="H3441" t="s">
        <v>588</v>
      </c>
    </row>
    <row r="3442" spans="2:8">
      <c r="B3442" t="s">
        <v>1596</v>
      </c>
      <c r="C3442" t="s">
        <v>787</v>
      </c>
      <c r="D3442">
        <v>7.3687462507917196E-12</v>
      </c>
      <c r="E3442" t="s">
        <v>94</v>
      </c>
      <c r="H3442" t="s">
        <v>588</v>
      </c>
    </row>
    <row r="3443" spans="2:8">
      <c r="B3443" t="s">
        <v>1596</v>
      </c>
      <c r="C3443" t="s">
        <v>787</v>
      </c>
      <c r="D3443">
        <v>1.35691021344229E-8</v>
      </c>
      <c r="E3443" t="s">
        <v>94</v>
      </c>
      <c r="H3443" t="s">
        <v>588</v>
      </c>
    </row>
    <row r="3444" spans="2:8">
      <c r="B3444" t="s">
        <v>1596</v>
      </c>
      <c r="C3444" t="s">
        <v>787</v>
      </c>
      <c r="D3444">
        <v>2.43105462965805E-11</v>
      </c>
      <c r="E3444" t="s">
        <v>94</v>
      </c>
      <c r="H3444" t="s">
        <v>588</v>
      </c>
    </row>
    <row r="3445" spans="2:8">
      <c r="B3445" t="s">
        <v>1596</v>
      </c>
      <c r="C3445" t="s">
        <v>787</v>
      </c>
      <c r="D3445">
        <v>2.10866510429758E-10</v>
      </c>
      <c r="E3445" t="s">
        <v>94</v>
      </c>
      <c r="H3445" t="s">
        <v>588</v>
      </c>
    </row>
    <row r="3446" spans="2:8">
      <c r="B3446" t="s">
        <v>1596</v>
      </c>
      <c r="C3446" t="s">
        <v>787</v>
      </c>
      <c r="D3446">
        <v>7.84268950876127E-6</v>
      </c>
      <c r="E3446" t="s">
        <v>94</v>
      </c>
      <c r="H3446" t="s">
        <v>588</v>
      </c>
    </row>
    <row r="3447" spans="2:8">
      <c r="B3447" t="s">
        <v>1596</v>
      </c>
      <c r="C3447" t="s">
        <v>787</v>
      </c>
      <c r="D3447">
        <v>9.1289855877462801E-5</v>
      </c>
      <c r="E3447" t="s">
        <v>94</v>
      </c>
      <c r="H3447" t="s">
        <v>588</v>
      </c>
    </row>
    <row r="3448" spans="2:8">
      <c r="B3448" t="s">
        <v>1596</v>
      </c>
      <c r="C3448" t="s">
        <v>787</v>
      </c>
      <c r="D3448">
        <v>2.0244607051207E-12</v>
      </c>
      <c r="E3448" t="s">
        <v>94</v>
      </c>
      <c r="H3448" t="s">
        <v>588</v>
      </c>
    </row>
    <row r="3449" spans="2:8">
      <c r="B3449" t="s">
        <v>1596</v>
      </c>
      <c r="C3449" t="s">
        <v>787</v>
      </c>
      <c r="D3449">
        <v>2.0003929389735799E-11</v>
      </c>
      <c r="E3449" t="s">
        <v>94</v>
      </c>
      <c r="H3449" t="s">
        <v>588</v>
      </c>
    </row>
    <row r="3450" spans="2:8">
      <c r="B3450" t="s">
        <v>1596</v>
      </c>
      <c r="C3450" t="s">
        <v>787</v>
      </c>
      <c r="D3450">
        <v>2.7093029237268201E-6</v>
      </c>
      <c r="E3450" t="s">
        <v>94</v>
      </c>
      <c r="H3450" t="s">
        <v>588</v>
      </c>
    </row>
    <row r="3451" spans="2:8">
      <c r="B3451" t="s">
        <v>1596</v>
      </c>
      <c r="C3451" t="s">
        <v>787</v>
      </c>
      <c r="D3451">
        <v>7.9705400679476105E-13</v>
      </c>
      <c r="E3451" t="s">
        <v>94</v>
      </c>
      <c r="H3451" t="s">
        <v>588</v>
      </c>
    </row>
    <row r="3452" spans="2:8">
      <c r="B3452" t="s">
        <v>1596</v>
      </c>
      <c r="C3452" t="s">
        <v>787</v>
      </c>
      <c r="D3452">
        <v>2.7368749005619301E-12</v>
      </c>
      <c r="E3452" t="s">
        <v>94</v>
      </c>
      <c r="H3452" t="s">
        <v>588</v>
      </c>
    </row>
    <row r="3453" spans="2:8">
      <c r="B3453" t="s">
        <v>1596</v>
      </c>
      <c r="C3453" t="s">
        <v>787</v>
      </c>
      <c r="D3453">
        <v>3.0764092628143602E-6</v>
      </c>
      <c r="E3453" t="s">
        <v>94</v>
      </c>
      <c r="H3453" t="s">
        <v>588</v>
      </c>
    </row>
    <row r="3454" spans="2:8">
      <c r="B3454" t="s">
        <v>1596</v>
      </c>
      <c r="C3454" t="s">
        <v>787</v>
      </c>
      <c r="D3454">
        <v>3.8309567857848497E-12</v>
      </c>
      <c r="E3454" t="s">
        <v>94</v>
      </c>
      <c r="H3454" t="s">
        <v>588</v>
      </c>
    </row>
    <row r="3455" spans="2:8">
      <c r="B3455" t="s">
        <v>1596</v>
      </c>
      <c r="C3455" t="s">
        <v>787</v>
      </c>
      <c r="D3455">
        <v>7.1750785215680597E-12</v>
      </c>
      <c r="E3455" t="s">
        <v>94</v>
      </c>
      <c r="H3455" t="s">
        <v>588</v>
      </c>
    </row>
    <row r="3456" spans="2:8">
      <c r="B3456" t="s">
        <v>4985</v>
      </c>
      <c r="C3456" t="s">
        <v>787</v>
      </c>
      <c r="D3456">
        <v>2.6217341513236E-12</v>
      </c>
      <c r="E3456" t="s">
        <v>94</v>
      </c>
      <c r="H3456" t="s">
        <v>588</v>
      </c>
    </row>
    <row r="3457" spans="2:8">
      <c r="B3457" t="s">
        <v>4985</v>
      </c>
      <c r="C3457" t="s">
        <v>787</v>
      </c>
      <c r="D3457">
        <v>2.7468794088993398E-10</v>
      </c>
      <c r="E3457" t="s">
        <v>94</v>
      </c>
      <c r="H3457" t="s">
        <v>588</v>
      </c>
    </row>
    <row r="3458" spans="2:8">
      <c r="B3458" t="s">
        <v>4985</v>
      </c>
      <c r="C3458" t="s">
        <v>787</v>
      </c>
      <c r="D3458">
        <v>3.4006926549619102E-11</v>
      </c>
      <c r="E3458" t="s">
        <v>94</v>
      </c>
      <c r="H3458" t="s">
        <v>588</v>
      </c>
    </row>
    <row r="3459" spans="2:8">
      <c r="B3459" t="s">
        <v>4985</v>
      </c>
      <c r="C3459" t="s">
        <v>787</v>
      </c>
      <c r="D3459">
        <v>3.9238033597665102E-11</v>
      </c>
      <c r="E3459" t="s">
        <v>94</v>
      </c>
      <c r="H3459" t="s">
        <v>588</v>
      </c>
    </row>
    <row r="3460" spans="2:8">
      <c r="B3460" t="s">
        <v>4985</v>
      </c>
      <c r="C3460" t="s">
        <v>787</v>
      </c>
      <c r="D3460">
        <v>1.0282863968148801E-12</v>
      </c>
      <c r="E3460" t="s">
        <v>94</v>
      </c>
      <c r="H3460" t="s">
        <v>588</v>
      </c>
    </row>
    <row r="3461" spans="2:8">
      <c r="B3461" t="s">
        <v>4985</v>
      </c>
      <c r="C3461" t="s">
        <v>787</v>
      </c>
      <c r="D3461">
        <v>1.08287010056956E-12</v>
      </c>
      <c r="E3461" t="s">
        <v>94</v>
      </c>
      <c r="H3461" t="s">
        <v>588</v>
      </c>
    </row>
    <row r="3462" spans="2:8">
      <c r="B3462" t="s">
        <v>4985</v>
      </c>
      <c r="C3462" t="s">
        <v>787</v>
      </c>
      <c r="D3462">
        <v>4.3746715283173299E-13</v>
      </c>
      <c r="E3462" t="s">
        <v>94</v>
      </c>
      <c r="H3462" t="s">
        <v>588</v>
      </c>
    </row>
    <row r="3463" spans="2:8">
      <c r="B3463" t="s">
        <v>4985</v>
      </c>
      <c r="C3463" t="s">
        <v>787</v>
      </c>
      <c r="D3463">
        <v>1.98277488206032E-13</v>
      </c>
      <c r="E3463" t="s">
        <v>94</v>
      </c>
      <c r="H3463" t="s">
        <v>588</v>
      </c>
    </row>
    <row r="3464" spans="2:8">
      <c r="B3464" t="s">
        <v>4988</v>
      </c>
      <c r="C3464" t="s">
        <v>2661</v>
      </c>
      <c r="D3464">
        <v>4.8443797005564101E-4</v>
      </c>
      <c r="E3464" t="s">
        <v>94</v>
      </c>
    </row>
    <row r="3465" spans="2:8">
      <c r="B3465" t="s">
        <v>4988</v>
      </c>
      <c r="C3465" t="s">
        <v>2661</v>
      </c>
      <c r="D3465">
        <v>1.4684792504928801E-4</v>
      </c>
      <c r="E3465" t="s">
        <v>94</v>
      </c>
    </row>
    <row r="3466" spans="2:8">
      <c r="B3466" t="s">
        <v>4988</v>
      </c>
      <c r="C3466" t="s">
        <v>2661</v>
      </c>
      <c r="D3466">
        <v>1.4579363225406199E-6</v>
      </c>
      <c r="E3466" t="s">
        <v>94</v>
      </c>
    </row>
    <row r="3467" spans="2:8">
      <c r="B3467" t="s">
        <v>4988</v>
      </c>
      <c r="C3467" t="s">
        <v>2661</v>
      </c>
      <c r="D3467">
        <v>2.5693880693221302E-5</v>
      </c>
      <c r="E3467" t="s">
        <v>94</v>
      </c>
    </row>
    <row r="3468" spans="2:8">
      <c r="B3468" t="s">
        <v>4991</v>
      </c>
      <c r="C3468" t="s">
        <v>787</v>
      </c>
      <c r="D3468">
        <v>1.4195978828842901E-3</v>
      </c>
      <c r="E3468" t="s">
        <v>94</v>
      </c>
      <c r="H3468" t="s">
        <v>588</v>
      </c>
    </row>
    <row r="3469" spans="2:8">
      <c r="B3469" t="s">
        <v>4991</v>
      </c>
      <c r="C3469" t="s">
        <v>787</v>
      </c>
      <c r="D3469">
        <v>6.7129140494663999E-4</v>
      </c>
      <c r="E3469" t="s">
        <v>94</v>
      </c>
    </row>
    <row r="3470" spans="2:8">
      <c r="B3470" t="s">
        <v>4991</v>
      </c>
      <c r="C3470" t="s">
        <v>787</v>
      </c>
      <c r="D3470">
        <v>3.7694543168912602E-4</v>
      </c>
      <c r="E3470" t="s">
        <v>94</v>
      </c>
    </row>
    <row r="3471" spans="2:8">
      <c r="B3471" t="s">
        <v>1599</v>
      </c>
      <c r="C3471" t="s">
        <v>787</v>
      </c>
      <c r="D3471">
        <v>1.1235311127708899E-7</v>
      </c>
      <c r="E3471" t="s">
        <v>94</v>
      </c>
      <c r="H3471" t="s">
        <v>588</v>
      </c>
    </row>
    <row r="3472" spans="2:8">
      <c r="B3472" t="s">
        <v>1599</v>
      </c>
      <c r="C3472" t="s">
        <v>787</v>
      </c>
      <c r="D3472">
        <v>2.7767614789911298E-9</v>
      </c>
      <c r="E3472" t="s">
        <v>94</v>
      </c>
      <c r="H3472" t="s">
        <v>588</v>
      </c>
    </row>
    <row r="3473" spans="2:8">
      <c r="B3473" t="s">
        <v>1599</v>
      </c>
      <c r="C3473" t="s">
        <v>787</v>
      </c>
      <c r="D3473">
        <v>1.6495481623815701E-9</v>
      </c>
      <c r="E3473" t="s">
        <v>94</v>
      </c>
      <c r="H3473" t="s">
        <v>588</v>
      </c>
    </row>
    <row r="3474" spans="2:8">
      <c r="B3474" t="s">
        <v>1599</v>
      </c>
      <c r="C3474" t="s">
        <v>787</v>
      </c>
      <c r="D3474">
        <v>1.42847134465157E-9</v>
      </c>
      <c r="E3474" t="s">
        <v>94</v>
      </c>
      <c r="H3474" t="s">
        <v>588</v>
      </c>
    </row>
    <row r="3475" spans="2:8">
      <c r="B3475" t="s">
        <v>1599</v>
      </c>
      <c r="C3475" t="s">
        <v>787</v>
      </c>
      <c r="D3475">
        <v>9.8487523808687202E-9</v>
      </c>
      <c r="E3475" t="s">
        <v>94</v>
      </c>
      <c r="H3475" t="s">
        <v>588</v>
      </c>
    </row>
    <row r="3476" spans="2:8">
      <c r="B3476" t="s">
        <v>1599</v>
      </c>
      <c r="C3476" t="s">
        <v>787</v>
      </c>
      <c r="D3476">
        <v>5.3242297413006601E-8</v>
      </c>
      <c r="E3476" t="s">
        <v>94</v>
      </c>
      <c r="H3476" t="s">
        <v>588</v>
      </c>
    </row>
    <row r="3477" spans="2:8">
      <c r="B3477" t="s">
        <v>1599</v>
      </c>
      <c r="C3477" t="s">
        <v>787</v>
      </c>
      <c r="D3477">
        <v>1.35926572757272E-8</v>
      </c>
      <c r="E3477" t="s">
        <v>94</v>
      </c>
      <c r="H3477" t="s">
        <v>588</v>
      </c>
    </row>
    <row r="3478" spans="2:8">
      <c r="B3478" t="s">
        <v>1599</v>
      </c>
      <c r="C3478" t="s">
        <v>787</v>
      </c>
      <c r="D3478">
        <v>5.28566929623716E-7</v>
      </c>
      <c r="E3478" t="s">
        <v>94</v>
      </c>
      <c r="H3478" t="s">
        <v>588</v>
      </c>
    </row>
    <row r="3479" spans="2:8">
      <c r="B3479" t="s">
        <v>1599</v>
      </c>
      <c r="C3479" t="s">
        <v>787</v>
      </c>
      <c r="D3479">
        <v>6.6367304165503697E-9</v>
      </c>
      <c r="E3479" t="s">
        <v>94</v>
      </c>
      <c r="H3479" t="s">
        <v>588</v>
      </c>
    </row>
    <row r="3480" spans="2:8">
      <c r="B3480" t="s">
        <v>1599</v>
      </c>
      <c r="C3480" t="s">
        <v>787</v>
      </c>
      <c r="D3480">
        <v>1.2071119713642699E-7</v>
      </c>
      <c r="E3480" t="s">
        <v>94</v>
      </c>
      <c r="H3480" t="s">
        <v>588</v>
      </c>
    </row>
    <row r="3481" spans="2:8">
      <c r="B3481" t="s">
        <v>1599</v>
      </c>
      <c r="C3481" t="s">
        <v>787</v>
      </c>
      <c r="D3481">
        <v>2.0411961727530102E-9</v>
      </c>
      <c r="E3481" t="s">
        <v>94</v>
      </c>
      <c r="H3481" t="s">
        <v>588</v>
      </c>
    </row>
    <row r="3482" spans="2:8">
      <c r="B3482" t="s">
        <v>1599</v>
      </c>
      <c r="C3482" t="s">
        <v>787</v>
      </c>
      <c r="D3482">
        <v>9.4829059197896897E-8</v>
      </c>
      <c r="E3482" t="s">
        <v>94</v>
      </c>
      <c r="H3482" t="s">
        <v>588</v>
      </c>
    </row>
    <row r="3483" spans="2:8">
      <c r="B3483" t="s">
        <v>1599</v>
      </c>
      <c r="C3483" t="s">
        <v>787</v>
      </c>
      <c r="D3483">
        <v>4.0491799857678396E-9</v>
      </c>
      <c r="E3483" t="s">
        <v>94</v>
      </c>
      <c r="H3483" t="s">
        <v>588</v>
      </c>
    </row>
    <row r="3484" spans="2:8">
      <c r="B3484" t="s">
        <v>1599</v>
      </c>
      <c r="C3484" t="s">
        <v>787</v>
      </c>
      <c r="D3484">
        <v>9.5457443243564997E-9</v>
      </c>
      <c r="E3484" t="s">
        <v>94</v>
      </c>
      <c r="H3484" t="s">
        <v>588</v>
      </c>
    </row>
    <row r="3485" spans="2:8">
      <c r="B3485" t="s">
        <v>1599</v>
      </c>
      <c r="C3485" t="s">
        <v>787</v>
      </c>
      <c r="D3485">
        <v>1.6427108564168899E-8</v>
      </c>
      <c r="E3485" t="s">
        <v>94</v>
      </c>
      <c r="H3485" t="s">
        <v>588</v>
      </c>
    </row>
    <row r="3486" spans="2:8">
      <c r="B3486" t="s">
        <v>1599</v>
      </c>
      <c r="C3486" t="s">
        <v>787</v>
      </c>
      <c r="D3486">
        <v>9.6782543999913696E-8</v>
      </c>
      <c r="E3486" t="s">
        <v>94</v>
      </c>
      <c r="H3486" t="s">
        <v>588</v>
      </c>
    </row>
    <row r="3487" spans="2:8">
      <c r="B3487" t="s">
        <v>1599</v>
      </c>
      <c r="C3487" t="s">
        <v>787</v>
      </c>
      <c r="D3487">
        <v>1.9152737648108799E-5</v>
      </c>
      <c r="E3487" t="s">
        <v>94</v>
      </c>
      <c r="H3487" t="s">
        <v>588</v>
      </c>
    </row>
    <row r="3488" spans="2:8">
      <c r="B3488" t="s">
        <v>1599</v>
      </c>
      <c r="C3488" t="s">
        <v>787</v>
      </c>
      <c r="D3488">
        <v>1.3407975845347101E-4</v>
      </c>
      <c r="E3488" t="s">
        <v>94</v>
      </c>
      <c r="H3488" t="s">
        <v>588</v>
      </c>
    </row>
    <row r="3489" spans="2:8">
      <c r="B3489" t="s">
        <v>1599</v>
      </c>
      <c r="C3489" t="s">
        <v>787</v>
      </c>
      <c r="D3489">
        <v>1.0786656373975901E-9</v>
      </c>
      <c r="E3489" t="s">
        <v>94</v>
      </c>
      <c r="H3489" t="s">
        <v>588</v>
      </c>
    </row>
    <row r="3490" spans="2:8">
      <c r="B3490" t="s">
        <v>1599</v>
      </c>
      <c r="C3490" t="s">
        <v>787</v>
      </c>
      <c r="D3490">
        <v>7.22976652488823E-6</v>
      </c>
      <c r="E3490" t="s">
        <v>94</v>
      </c>
      <c r="H3490" t="s">
        <v>588</v>
      </c>
    </row>
    <row r="3491" spans="2:8">
      <c r="B3491" t="s">
        <v>1599</v>
      </c>
      <c r="C3491" t="s">
        <v>787</v>
      </c>
      <c r="D3491">
        <v>3.9261880219885198E-9</v>
      </c>
      <c r="E3491" t="s">
        <v>94</v>
      </c>
      <c r="H3491" t="s">
        <v>588</v>
      </c>
    </row>
    <row r="3492" spans="2:8">
      <c r="B3492" t="s">
        <v>1599</v>
      </c>
      <c r="C3492" t="s">
        <v>787</v>
      </c>
      <c r="D3492">
        <v>1.9831992942958101E-8</v>
      </c>
      <c r="E3492" t="s">
        <v>94</v>
      </c>
      <c r="H3492" t="s">
        <v>588</v>
      </c>
    </row>
    <row r="3493" spans="2:8">
      <c r="B3493" t="s">
        <v>1599</v>
      </c>
      <c r="C3493" t="s">
        <v>787</v>
      </c>
      <c r="D3493">
        <v>5.8026229636187104E-9</v>
      </c>
      <c r="E3493" t="s">
        <v>94</v>
      </c>
      <c r="H3493" t="s">
        <v>588</v>
      </c>
    </row>
    <row r="3494" spans="2:8">
      <c r="B3494" t="s">
        <v>1599</v>
      </c>
      <c r="C3494" t="s">
        <v>787</v>
      </c>
      <c r="D3494">
        <v>1.295305502851E-8</v>
      </c>
      <c r="E3494" t="s">
        <v>94</v>
      </c>
      <c r="H3494" t="s">
        <v>588</v>
      </c>
    </row>
    <row r="3495" spans="2:8">
      <c r="B3495" t="s">
        <v>1599</v>
      </c>
      <c r="C3495" t="s">
        <v>787</v>
      </c>
      <c r="D3495">
        <v>5.0192371481343598E-7</v>
      </c>
      <c r="E3495" t="s">
        <v>94</v>
      </c>
      <c r="H3495" t="s">
        <v>588</v>
      </c>
    </row>
    <row r="3496" spans="2:8">
      <c r="B3496" t="s">
        <v>1599</v>
      </c>
      <c r="C3496" t="s">
        <v>787</v>
      </c>
      <c r="D3496">
        <v>9.2406961488129195E-9</v>
      </c>
      <c r="E3496" t="s">
        <v>94</v>
      </c>
      <c r="H3496" t="s">
        <v>588</v>
      </c>
    </row>
    <row r="3497" spans="2:8">
      <c r="B3497" t="s">
        <v>1599</v>
      </c>
      <c r="C3497" t="s">
        <v>787</v>
      </c>
      <c r="D3497">
        <v>5.2193932791780201E-9</v>
      </c>
      <c r="E3497" t="s">
        <v>94</v>
      </c>
      <c r="H3497" t="s">
        <v>588</v>
      </c>
    </row>
    <row r="3498" spans="2:8">
      <c r="B3498" t="s">
        <v>1599</v>
      </c>
      <c r="C3498" t="s">
        <v>787</v>
      </c>
      <c r="D3498">
        <v>1.4582515242824099E-9</v>
      </c>
      <c r="E3498" t="s">
        <v>94</v>
      </c>
      <c r="H3498" t="s">
        <v>588</v>
      </c>
    </row>
    <row r="3499" spans="2:8">
      <c r="B3499" t="s">
        <v>1599</v>
      </c>
      <c r="C3499" t="s">
        <v>787</v>
      </c>
      <c r="D3499">
        <v>2.55509931751825E-8</v>
      </c>
      <c r="E3499" t="s">
        <v>94</v>
      </c>
      <c r="H3499" t="s">
        <v>588</v>
      </c>
    </row>
    <row r="3500" spans="2:8">
      <c r="B3500" t="s">
        <v>1599</v>
      </c>
      <c r="C3500" t="s">
        <v>787</v>
      </c>
      <c r="D3500">
        <v>1.47505268422209E-9</v>
      </c>
      <c r="E3500" t="s">
        <v>94</v>
      </c>
      <c r="H3500" t="s">
        <v>588</v>
      </c>
    </row>
    <row r="3501" spans="2:8">
      <c r="B3501" t="s">
        <v>1599</v>
      </c>
      <c r="C3501" t="s">
        <v>787</v>
      </c>
      <c r="D3501">
        <v>1.0785963731942501E-8</v>
      </c>
      <c r="E3501" t="s">
        <v>94</v>
      </c>
      <c r="H3501" t="s">
        <v>588</v>
      </c>
    </row>
    <row r="3502" spans="2:8">
      <c r="B3502" t="s">
        <v>1599</v>
      </c>
      <c r="C3502" t="s">
        <v>787</v>
      </c>
      <c r="D3502">
        <v>4.2468335695768099E-10</v>
      </c>
      <c r="E3502" t="s">
        <v>94</v>
      </c>
      <c r="H3502" t="s">
        <v>588</v>
      </c>
    </row>
    <row r="3503" spans="2:8">
      <c r="B3503" t="s">
        <v>1599</v>
      </c>
      <c r="C3503" t="s">
        <v>787</v>
      </c>
      <c r="D3503">
        <v>3.81773115814639E-8</v>
      </c>
      <c r="E3503" t="s">
        <v>94</v>
      </c>
      <c r="H3503" t="s">
        <v>588</v>
      </c>
    </row>
    <row r="3504" spans="2:8">
      <c r="B3504" t="s">
        <v>1599</v>
      </c>
      <c r="C3504" t="s">
        <v>787</v>
      </c>
      <c r="D3504">
        <v>1.0658419395870301E-8</v>
      </c>
      <c r="E3504" t="s">
        <v>94</v>
      </c>
      <c r="H3504" t="s">
        <v>588</v>
      </c>
    </row>
    <row r="3505" spans="2:8">
      <c r="B3505" t="s">
        <v>1599</v>
      </c>
      <c r="C3505" t="s">
        <v>787</v>
      </c>
      <c r="D3505">
        <v>1.21798666588761E-8</v>
      </c>
      <c r="E3505" t="s">
        <v>94</v>
      </c>
      <c r="H3505" t="s">
        <v>588</v>
      </c>
    </row>
    <row r="3506" spans="2:8">
      <c r="B3506" t="s">
        <v>1599</v>
      </c>
      <c r="C3506" t="s">
        <v>787</v>
      </c>
      <c r="D3506">
        <v>1.09211877671126E-8</v>
      </c>
      <c r="E3506" t="s">
        <v>94</v>
      </c>
      <c r="H3506" t="s">
        <v>588</v>
      </c>
    </row>
    <row r="3507" spans="2:8">
      <c r="B3507" t="s">
        <v>1599</v>
      </c>
      <c r="C3507" t="s">
        <v>787</v>
      </c>
      <c r="D3507">
        <v>1.36639400444653E-9</v>
      </c>
      <c r="E3507" t="s">
        <v>94</v>
      </c>
      <c r="H3507" t="s">
        <v>588</v>
      </c>
    </row>
    <row r="3508" spans="2:8">
      <c r="B3508" t="s">
        <v>1599</v>
      </c>
      <c r="C3508" t="s">
        <v>787</v>
      </c>
      <c r="D3508">
        <v>3.8229987014657898E-9</v>
      </c>
      <c r="E3508" t="s">
        <v>94</v>
      </c>
      <c r="H3508" t="s">
        <v>588</v>
      </c>
    </row>
    <row r="3509" spans="2:8">
      <c r="B3509" t="s">
        <v>1599</v>
      </c>
      <c r="C3509" t="s">
        <v>787</v>
      </c>
      <c r="D3509">
        <v>1.5953719865508299E-8</v>
      </c>
      <c r="E3509" t="s">
        <v>94</v>
      </c>
      <c r="H3509" t="s">
        <v>588</v>
      </c>
    </row>
    <row r="3510" spans="2:8">
      <c r="B3510" t="s">
        <v>1599</v>
      </c>
      <c r="C3510" t="s">
        <v>787</v>
      </c>
      <c r="D3510">
        <v>2.38854498347004E-9</v>
      </c>
      <c r="E3510" t="s">
        <v>94</v>
      </c>
      <c r="H3510" t="s">
        <v>588</v>
      </c>
    </row>
    <row r="3511" spans="2:8">
      <c r="B3511" t="s">
        <v>1599</v>
      </c>
      <c r="C3511" t="s">
        <v>787</v>
      </c>
      <c r="D3511">
        <v>2.5035035052126701E-5</v>
      </c>
      <c r="E3511" t="s">
        <v>94</v>
      </c>
      <c r="H3511" t="s">
        <v>588</v>
      </c>
    </row>
    <row r="3512" spans="2:8">
      <c r="B3512" t="s">
        <v>1599</v>
      </c>
      <c r="C3512" t="s">
        <v>787</v>
      </c>
      <c r="D3512">
        <v>1.5847661751094801E-8</v>
      </c>
      <c r="E3512" t="s">
        <v>94</v>
      </c>
      <c r="H3512" t="s">
        <v>588</v>
      </c>
    </row>
    <row r="3513" spans="2:8">
      <c r="B3513" t="s">
        <v>1599</v>
      </c>
      <c r="C3513" t="s">
        <v>787</v>
      </c>
      <c r="D3513">
        <v>1.27971210021024E-6</v>
      </c>
      <c r="E3513" t="s">
        <v>94</v>
      </c>
      <c r="H3513" t="s">
        <v>588</v>
      </c>
    </row>
    <row r="3514" spans="2:8">
      <c r="B3514" t="s">
        <v>1599</v>
      </c>
      <c r="C3514" t="s">
        <v>787</v>
      </c>
      <c r="D3514">
        <v>2.1353500263962999E-7</v>
      </c>
      <c r="E3514" t="s">
        <v>94</v>
      </c>
      <c r="H3514" t="s">
        <v>588</v>
      </c>
    </row>
    <row r="3515" spans="2:8">
      <c r="B3515" t="s">
        <v>4996</v>
      </c>
      <c r="C3515" t="s">
        <v>787</v>
      </c>
      <c r="D3515">
        <v>5.2796757253940001E-5</v>
      </c>
      <c r="E3515" t="s">
        <v>94</v>
      </c>
      <c r="H3515" t="s">
        <v>588</v>
      </c>
    </row>
    <row r="3516" spans="2:8">
      <c r="B3516" t="s">
        <v>4996</v>
      </c>
      <c r="C3516" t="s">
        <v>787</v>
      </c>
      <c r="D3516">
        <v>1.5468683768712401E-7</v>
      </c>
      <c r="E3516" t="s">
        <v>94</v>
      </c>
      <c r="H3516" t="s">
        <v>588</v>
      </c>
    </row>
    <row r="3517" spans="2:8">
      <c r="B3517" t="s">
        <v>4996</v>
      </c>
      <c r="C3517" t="s">
        <v>787</v>
      </c>
      <c r="D3517">
        <v>3.6495605887203201E-7</v>
      </c>
      <c r="E3517" t="s">
        <v>94</v>
      </c>
      <c r="H3517" t="s">
        <v>588</v>
      </c>
    </row>
    <row r="3518" spans="2:8">
      <c r="B3518" t="s">
        <v>4996</v>
      </c>
      <c r="C3518" t="s">
        <v>787</v>
      </c>
      <c r="D3518">
        <v>9.7128684181221398E-5</v>
      </c>
      <c r="E3518" t="s">
        <v>94</v>
      </c>
      <c r="H3518" t="s">
        <v>588</v>
      </c>
    </row>
    <row r="3519" spans="2:8">
      <c r="B3519" t="s">
        <v>4996</v>
      </c>
      <c r="C3519" t="s">
        <v>787</v>
      </c>
      <c r="D3519">
        <v>1.38744298743237E-5</v>
      </c>
      <c r="E3519" t="s">
        <v>94</v>
      </c>
      <c r="H3519" t="s">
        <v>588</v>
      </c>
    </row>
    <row r="3520" spans="2:8">
      <c r="B3520" t="s">
        <v>4996</v>
      </c>
      <c r="C3520" t="s">
        <v>787</v>
      </c>
      <c r="D3520">
        <v>9.2703592143882198E-7</v>
      </c>
      <c r="E3520" t="s">
        <v>94</v>
      </c>
      <c r="H3520" t="s">
        <v>588</v>
      </c>
    </row>
    <row r="3521" spans="2:8">
      <c r="B3521" t="s">
        <v>4996</v>
      </c>
      <c r="C3521" t="s">
        <v>787</v>
      </c>
      <c r="D3521">
        <v>3.82899036873456E-7</v>
      </c>
      <c r="E3521" t="s">
        <v>94</v>
      </c>
      <c r="H3521" t="s">
        <v>588</v>
      </c>
    </row>
    <row r="3522" spans="2:8">
      <c r="B3522" t="s">
        <v>4996</v>
      </c>
      <c r="C3522" t="s">
        <v>787</v>
      </c>
      <c r="D3522">
        <v>7.01102184166368E-8</v>
      </c>
      <c r="E3522" t="s">
        <v>94</v>
      </c>
      <c r="H3522" t="s">
        <v>588</v>
      </c>
    </row>
    <row r="3523" spans="2:8">
      <c r="B3523" t="s">
        <v>4999</v>
      </c>
      <c r="C3523" t="s">
        <v>787</v>
      </c>
      <c r="D3523">
        <v>1.31845884262324E-5</v>
      </c>
      <c r="E3523" t="s">
        <v>94</v>
      </c>
      <c r="H3523" t="s">
        <v>588</v>
      </c>
    </row>
    <row r="3524" spans="2:8">
      <c r="B3524" t="s">
        <v>4999</v>
      </c>
      <c r="C3524" t="s">
        <v>787</v>
      </c>
      <c r="D3524">
        <v>1.5677042045157699E-5</v>
      </c>
      <c r="E3524" t="s">
        <v>94</v>
      </c>
      <c r="H3524" t="s">
        <v>588</v>
      </c>
    </row>
    <row r="3525" spans="2:8">
      <c r="B3525" t="s">
        <v>4999</v>
      </c>
      <c r="C3525" t="s">
        <v>787</v>
      </c>
      <c r="D3525">
        <v>3.9001921778655502E-6</v>
      </c>
      <c r="E3525" t="s">
        <v>94</v>
      </c>
      <c r="H3525" t="s">
        <v>588</v>
      </c>
    </row>
    <row r="3526" spans="2:8">
      <c r="B3526" t="s">
        <v>5001</v>
      </c>
      <c r="C3526" t="s">
        <v>787</v>
      </c>
      <c r="D3526">
        <v>7.0829688007339196E-8</v>
      </c>
      <c r="E3526" t="s">
        <v>94</v>
      </c>
      <c r="H3526" t="s">
        <v>588</v>
      </c>
    </row>
    <row r="3527" spans="2:8">
      <c r="B3527" t="s">
        <v>5001</v>
      </c>
      <c r="C3527" t="s">
        <v>787</v>
      </c>
      <c r="D3527">
        <v>2.9255197876221001E-8</v>
      </c>
      <c r="E3527" t="s">
        <v>94</v>
      </c>
      <c r="H3527" t="s">
        <v>588</v>
      </c>
    </row>
    <row r="3528" spans="2:8">
      <c r="B3528" t="s">
        <v>5001</v>
      </c>
      <c r="C3528" t="s">
        <v>787</v>
      </c>
      <c r="D3528">
        <v>8.6143946226418208E-6</v>
      </c>
      <c r="E3528" t="s">
        <v>94</v>
      </c>
      <c r="H3528" t="s">
        <v>588</v>
      </c>
    </row>
    <row r="3529" spans="2:8">
      <c r="B3529" t="s">
        <v>5001</v>
      </c>
      <c r="C3529" t="s">
        <v>787</v>
      </c>
      <c r="D3529">
        <v>1.18187658092211E-8</v>
      </c>
      <c r="E3529" t="s">
        <v>94</v>
      </c>
      <c r="H3529" t="s">
        <v>588</v>
      </c>
    </row>
    <row r="3530" spans="2:8">
      <c r="B3530" t="s">
        <v>5001</v>
      </c>
      <c r="C3530" t="s">
        <v>787</v>
      </c>
      <c r="D3530">
        <v>2.77805454194577E-8</v>
      </c>
      <c r="E3530" t="s">
        <v>94</v>
      </c>
      <c r="H3530" t="s">
        <v>588</v>
      </c>
    </row>
    <row r="3531" spans="2:8">
      <c r="B3531" t="s">
        <v>5001</v>
      </c>
      <c r="C3531" t="s">
        <v>787</v>
      </c>
      <c r="D3531">
        <v>7.4210656113969203E-6</v>
      </c>
      <c r="E3531" t="s">
        <v>94</v>
      </c>
      <c r="H3531" t="s">
        <v>588</v>
      </c>
    </row>
    <row r="3532" spans="2:8">
      <c r="B3532" t="s">
        <v>5001</v>
      </c>
      <c r="C3532" t="s">
        <v>787</v>
      </c>
      <c r="D3532">
        <v>5.3567340614691702E-9</v>
      </c>
      <c r="E3532" t="s">
        <v>94</v>
      </c>
      <c r="H3532" t="s">
        <v>588</v>
      </c>
    </row>
    <row r="3533" spans="2:8">
      <c r="B3533" t="s">
        <v>5001</v>
      </c>
      <c r="C3533" t="s">
        <v>787</v>
      </c>
      <c r="D3533">
        <v>1.0600684574906299E-6</v>
      </c>
      <c r="E3533" t="s">
        <v>94</v>
      </c>
      <c r="H3533" t="s">
        <v>588</v>
      </c>
    </row>
    <row r="3534" spans="2:8">
      <c r="B3534" t="s">
        <v>5004</v>
      </c>
      <c r="C3534" t="s">
        <v>787</v>
      </c>
      <c r="D3534">
        <v>8.1044214728158404E-9</v>
      </c>
      <c r="E3534" t="s">
        <v>94</v>
      </c>
    </row>
    <row r="3535" spans="2:8">
      <c r="B3535" t="s">
        <v>5004</v>
      </c>
      <c r="C3535" t="s">
        <v>787</v>
      </c>
      <c r="D3535">
        <v>1.03322184455954E-5</v>
      </c>
      <c r="E3535" t="s">
        <v>94</v>
      </c>
    </row>
    <row r="3536" spans="2:8">
      <c r="B3536" t="s">
        <v>1603</v>
      </c>
      <c r="C3536" t="s">
        <v>787</v>
      </c>
      <c r="D3536">
        <v>9.8545853346202196E-6</v>
      </c>
      <c r="E3536" t="s">
        <v>94</v>
      </c>
    </row>
    <row r="3537" spans="2:8">
      <c r="B3537" t="s">
        <v>1603</v>
      </c>
      <c r="C3537" t="s">
        <v>787</v>
      </c>
      <c r="D3537">
        <v>5.2830612495217903E-7</v>
      </c>
      <c r="E3537" t="s">
        <v>94</v>
      </c>
    </row>
    <row r="3538" spans="2:8">
      <c r="B3538" t="s">
        <v>1603</v>
      </c>
      <c r="C3538" t="s">
        <v>787</v>
      </c>
      <c r="D3538">
        <v>4.5425010326349298E-4</v>
      </c>
      <c r="E3538" t="s">
        <v>94</v>
      </c>
      <c r="H3538" t="s">
        <v>588</v>
      </c>
    </row>
    <row r="3539" spans="2:8">
      <c r="B3539" t="s">
        <v>1603</v>
      </c>
      <c r="C3539" t="s">
        <v>787</v>
      </c>
      <c r="D3539">
        <v>4.4701331744711798E-7</v>
      </c>
      <c r="E3539" t="s">
        <v>94</v>
      </c>
    </row>
    <row r="3540" spans="2:8">
      <c r="B3540" t="s">
        <v>1603</v>
      </c>
      <c r="C3540" t="s">
        <v>787</v>
      </c>
      <c r="D3540">
        <v>6.9101472915855204E-8</v>
      </c>
      <c r="E3540" t="s">
        <v>94</v>
      </c>
    </row>
    <row r="3541" spans="2:8">
      <c r="B3541" t="s">
        <v>1603</v>
      </c>
      <c r="C3541" t="s">
        <v>787</v>
      </c>
      <c r="D3541">
        <v>3.6590087660414799E-6</v>
      </c>
      <c r="E3541" t="s">
        <v>94</v>
      </c>
    </row>
    <row r="3542" spans="2:8">
      <c r="B3542" t="s">
        <v>1603</v>
      </c>
      <c r="C3542" t="s">
        <v>787</v>
      </c>
      <c r="D3542">
        <v>1.95876733660491E-7</v>
      </c>
      <c r="E3542" t="s">
        <v>94</v>
      </c>
    </row>
    <row r="3543" spans="2:8">
      <c r="B3543" t="s">
        <v>1603</v>
      </c>
      <c r="C3543" t="s">
        <v>787</v>
      </c>
      <c r="D3543">
        <v>1.8468053084328201E-6</v>
      </c>
      <c r="E3543" t="s">
        <v>94</v>
      </c>
    </row>
    <row r="3544" spans="2:8">
      <c r="B3544" t="s">
        <v>1603</v>
      </c>
      <c r="C3544" t="s">
        <v>787</v>
      </c>
      <c r="D3544">
        <v>1.8992706873666499E-7</v>
      </c>
      <c r="E3544" t="s">
        <v>94</v>
      </c>
    </row>
    <row r="3545" spans="2:8">
      <c r="B3545" t="s">
        <v>1603</v>
      </c>
      <c r="C3545" t="s">
        <v>787</v>
      </c>
      <c r="D3545">
        <v>7.1354818204697298E-8</v>
      </c>
      <c r="E3545" t="s">
        <v>94</v>
      </c>
    </row>
    <row r="3546" spans="2:8">
      <c r="B3546" t="s">
        <v>1603</v>
      </c>
      <c r="C3546" t="s">
        <v>787</v>
      </c>
      <c r="D3546">
        <v>5.2179824682499297E-8</v>
      </c>
      <c r="E3546" t="s">
        <v>94</v>
      </c>
    </row>
    <row r="3547" spans="2:8">
      <c r="B3547" t="s">
        <v>1603</v>
      </c>
      <c r="C3547" t="s">
        <v>787</v>
      </c>
      <c r="D3547">
        <v>7.0542071835738706E-8</v>
      </c>
      <c r="E3547" t="s">
        <v>94</v>
      </c>
    </row>
    <row r="3548" spans="2:8">
      <c r="B3548" t="s">
        <v>1603</v>
      </c>
      <c r="C3548" t="s">
        <v>787</v>
      </c>
      <c r="D3548">
        <v>1.2360144776293999E-6</v>
      </c>
      <c r="E3548" t="s">
        <v>94</v>
      </c>
    </row>
    <row r="3549" spans="2:8">
      <c r="B3549" t="s">
        <v>1603</v>
      </c>
      <c r="C3549" t="s">
        <v>787</v>
      </c>
      <c r="D3549">
        <v>4.6176984603922399E-7</v>
      </c>
      <c r="E3549" t="s">
        <v>94</v>
      </c>
    </row>
    <row r="3550" spans="2:8">
      <c r="B3550" t="s">
        <v>1603</v>
      </c>
      <c r="C3550" t="s">
        <v>787</v>
      </c>
      <c r="D3550">
        <v>9.8741681151359605E-8</v>
      </c>
      <c r="E3550" t="s">
        <v>94</v>
      </c>
    </row>
    <row r="3551" spans="2:8">
      <c r="B3551" t="s">
        <v>1603</v>
      </c>
      <c r="C3551" t="s">
        <v>787</v>
      </c>
      <c r="D3551">
        <v>8.85881717195601E-6</v>
      </c>
      <c r="E3551" t="s">
        <v>94</v>
      </c>
    </row>
    <row r="3552" spans="2:8">
      <c r="B3552" t="s">
        <v>1603</v>
      </c>
      <c r="C3552" t="s">
        <v>787</v>
      </c>
      <c r="D3552">
        <v>3.4745709000256402E-6</v>
      </c>
      <c r="E3552" t="s">
        <v>94</v>
      </c>
    </row>
    <row r="3553" spans="2:5">
      <c r="B3553" t="s">
        <v>1603</v>
      </c>
      <c r="C3553" t="s">
        <v>787</v>
      </c>
      <c r="D3553">
        <v>4.7642768505626899E-7</v>
      </c>
      <c r="E3553" t="s">
        <v>94</v>
      </c>
    </row>
    <row r="3554" spans="2:5">
      <c r="B3554" t="s">
        <v>1603</v>
      </c>
      <c r="C3554" t="s">
        <v>787</v>
      </c>
      <c r="D3554">
        <v>2.5248512311339997E-7</v>
      </c>
      <c r="E3554" t="s">
        <v>94</v>
      </c>
    </row>
    <row r="3555" spans="2:5">
      <c r="B3555" t="s">
        <v>1603</v>
      </c>
      <c r="C3555" t="s">
        <v>787</v>
      </c>
      <c r="D3555">
        <v>7.9795935769374503E-8</v>
      </c>
      <c r="E3555" t="s">
        <v>94</v>
      </c>
    </row>
    <row r="3556" spans="2:5">
      <c r="B3556" t="s">
        <v>1603</v>
      </c>
      <c r="C3556" t="s">
        <v>787</v>
      </c>
      <c r="D3556">
        <v>6.2659652542661996E-7</v>
      </c>
      <c r="E3556" t="s">
        <v>94</v>
      </c>
    </row>
    <row r="3557" spans="2:5">
      <c r="B3557" t="s">
        <v>1603</v>
      </c>
      <c r="C3557" t="s">
        <v>787</v>
      </c>
      <c r="D3557">
        <v>6.6098517582569498E-8</v>
      </c>
      <c r="E3557" t="s">
        <v>94</v>
      </c>
    </row>
    <row r="3558" spans="2:5">
      <c r="B3558" t="s">
        <v>1603</v>
      </c>
      <c r="C3558" t="s">
        <v>787</v>
      </c>
      <c r="D3558">
        <v>5.21764740668296E-7</v>
      </c>
      <c r="E3558" t="s">
        <v>94</v>
      </c>
    </row>
    <row r="3559" spans="2:5">
      <c r="B3559" t="s">
        <v>1603</v>
      </c>
      <c r="C3559" t="s">
        <v>787</v>
      </c>
      <c r="D3559">
        <v>1.1554447843951399E-7</v>
      </c>
      <c r="E3559" t="s">
        <v>94</v>
      </c>
    </row>
    <row r="3560" spans="2:5">
      <c r="B3560" t="s">
        <v>1603</v>
      </c>
      <c r="C3560" t="s">
        <v>787</v>
      </c>
      <c r="D3560">
        <v>2.57556526173102E-6</v>
      </c>
      <c r="E3560" t="s">
        <v>94</v>
      </c>
    </row>
    <row r="3561" spans="2:5">
      <c r="B3561" t="s">
        <v>1603</v>
      </c>
      <c r="C3561" t="s">
        <v>787</v>
      </c>
      <c r="D3561">
        <v>2.8069852087878E-7</v>
      </c>
      <c r="E3561" t="s">
        <v>94</v>
      </c>
    </row>
    <row r="3562" spans="2:5">
      <c r="B3562" t="s">
        <v>1603</v>
      </c>
      <c r="C3562" t="s">
        <v>787</v>
      </c>
      <c r="D3562">
        <v>3.52348077955993E-4</v>
      </c>
      <c r="E3562" t="s">
        <v>94</v>
      </c>
    </row>
    <row r="3563" spans="2:5">
      <c r="B3563" t="s">
        <v>1603</v>
      </c>
      <c r="C3563" t="s">
        <v>787</v>
      </c>
      <c r="D3563">
        <v>2.0543811115639599E-8</v>
      </c>
      <c r="E3563" t="s">
        <v>94</v>
      </c>
    </row>
    <row r="3564" spans="2:5">
      <c r="B3564" t="s">
        <v>1603</v>
      </c>
      <c r="C3564" t="s">
        <v>787</v>
      </c>
      <c r="D3564">
        <v>6.6997792909136703E-7</v>
      </c>
      <c r="E3564" t="s">
        <v>94</v>
      </c>
    </row>
    <row r="3565" spans="2:5">
      <c r="B3565" t="s">
        <v>1603</v>
      </c>
      <c r="C3565" t="s">
        <v>787</v>
      </c>
      <c r="D3565">
        <v>7.7175194680748903E-7</v>
      </c>
      <c r="E3565" t="s">
        <v>94</v>
      </c>
    </row>
    <row r="3566" spans="2:5">
      <c r="B3566" t="s">
        <v>1603</v>
      </c>
      <c r="C3566" t="s">
        <v>787</v>
      </c>
      <c r="D3566">
        <v>4.5873007465878502E-6</v>
      </c>
      <c r="E3566" t="s">
        <v>94</v>
      </c>
    </row>
    <row r="3567" spans="2:5">
      <c r="B3567" t="s">
        <v>1603</v>
      </c>
      <c r="C3567" t="s">
        <v>787</v>
      </c>
      <c r="D3567">
        <v>7.6662144702666298E-7</v>
      </c>
      <c r="E3567" t="s">
        <v>94</v>
      </c>
    </row>
    <row r="3568" spans="2:5">
      <c r="B3568" t="s">
        <v>1603</v>
      </c>
      <c r="C3568" t="s">
        <v>787</v>
      </c>
      <c r="D3568">
        <v>1.84935345196669E-7</v>
      </c>
      <c r="E3568" t="s">
        <v>94</v>
      </c>
    </row>
    <row r="3569" spans="2:8">
      <c r="B3569" t="s">
        <v>1603</v>
      </c>
      <c r="C3569" t="s">
        <v>787</v>
      </c>
      <c r="D3569">
        <v>3.2104798520893701E-7</v>
      </c>
      <c r="E3569" t="s">
        <v>94</v>
      </c>
    </row>
    <row r="3570" spans="2:8">
      <c r="B3570" t="s">
        <v>1603</v>
      </c>
      <c r="C3570" t="s">
        <v>787</v>
      </c>
      <c r="D3570">
        <v>3.7744438929708501E-5</v>
      </c>
      <c r="E3570" t="s">
        <v>94</v>
      </c>
      <c r="H3570" t="s">
        <v>588</v>
      </c>
    </row>
    <row r="3571" spans="2:8">
      <c r="B3571" t="s">
        <v>1603</v>
      </c>
      <c r="C3571" t="s">
        <v>787</v>
      </c>
      <c r="D3571">
        <v>7.9465185058340202E-7</v>
      </c>
      <c r="E3571" t="s">
        <v>94</v>
      </c>
    </row>
    <row r="3572" spans="2:8">
      <c r="B3572" t="s">
        <v>1603</v>
      </c>
      <c r="C3572" t="s">
        <v>787</v>
      </c>
      <c r="D3572">
        <v>9.2036992527861695E-5</v>
      </c>
      <c r="E3572" t="s">
        <v>94</v>
      </c>
      <c r="H3572" t="s">
        <v>588</v>
      </c>
    </row>
    <row r="3573" spans="2:8">
      <c r="B3573" t="s">
        <v>1603</v>
      </c>
      <c r="C3573" t="s">
        <v>787</v>
      </c>
      <c r="D3573">
        <v>5.8393341601107601E-6</v>
      </c>
      <c r="E3573" t="s">
        <v>94</v>
      </c>
    </row>
    <row r="3574" spans="2:8">
      <c r="B3574" t="s">
        <v>1603</v>
      </c>
      <c r="C3574" t="s">
        <v>787</v>
      </c>
      <c r="D3574">
        <v>5.15594857374759E-7</v>
      </c>
      <c r="E3574" t="s">
        <v>94</v>
      </c>
    </row>
    <row r="3575" spans="2:8">
      <c r="B3575" t="s">
        <v>1603</v>
      </c>
      <c r="C3575" t="s">
        <v>787</v>
      </c>
      <c r="D3575">
        <v>1.3432422628057599E-7</v>
      </c>
      <c r="E3575" t="s">
        <v>94</v>
      </c>
    </row>
    <row r="3576" spans="2:8">
      <c r="B3576" t="s">
        <v>1603</v>
      </c>
      <c r="C3576" t="s">
        <v>787</v>
      </c>
      <c r="D3576">
        <v>1.4315791539584399E-4</v>
      </c>
      <c r="E3576" t="s">
        <v>94</v>
      </c>
      <c r="H3576" t="s">
        <v>588</v>
      </c>
    </row>
    <row r="3577" spans="2:8">
      <c r="B3577" t="s">
        <v>1603</v>
      </c>
      <c r="C3577" t="s">
        <v>787</v>
      </c>
      <c r="D3577">
        <v>6.5753691322542598E-7</v>
      </c>
      <c r="E3577" t="s">
        <v>94</v>
      </c>
    </row>
    <row r="3578" spans="2:8">
      <c r="B3578" t="s">
        <v>1603</v>
      </c>
      <c r="C3578" t="s">
        <v>787</v>
      </c>
      <c r="D3578">
        <v>2.8924590198818799E-5</v>
      </c>
      <c r="E3578" t="s">
        <v>94</v>
      </c>
      <c r="H3578" t="s">
        <v>588</v>
      </c>
    </row>
    <row r="3579" spans="2:8">
      <c r="B3579" t="s">
        <v>1603</v>
      </c>
      <c r="C3579" t="s">
        <v>787</v>
      </c>
      <c r="D3579">
        <v>9.5936115788834391E-7</v>
      </c>
      <c r="E3579" t="s">
        <v>94</v>
      </c>
    </row>
    <row r="3580" spans="2:8">
      <c r="B3580" t="s">
        <v>1603</v>
      </c>
      <c r="C3580" t="s">
        <v>787</v>
      </c>
      <c r="D3580">
        <v>5.4350166035844E-6</v>
      </c>
      <c r="E3580" t="s">
        <v>94</v>
      </c>
    </row>
    <row r="3581" spans="2:8">
      <c r="B3581" t="s">
        <v>5009</v>
      </c>
      <c r="C3581" t="s">
        <v>787</v>
      </c>
      <c r="D3581">
        <v>3.7338088257003398E-6</v>
      </c>
      <c r="E3581" t="s">
        <v>94</v>
      </c>
      <c r="H3581" t="s">
        <v>588</v>
      </c>
    </row>
    <row r="3582" spans="2:8">
      <c r="B3582" t="s">
        <v>5009</v>
      </c>
      <c r="C3582" t="s">
        <v>787</v>
      </c>
      <c r="D3582">
        <v>1.13250600315807E-7</v>
      </c>
      <c r="E3582" t="s">
        <v>94</v>
      </c>
      <c r="H3582" t="s">
        <v>588</v>
      </c>
    </row>
    <row r="3583" spans="2:8">
      <c r="B3583" t="s">
        <v>5009</v>
      </c>
      <c r="C3583" t="s">
        <v>787</v>
      </c>
      <c r="D3583">
        <v>9.8251463997922693E-6</v>
      </c>
      <c r="E3583" t="s">
        <v>94</v>
      </c>
      <c r="H3583" t="s">
        <v>588</v>
      </c>
    </row>
    <row r="3584" spans="2:8">
      <c r="B3584" t="s">
        <v>5012</v>
      </c>
      <c r="C3584" t="s">
        <v>787</v>
      </c>
      <c r="D3584">
        <v>4.6401797334130303E-6</v>
      </c>
      <c r="E3584" t="s">
        <v>94</v>
      </c>
      <c r="H3584" t="s">
        <v>588</v>
      </c>
    </row>
    <row r="3585" spans="2:8">
      <c r="B3585" t="s">
        <v>5015</v>
      </c>
      <c r="C3585" t="s">
        <v>787</v>
      </c>
      <c r="D3585">
        <v>8.0542444469343093E-3</v>
      </c>
      <c r="E3585" t="s">
        <v>94</v>
      </c>
      <c r="H3585" t="s">
        <v>588</v>
      </c>
    </row>
    <row r="3586" spans="2:8">
      <c r="B3586" t="s">
        <v>5015</v>
      </c>
      <c r="C3586" t="s">
        <v>787</v>
      </c>
      <c r="D3586">
        <v>1.38848110712738E-2</v>
      </c>
      <c r="E3586" t="s">
        <v>94</v>
      </c>
      <c r="H3586" t="s">
        <v>588</v>
      </c>
    </row>
    <row r="3587" spans="2:8">
      <c r="B3587" t="s">
        <v>5015</v>
      </c>
      <c r="C3587" t="s">
        <v>787</v>
      </c>
      <c r="D3587">
        <v>3.0963783816899599E-4</v>
      </c>
      <c r="E3587" t="s">
        <v>94</v>
      </c>
      <c r="H3587" t="s">
        <v>588</v>
      </c>
    </row>
    <row r="3588" spans="2:8">
      <c r="B3588" t="s">
        <v>5017</v>
      </c>
      <c r="C3588" t="s">
        <v>670</v>
      </c>
      <c r="D3588">
        <v>2.8881022858831601E-3</v>
      </c>
      <c r="E3588" t="s">
        <v>94</v>
      </c>
      <c r="H3588" t="s">
        <v>588</v>
      </c>
    </row>
    <row r="3589" spans="2:8">
      <c r="B3589" t="s">
        <v>5017</v>
      </c>
      <c r="C3589" t="s">
        <v>670</v>
      </c>
      <c r="D3589">
        <v>8.7990566597912097E-4</v>
      </c>
      <c r="E3589" t="s">
        <v>94</v>
      </c>
      <c r="H3589" t="s">
        <v>588</v>
      </c>
    </row>
    <row r="3590" spans="2:8">
      <c r="B3590" t="s">
        <v>5017</v>
      </c>
      <c r="C3590" t="s">
        <v>670</v>
      </c>
      <c r="D3590">
        <v>1.97779190409379E-4</v>
      </c>
      <c r="E3590" t="s">
        <v>94</v>
      </c>
    </row>
    <row r="3591" spans="2:8">
      <c r="B3591" t="s">
        <v>5017</v>
      </c>
      <c r="C3591" t="s">
        <v>670</v>
      </c>
      <c r="D3591">
        <v>1.06496487143512E-4</v>
      </c>
      <c r="E3591" t="s">
        <v>94</v>
      </c>
    </row>
    <row r="3592" spans="2:8">
      <c r="B3592" t="s">
        <v>5022</v>
      </c>
      <c r="C3592" t="s">
        <v>787</v>
      </c>
      <c r="D3592">
        <v>4.17200698828095E-4</v>
      </c>
      <c r="E3592" t="s">
        <v>94</v>
      </c>
      <c r="H3592" t="s">
        <v>588</v>
      </c>
    </row>
    <row r="3593" spans="2:8">
      <c r="B3593" t="s">
        <v>5022</v>
      </c>
      <c r="C3593" t="s">
        <v>787</v>
      </c>
      <c r="D3593">
        <v>6.1822331392837905E-4</v>
      </c>
      <c r="E3593" t="s">
        <v>94</v>
      </c>
      <c r="H3593" t="s">
        <v>588</v>
      </c>
    </row>
    <row r="3594" spans="2:8">
      <c r="B3594" t="s">
        <v>5022</v>
      </c>
      <c r="C3594" t="s">
        <v>787</v>
      </c>
      <c r="D3594">
        <v>6.1817978465564596E-4</v>
      </c>
      <c r="E3594" t="s">
        <v>94</v>
      </c>
      <c r="H3594" t="s">
        <v>588</v>
      </c>
    </row>
    <row r="3595" spans="2:8">
      <c r="B3595" t="s">
        <v>5024</v>
      </c>
      <c r="C3595" t="s">
        <v>650</v>
      </c>
      <c r="D3595">
        <v>6.0937893813136402E-5</v>
      </c>
      <c r="E3595" t="s">
        <v>94</v>
      </c>
      <c r="H3595" t="s">
        <v>588</v>
      </c>
    </row>
    <row r="3596" spans="2:8">
      <c r="B3596" t="s">
        <v>5024</v>
      </c>
      <c r="C3596" t="s">
        <v>650</v>
      </c>
      <c r="D3596">
        <v>8.7315224009391203E-8</v>
      </c>
      <c r="E3596" t="s">
        <v>94</v>
      </c>
      <c r="H3596" t="s">
        <v>588</v>
      </c>
    </row>
    <row r="3597" spans="2:8">
      <c r="B3597" t="s">
        <v>5026</v>
      </c>
      <c r="C3597" t="s">
        <v>787</v>
      </c>
      <c r="D3597">
        <v>1.9079370513852301E-4</v>
      </c>
      <c r="E3597" t="s">
        <v>94</v>
      </c>
      <c r="H3597" t="s">
        <v>588</v>
      </c>
    </row>
    <row r="3598" spans="2:8">
      <c r="B3598" t="s">
        <v>5026</v>
      </c>
      <c r="C3598" t="s">
        <v>787</v>
      </c>
      <c r="D3598">
        <v>1.9133350059286801E-4</v>
      </c>
      <c r="E3598" t="s">
        <v>94</v>
      </c>
    </row>
    <row r="3599" spans="2:8">
      <c r="B3599" t="s">
        <v>5028</v>
      </c>
      <c r="C3599" t="s">
        <v>787</v>
      </c>
      <c r="D3599">
        <v>2.12770562307931E-5</v>
      </c>
      <c r="E3599" t="s">
        <v>94</v>
      </c>
      <c r="H3599" t="s">
        <v>588</v>
      </c>
    </row>
    <row r="3600" spans="2:8">
      <c r="B3600" t="s">
        <v>5030</v>
      </c>
      <c r="C3600" t="s">
        <v>670</v>
      </c>
      <c r="D3600">
        <v>4.6988821527215902E-5</v>
      </c>
      <c r="E3600" t="s">
        <v>94</v>
      </c>
      <c r="H3600" t="s">
        <v>588</v>
      </c>
    </row>
    <row r="3601" spans="2:8">
      <c r="B3601" t="s">
        <v>5030</v>
      </c>
      <c r="C3601" t="s">
        <v>670</v>
      </c>
      <c r="D3601">
        <v>1.5168201166527201E-4</v>
      </c>
      <c r="E3601" t="s">
        <v>94</v>
      </c>
      <c r="H3601" t="s">
        <v>588</v>
      </c>
    </row>
    <row r="3602" spans="2:8">
      <c r="B3602" t="s">
        <v>1606</v>
      </c>
      <c r="C3602" t="s">
        <v>787</v>
      </c>
      <c r="D3602">
        <v>3.2706007798722002E-10</v>
      </c>
      <c r="E3602" t="s">
        <v>94</v>
      </c>
      <c r="H3602" t="s">
        <v>588</v>
      </c>
    </row>
    <row r="3603" spans="2:8">
      <c r="B3603" t="s">
        <v>1606</v>
      </c>
      <c r="C3603" t="s">
        <v>787</v>
      </c>
      <c r="D3603">
        <v>5.5430024190249698E-10</v>
      </c>
      <c r="E3603" t="s">
        <v>94</v>
      </c>
      <c r="H3603" t="s">
        <v>588</v>
      </c>
    </row>
    <row r="3604" spans="2:8">
      <c r="B3604" t="s">
        <v>1606</v>
      </c>
      <c r="C3604" t="s">
        <v>787</v>
      </c>
      <c r="D3604">
        <v>9.0866217180463098E-11</v>
      </c>
      <c r="E3604" t="s">
        <v>94</v>
      </c>
      <c r="H3604" t="s">
        <v>588</v>
      </c>
    </row>
    <row r="3605" spans="2:8">
      <c r="B3605" t="s">
        <v>1606</v>
      </c>
      <c r="C3605" t="s">
        <v>787</v>
      </c>
      <c r="D3605">
        <v>1.18599771224144E-9</v>
      </c>
      <c r="E3605" t="s">
        <v>94</v>
      </c>
      <c r="H3605" t="s">
        <v>588</v>
      </c>
    </row>
    <row r="3606" spans="2:8">
      <c r="B3606" t="s">
        <v>1606</v>
      </c>
      <c r="C3606" t="s">
        <v>787</v>
      </c>
      <c r="D3606">
        <v>8.1041209685197495E-5</v>
      </c>
      <c r="E3606" t="s">
        <v>94</v>
      </c>
      <c r="H3606" t="s">
        <v>588</v>
      </c>
    </row>
    <row r="3607" spans="2:8">
      <c r="B3607" t="s">
        <v>1606</v>
      </c>
      <c r="C3607" t="s">
        <v>787</v>
      </c>
      <c r="D3607">
        <v>9.8058171964665796E-10</v>
      </c>
      <c r="E3607" t="s">
        <v>94</v>
      </c>
      <c r="H3607" t="s">
        <v>588</v>
      </c>
    </row>
    <row r="3608" spans="2:8">
      <c r="B3608" t="s">
        <v>1606</v>
      </c>
      <c r="C3608" t="s">
        <v>787</v>
      </c>
      <c r="D3608">
        <v>8.50932071345943E-10</v>
      </c>
      <c r="E3608" t="s">
        <v>94</v>
      </c>
      <c r="H3608" t="s">
        <v>588</v>
      </c>
    </row>
    <row r="3609" spans="2:8">
      <c r="B3609" t="s">
        <v>1606</v>
      </c>
      <c r="C3609" t="s">
        <v>787</v>
      </c>
      <c r="D3609">
        <v>1.71040700021099E-10</v>
      </c>
      <c r="E3609" t="s">
        <v>94</v>
      </c>
      <c r="H3609" t="s">
        <v>588</v>
      </c>
    </row>
    <row r="3610" spans="2:8">
      <c r="B3610" t="s">
        <v>1606</v>
      </c>
      <c r="C3610" t="s">
        <v>787</v>
      </c>
      <c r="D3610">
        <v>1.05941710580974E-9</v>
      </c>
      <c r="E3610" t="s">
        <v>94</v>
      </c>
      <c r="H3610" t="s">
        <v>588</v>
      </c>
    </row>
    <row r="3611" spans="2:8">
      <c r="B3611" t="s">
        <v>1606</v>
      </c>
      <c r="C3611" t="s">
        <v>787</v>
      </c>
      <c r="D3611">
        <v>1.8142613486889599E-7</v>
      </c>
      <c r="E3611" t="s">
        <v>94</v>
      </c>
      <c r="H3611" t="s">
        <v>588</v>
      </c>
    </row>
    <row r="3612" spans="2:8">
      <c r="B3612" t="s">
        <v>1606</v>
      </c>
      <c r="C3612" t="s">
        <v>787</v>
      </c>
      <c r="D3612">
        <v>1.1249628848020101E-7</v>
      </c>
      <c r="E3612" t="s">
        <v>94</v>
      </c>
      <c r="H3612" t="s">
        <v>588</v>
      </c>
    </row>
    <row r="3613" spans="2:8">
      <c r="B3613" t="s">
        <v>1606</v>
      </c>
      <c r="C3613" t="s">
        <v>787</v>
      </c>
      <c r="D3613">
        <v>2.0838676126634799E-9</v>
      </c>
      <c r="E3613" t="s">
        <v>94</v>
      </c>
      <c r="H3613" t="s">
        <v>588</v>
      </c>
    </row>
    <row r="3614" spans="2:8">
      <c r="B3614" t="s">
        <v>1606</v>
      </c>
      <c r="C3614" t="s">
        <v>787</v>
      </c>
      <c r="D3614">
        <v>5.6631718083528003E-3</v>
      </c>
      <c r="E3614" t="s">
        <v>94</v>
      </c>
      <c r="H3614" t="s">
        <v>588</v>
      </c>
    </row>
    <row r="3615" spans="2:8">
      <c r="B3615" t="s">
        <v>1606</v>
      </c>
      <c r="C3615" t="s">
        <v>787</v>
      </c>
      <c r="D3615">
        <v>1.2552470725730999E-10</v>
      </c>
      <c r="E3615" t="s">
        <v>94</v>
      </c>
      <c r="H3615" t="s">
        <v>588</v>
      </c>
    </row>
    <row r="3616" spans="2:8">
      <c r="B3616" t="s">
        <v>1606</v>
      </c>
      <c r="C3616" t="s">
        <v>787</v>
      </c>
      <c r="D3616">
        <v>1.2171205058940301E-6</v>
      </c>
      <c r="E3616" t="s">
        <v>94</v>
      </c>
      <c r="H3616" t="s">
        <v>588</v>
      </c>
    </row>
    <row r="3617" spans="2:8">
      <c r="B3617" t="s">
        <v>1606</v>
      </c>
      <c r="C3617" t="s">
        <v>787</v>
      </c>
      <c r="D3617">
        <v>1.5917885797748501E-3</v>
      </c>
      <c r="E3617" t="s">
        <v>94</v>
      </c>
      <c r="H3617" t="s">
        <v>588</v>
      </c>
    </row>
    <row r="3618" spans="2:8">
      <c r="B3618" t="s">
        <v>1606</v>
      </c>
      <c r="C3618" t="s">
        <v>787</v>
      </c>
      <c r="D3618">
        <v>1.0329330122671099E-6</v>
      </c>
      <c r="E3618" t="s">
        <v>94</v>
      </c>
      <c r="H3618" t="s">
        <v>588</v>
      </c>
    </row>
    <row r="3619" spans="2:8">
      <c r="B3619" t="s">
        <v>1606</v>
      </c>
      <c r="C3619" t="s">
        <v>787</v>
      </c>
      <c r="D3619">
        <v>7.6692980197419298E-10</v>
      </c>
      <c r="E3619" t="s">
        <v>94</v>
      </c>
      <c r="H3619" t="s">
        <v>588</v>
      </c>
    </row>
    <row r="3620" spans="2:8">
      <c r="B3620" t="s">
        <v>1606</v>
      </c>
      <c r="C3620" t="s">
        <v>787</v>
      </c>
      <c r="D3620">
        <v>1.1150796180365301E-9</v>
      </c>
      <c r="E3620" t="s">
        <v>94</v>
      </c>
      <c r="H3620" t="s">
        <v>588</v>
      </c>
    </row>
    <row r="3621" spans="2:8">
      <c r="B3621" t="s">
        <v>1606</v>
      </c>
      <c r="C3621" t="s">
        <v>787</v>
      </c>
      <c r="D3621">
        <v>1.03303590023641E-10</v>
      </c>
      <c r="E3621" t="s">
        <v>94</v>
      </c>
      <c r="H3621" t="s">
        <v>588</v>
      </c>
    </row>
    <row r="3622" spans="2:8">
      <c r="B3622" t="s">
        <v>1606</v>
      </c>
      <c r="C3622" t="s">
        <v>787</v>
      </c>
      <c r="D3622">
        <v>5.82168923161101E-9</v>
      </c>
      <c r="E3622" t="s">
        <v>94</v>
      </c>
      <c r="H3622" t="s">
        <v>588</v>
      </c>
    </row>
    <row r="3623" spans="2:8">
      <c r="B3623" t="s">
        <v>1606</v>
      </c>
      <c r="C3623" t="s">
        <v>787</v>
      </c>
      <c r="D3623">
        <v>8.9816529177014895E-10</v>
      </c>
      <c r="E3623" t="s">
        <v>94</v>
      </c>
      <c r="H3623" t="s">
        <v>588</v>
      </c>
    </row>
    <row r="3624" spans="2:8">
      <c r="B3624" t="s">
        <v>1606</v>
      </c>
      <c r="C3624" t="s">
        <v>787</v>
      </c>
      <c r="D3624">
        <v>1.09698048631437E-10</v>
      </c>
      <c r="E3624" t="s">
        <v>94</v>
      </c>
      <c r="H3624" t="s">
        <v>588</v>
      </c>
    </row>
    <row r="3625" spans="2:8">
      <c r="B3625" t="s">
        <v>1606</v>
      </c>
      <c r="C3625" t="s">
        <v>787</v>
      </c>
      <c r="D3625">
        <v>7.3475669580485103E-9</v>
      </c>
      <c r="E3625" t="s">
        <v>94</v>
      </c>
      <c r="H3625" t="s">
        <v>588</v>
      </c>
    </row>
    <row r="3626" spans="2:8">
      <c r="B3626" t="s">
        <v>1606</v>
      </c>
      <c r="C3626" t="s">
        <v>787</v>
      </c>
      <c r="D3626">
        <v>1.5257701929404399E-10</v>
      </c>
      <c r="E3626" t="s">
        <v>94</v>
      </c>
      <c r="H3626" t="s">
        <v>588</v>
      </c>
    </row>
    <row r="3627" spans="2:8">
      <c r="B3627" t="s">
        <v>1606</v>
      </c>
      <c r="C3627" t="s">
        <v>787</v>
      </c>
      <c r="D3627">
        <v>7.6825701466292302E-9</v>
      </c>
      <c r="E3627" t="s">
        <v>94</v>
      </c>
      <c r="H3627" t="s">
        <v>588</v>
      </c>
    </row>
    <row r="3628" spans="2:8">
      <c r="B3628" t="s">
        <v>1606</v>
      </c>
      <c r="C3628" t="s">
        <v>787</v>
      </c>
      <c r="D3628">
        <v>2.5687295466184499E-10</v>
      </c>
      <c r="E3628" t="s">
        <v>94</v>
      </c>
      <c r="H3628" t="s">
        <v>588</v>
      </c>
    </row>
    <row r="3629" spans="2:8">
      <c r="B3629" t="s">
        <v>1606</v>
      </c>
      <c r="C3629" t="s">
        <v>787</v>
      </c>
      <c r="D3629">
        <v>2.1573442148295599E-10</v>
      </c>
      <c r="E3629" t="s">
        <v>94</v>
      </c>
      <c r="H3629" t="s">
        <v>588</v>
      </c>
    </row>
    <row r="3630" spans="2:8">
      <c r="B3630" t="s">
        <v>1606</v>
      </c>
      <c r="C3630" t="s">
        <v>787</v>
      </c>
      <c r="D3630">
        <v>8.1616193485020694E-9</v>
      </c>
      <c r="E3630" t="s">
        <v>94</v>
      </c>
      <c r="H3630" t="s">
        <v>588</v>
      </c>
    </row>
    <row r="3631" spans="2:8">
      <c r="B3631" t="s">
        <v>1606</v>
      </c>
      <c r="C3631" t="s">
        <v>787</v>
      </c>
      <c r="D3631">
        <v>7.0996433721435296E-10</v>
      </c>
      <c r="E3631" t="s">
        <v>94</v>
      </c>
      <c r="H3631" t="s">
        <v>588</v>
      </c>
    </row>
    <row r="3632" spans="2:8">
      <c r="B3632" t="s">
        <v>1606</v>
      </c>
      <c r="C3632" t="s">
        <v>787</v>
      </c>
      <c r="D3632">
        <v>6.5722907861473104E-7</v>
      </c>
      <c r="E3632" t="s">
        <v>94</v>
      </c>
      <c r="H3632" t="s">
        <v>588</v>
      </c>
    </row>
    <row r="3633" spans="2:8">
      <c r="B3633" t="s">
        <v>1606</v>
      </c>
      <c r="C3633" t="s">
        <v>787</v>
      </c>
      <c r="D3633">
        <v>1.2514623852953199E-9</v>
      </c>
      <c r="E3633" t="s">
        <v>94</v>
      </c>
      <c r="H3633" t="s">
        <v>588</v>
      </c>
    </row>
    <row r="3634" spans="2:8">
      <c r="B3634" t="s">
        <v>1606</v>
      </c>
      <c r="C3634" t="s">
        <v>787</v>
      </c>
      <c r="D3634">
        <v>2.1553516008333101E-9</v>
      </c>
      <c r="E3634" t="s">
        <v>94</v>
      </c>
      <c r="H3634" t="s">
        <v>588</v>
      </c>
    </row>
    <row r="3635" spans="2:8">
      <c r="B3635" t="s">
        <v>1606</v>
      </c>
      <c r="C3635" t="s">
        <v>787</v>
      </c>
      <c r="D3635">
        <v>4.0604295450726598E-7</v>
      </c>
      <c r="E3635" t="s">
        <v>94</v>
      </c>
      <c r="H3635" t="s">
        <v>588</v>
      </c>
    </row>
    <row r="3636" spans="2:8">
      <c r="B3636" t="s">
        <v>1606</v>
      </c>
      <c r="C3636" t="s">
        <v>787</v>
      </c>
      <c r="D3636">
        <v>1.2432241338842299E-3</v>
      </c>
      <c r="E3636" t="s">
        <v>94</v>
      </c>
      <c r="H3636" t="s">
        <v>588</v>
      </c>
    </row>
    <row r="3637" spans="2:8">
      <c r="B3637" t="s">
        <v>1606</v>
      </c>
      <c r="C3637" t="s">
        <v>787</v>
      </c>
      <c r="D3637">
        <v>9.1286512792957302E-10</v>
      </c>
      <c r="E3637" t="s">
        <v>94</v>
      </c>
      <c r="H3637" t="s">
        <v>588</v>
      </c>
    </row>
    <row r="3638" spans="2:8">
      <c r="B3638" t="s">
        <v>1606</v>
      </c>
      <c r="C3638" t="s">
        <v>787</v>
      </c>
      <c r="D3638">
        <v>4.8634533787503102E-10</v>
      </c>
      <c r="E3638" t="s">
        <v>94</v>
      </c>
      <c r="H3638" t="s">
        <v>588</v>
      </c>
    </row>
    <row r="3639" spans="2:8">
      <c r="B3639" t="s">
        <v>1606</v>
      </c>
      <c r="C3639" t="s">
        <v>787</v>
      </c>
      <c r="D3639">
        <v>2.4266839610297799E-11</v>
      </c>
      <c r="E3639" t="s">
        <v>94</v>
      </c>
      <c r="H3639" t="s">
        <v>588</v>
      </c>
    </row>
    <row r="3640" spans="2:8">
      <c r="B3640" t="s">
        <v>1606</v>
      </c>
      <c r="C3640" t="s">
        <v>787</v>
      </c>
      <c r="D3640">
        <v>4.6511339914181501E-10</v>
      </c>
      <c r="E3640" t="s">
        <v>94</v>
      </c>
      <c r="H3640" t="s">
        <v>588</v>
      </c>
    </row>
    <row r="3641" spans="2:8">
      <c r="B3641" t="s">
        <v>1606</v>
      </c>
      <c r="C3641" t="s">
        <v>787</v>
      </c>
      <c r="D3641">
        <v>1.93793150356406E-3</v>
      </c>
      <c r="E3641" t="s">
        <v>94</v>
      </c>
      <c r="H3641" t="s">
        <v>588</v>
      </c>
    </row>
    <row r="3642" spans="2:8">
      <c r="B3642" t="s">
        <v>1606</v>
      </c>
      <c r="C3642" t="s">
        <v>787</v>
      </c>
      <c r="D3642">
        <v>1.3452396031154401E-10</v>
      </c>
      <c r="E3642" t="s">
        <v>94</v>
      </c>
      <c r="H3642" t="s">
        <v>588</v>
      </c>
    </row>
    <row r="3643" spans="2:8">
      <c r="B3643" t="s">
        <v>1606</v>
      </c>
      <c r="C3643" t="s">
        <v>787</v>
      </c>
      <c r="D3643">
        <v>1.0846469831673399E-3</v>
      </c>
      <c r="E3643" t="s">
        <v>94</v>
      </c>
      <c r="H3643" t="s">
        <v>588</v>
      </c>
    </row>
    <row r="3644" spans="2:8">
      <c r="B3644" t="s">
        <v>1606</v>
      </c>
      <c r="C3644" t="s">
        <v>787</v>
      </c>
      <c r="D3644">
        <v>1.82638693666732E-3</v>
      </c>
      <c r="E3644" t="s">
        <v>94</v>
      </c>
      <c r="H3644" t="s">
        <v>588</v>
      </c>
    </row>
    <row r="3645" spans="2:8">
      <c r="B3645" t="s">
        <v>1606</v>
      </c>
      <c r="C3645" t="s">
        <v>787</v>
      </c>
      <c r="D3645">
        <v>8.8324433732484492E-6</v>
      </c>
      <c r="E3645" t="s">
        <v>94</v>
      </c>
      <c r="H3645" t="s">
        <v>588</v>
      </c>
    </row>
    <row r="3646" spans="2:8">
      <c r="B3646" t="s">
        <v>1606</v>
      </c>
      <c r="C3646" t="s">
        <v>787</v>
      </c>
      <c r="D3646">
        <v>3.0483228102331299E-10</v>
      </c>
      <c r="E3646" t="s">
        <v>94</v>
      </c>
      <c r="H3646" t="s">
        <v>588</v>
      </c>
    </row>
    <row r="3647" spans="2:8">
      <c r="B3647" t="s">
        <v>1609</v>
      </c>
      <c r="C3647" t="s">
        <v>670</v>
      </c>
      <c r="D3647">
        <v>2.8972777323631098E-7</v>
      </c>
      <c r="E3647" t="s">
        <v>94</v>
      </c>
      <c r="H3647" t="s">
        <v>588</v>
      </c>
    </row>
    <row r="3648" spans="2:8">
      <c r="B3648" t="s">
        <v>5038</v>
      </c>
      <c r="C3648" t="s">
        <v>787</v>
      </c>
      <c r="D3648">
        <v>3.6048408359081401E-4</v>
      </c>
      <c r="E3648" t="s">
        <v>94</v>
      </c>
      <c r="H3648" t="s">
        <v>588</v>
      </c>
    </row>
    <row r="3649" spans="2:8">
      <c r="B3649" t="s">
        <v>5040</v>
      </c>
      <c r="C3649" t="s">
        <v>787</v>
      </c>
      <c r="D3649">
        <v>6.4803191061772896E-7</v>
      </c>
      <c r="E3649" t="s">
        <v>94</v>
      </c>
      <c r="H3649" t="s">
        <v>588</v>
      </c>
    </row>
    <row r="3650" spans="2:8">
      <c r="B3650" t="s">
        <v>5043</v>
      </c>
      <c r="C3650" t="s">
        <v>744</v>
      </c>
      <c r="D3650">
        <v>7.6278044789447301E-5</v>
      </c>
      <c r="E3650" t="s">
        <v>94</v>
      </c>
      <c r="H3650" t="s">
        <v>588</v>
      </c>
    </row>
    <row r="3651" spans="2:8">
      <c r="B3651" t="s">
        <v>5045</v>
      </c>
      <c r="C3651" t="s">
        <v>1613</v>
      </c>
      <c r="D3651">
        <v>5.9960512440727599E-6</v>
      </c>
      <c r="E3651" t="s">
        <v>640</v>
      </c>
      <c r="H3651" t="s">
        <v>588</v>
      </c>
    </row>
    <row r="3652" spans="2:8">
      <c r="B3652" t="s">
        <v>5048</v>
      </c>
      <c r="C3652" t="s">
        <v>1613</v>
      </c>
      <c r="D3652">
        <v>4.4013547206341901E-7</v>
      </c>
      <c r="E3652" t="s">
        <v>640</v>
      </c>
      <c r="H3652" t="s">
        <v>588</v>
      </c>
    </row>
    <row r="3653" spans="2:8">
      <c r="B3653" t="s">
        <v>5048</v>
      </c>
      <c r="C3653" t="s">
        <v>1613</v>
      </c>
      <c r="D3653">
        <v>4.40480097178693E-7</v>
      </c>
      <c r="E3653" t="s">
        <v>640</v>
      </c>
      <c r="H3653" t="s">
        <v>588</v>
      </c>
    </row>
    <row r="3654" spans="2:8">
      <c r="B3654" t="s">
        <v>5050</v>
      </c>
      <c r="C3654" t="s">
        <v>1613</v>
      </c>
      <c r="D3654">
        <v>6.8692575172920802E-6</v>
      </c>
      <c r="E3654" t="s">
        <v>640</v>
      </c>
      <c r="H3654" t="s">
        <v>588</v>
      </c>
    </row>
    <row r="3655" spans="2:8">
      <c r="B3655" t="s">
        <v>5050</v>
      </c>
      <c r="C3655" t="s">
        <v>1613</v>
      </c>
      <c r="D3655">
        <v>6.8696368060444804E-6</v>
      </c>
      <c r="E3655" t="s">
        <v>640</v>
      </c>
      <c r="H3655" t="s">
        <v>588</v>
      </c>
    </row>
    <row r="3656" spans="2:8">
      <c r="B3656" t="s">
        <v>5053</v>
      </c>
      <c r="C3656" t="s">
        <v>1613</v>
      </c>
      <c r="D3656">
        <v>6.4351524824457094E-5</v>
      </c>
      <c r="E3656" t="s">
        <v>640</v>
      </c>
      <c r="H3656" t="s">
        <v>588</v>
      </c>
    </row>
    <row r="3657" spans="2:8">
      <c r="B3657" t="s">
        <v>5055</v>
      </c>
      <c r="C3657" t="s">
        <v>1613</v>
      </c>
      <c r="D3657">
        <v>1.6025942359076999E-5</v>
      </c>
      <c r="E3657" t="s">
        <v>640</v>
      </c>
      <c r="H3657" t="s">
        <v>588</v>
      </c>
    </row>
    <row r="3658" spans="2:8">
      <c r="B3658" t="s">
        <v>5057</v>
      </c>
      <c r="C3658" t="s">
        <v>1613</v>
      </c>
      <c r="D3658">
        <v>1.47957649498262E-7</v>
      </c>
      <c r="E3658" t="s">
        <v>640</v>
      </c>
      <c r="H3658" t="s">
        <v>588</v>
      </c>
    </row>
    <row r="3659" spans="2:8">
      <c r="B3659" t="s">
        <v>5059</v>
      </c>
      <c r="C3659" t="s">
        <v>1613</v>
      </c>
      <c r="D3659">
        <v>2.79906923247285E-7</v>
      </c>
      <c r="E3659" t="s">
        <v>640</v>
      </c>
      <c r="H3659" t="s">
        <v>588</v>
      </c>
    </row>
    <row r="3660" spans="2:8">
      <c r="B3660" t="s">
        <v>5062</v>
      </c>
      <c r="C3660" t="s">
        <v>1613</v>
      </c>
      <c r="D3660">
        <v>1.09291004883622E-10</v>
      </c>
      <c r="E3660" t="s">
        <v>640</v>
      </c>
      <c r="H3660" t="s">
        <v>588</v>
      </c>
    </row>
    <row r="3661" spans="2:8">
      <c r="B3661" t="s">
        <v>5064</v>
      </c>
      <c r="C3661" t="s">
        <v>1613</v>
      </c>
      <c r="D3661">
        <v>4.7946426249401501E-6</v>
      </c>
      <c r="E3661" t="s">
        <v>640</v>
      </c>
      <c r="H3661" t="s">
        <v>588</v>
      </c>
    </row>
    <row r="3662" spans="2:8">
      <c r="B3662" t="s">
        <v>5066</v>
      </c>
      <c r="C3662" t="s">
        <v>1613</v>
      </c>
      <c r="D3662">
        <v>1.6641419364620901E-6</v>
      </c>
      <c r="E3662" t="s">
        <v>640</v>
      </c>
      <c r="H3662" t="s">
        <v>588</v>
      </c>
    </row>
    <row r="3663" spans="2:8">
      <c r="B3663" t="s">
        <v>5068</v>
      </c>
      <c r="C3663" t="s">
        <v>1613</v>
      </c>
      <c r="D3663">
        <v>4.3020710308230202E-7</v>
      </c>
      <c r="E3663" t="s">
        <v>640</v>
      </c>
      <c r="H3663" t="s">
        <v>588</v>
      </c>
    </row>
    <row r="3664" spans="2:8">
      <c r="B3664" t="s">
        <v>5070</v>
      </c>
      <c r="C3664" t="s">
        <v>1613</v>
      </c>
      <c r="D3664">
        <v>1.09037351292125E-5</v>
      </c>
      <c r="E3664" t="s">
        <v>640</v>
      </c>
      <c r="H3664" t="s">
        <v>588</v>
      </c>
    </row>
    <row r="3665" spans="2:8">
      <c r="B3665" t="s">
        <v>5073</v>
      </c>
      <c r="C3665" t="s">
        <v>1613</v>
      </c>
      <c r="D3665">
        <v>9.6614156303899508E-6</v>
      </c>
      <c r="E3665" t="s">
        <v>640</v>
      </c>
      <c r="H3665" t="s">
        <v>588</v>
      </c>
    </row>
    <row r="3666" spans="2:8">
      <c r="B3666" t="s">
        <v>5076</v>
      </c>
      <c r="C3666" t="s">
        <v>1613</v>
      </c>
      <c r="D3666">
        <v>7.04404101069969E-6</v>
      </c>
      <c r="E3666" t="s">
        <v>640</v>
      </c>
      <c r="H3666" t="s">
        <v>588</v>
      </c>
    </row>
    <row r="3667" spans="2:8">
      <c r="B3667" t="s">
        <v>5079</v>
      </c>
      <c r="C3667" t="s">
        <v>1613</v>
      </c>
      <c r="D3667">
        <v>2.4645202670848098E-6</v>
      </c>
      <c r="E3667" t="s">
        <v>640</v>
      </c>
      <c r="H3667" t="s">
        <v>588</v>
      </c>
    </row>
    <row r="3668" spans="2:8">
      <c r="B3668" t="s">
        <v>5081</v>
      </c>
      <c r="C3668" t="s">
        <v>1613</v>
      </c>
      <c r="D3668">
        <v>2.5646417889400901E-4</v>
      </c>
      <c r="E3668" t="s">
        <v>640</v>
      </c>
    </row>
    <row r="3669" spans="2:8">
      <c r="B3669" t="s">
        <v>1612</v>
      </c>
      <c r="C3669" t="s">
        <v>1613</v>
      </c>
      <c r="D3669">
        <v>2.86381996377427E-5</v>
      </c>
      <c r="E3669" t="s">
        <v>640</v>
      </c>
      <c r="H3669" t="s">
        <v>588</v>
      </c>
    </row>
    <row r="3670" spans="2:8">
      <c r="B3670" t="s">
        <v>1612</v>
      </c>
      <c r="C3670" t="s">
        <v>1613</v>
      </c>
      <c r="D3670">
        <v>3.2290480477163101E-3</v>
      </c>
      <c r="E3670" t="s">
        <v>640</v>
      </c>
      <c r="H3670" t="s">
        <v>588</v>
      </c>
    </row>
    <row r="3671" spans="2:8">
      <c r="B3671" t="s">
        <v>1612</v>
      </c>
      <c r="C3671" t="s">
        <v>1613</v>
      </c>
      <c r="D3671">
        <v>1.16456766843167E-5</v>
      </c>
      <c r="E3671" t="s">
        <v>640</v>
      </c>
      <c r="H3671" t="s">
        <v>588</v>
      </c>
    </row>
    <row r="3672" spans="2:8">
      <c r="B3672" t="s">
        <v>1612</v>
      </c>
      <c r="C3672" t="s">
        <v>1613</v>
      </c>
      <c r="D3672">
        <v>5.5762022929064198E-5</v>
      </c>
      <c r="E3672" t="s">
        <v>640</v>
      </c>
      <c r="H3672" t="s">
        <v>588</v>
      </c>
    </row>
    <row r="3673" spans="2:8">
      <c r="B3673" t="s">
        <v>1612</v>
      </c>
      <c r="C3673" t="s">
        <v>1613</v>
      </c>
      <c r="D3673">
        <v>1.19050143376702E-6</v>
      </c>
      <c r="E3673" t="s">
        <v>640</v>
      </c>
      <c r="H3673" t="s">
        <v>588</v>
      </c>
    </row>
    <row r="3674" spans="2:8">
      <c r="B3674" t="s">
        <v>1612</v>
      </c>
      <c r="C3674" t="s">
        <v>1613</v>
      </c>
      <c r="D3674">
        <v>9.7603548072910406E-8</v>
      </c>
      <c r="E3674" t="s">
        <v>640</v>
      </c>
      <c r="H3674" t="s">
        <v>588</v>
      </c>
    </row>
    <row r="3675" spans="2:8">
      <c r="B3675" t="s">
        <v>5090</v>
      </c>
      <c r="C3675" t="s">
        <v>1613</v>
      </c>
      <c r="D3675">
        <v>2.5086626726649602E-6</v>
      </c>
      <c r="E3675" t="s">
        <v>640</v>
      </c>
      <c r="H3675" t="s">
        <v>588</v>
      </c>
    </row>
    <row r="3676" spans="2:8">
      <c r="B3676" t="s">
        <v>5090</v>
      </c>
      <c r="C3676" t="s">
        <v>1613</v>
      </c>
      <c r="D3676">
        <v>1.6737819054735099E-5</v>
      </c>
      <c r="E3676" t="s">
        <v>640</v>
      </c>
      <c r="H3676" t="s">
        <v>588</v>
      </c>
    </row>
    <row r="3677" spans="2:8">
      <c r="B3677" t="s">
        <v>5093</v>
      </c>
      <c r="C3677" t="s">
        <v>1613</v>
      </c>
      <c r="D3677">
        <v>1.7471106860298699E-3</v>
      </c>
      <c r="E3677" t="s">
        <v>640</v>
      </c>
      <c r="H3677" t="s">
        <v>588</v>
      </c>
    </row>
    <row r="3678" spans="2:8">
      <c r="B3678" t="s">
        <v>5093</v>
      </c>
      <c r="C3678" t="s">
        <v>1613</v>
      </c>
      <c r="D3678">
        <v>5.2536284300114396E-4</v>
      </c>
      <c r="E3678" t="s">
        <v>640</v>
      </c>
      <c r="H3678" t="s">
        <v>588</v>
      </c>
    </row>
    <row r="3679" spans="2:8">
      <c r="B3679" t="s">
        <v>251</v>
      </c>
      <c r="C3679" t="s">
        <v>654</v>
      </c>
      <c r="D3679">
        <v>1.8178709717137899E-2</v>
      </c>
      <c r="E3679" t="s">
        <v>640</v>
      </c>
      <c r="H3679" t="s">
        <v>588</v>
      </c>
    </row>
    <row r="3680" spans="2:8">
      <c r="B3680" t="s">
        <v>251</v>
      </c>
      <c r="C3680" t="s">
        <v>887</v>
      </c>
      <c r="D3680">
        <v>1.9942611804170699E-4</v>
      </c>
      <c r="E3680" t="s">
        <v>640</v>
      </c>
      <c r="H3680" t="s">
        <v>588</v>
      </c>
    </row>
    <row r="3681" spans="2:8">
      <c r="B3681" t="s">
        <v>251</v>
      </c>
      <c r="C3681" t="s">
        <v>658</v>
      </c>
      <c r="D3681">
        <v>1.15261826621046E-2</v>
      </c>
      <c r="E3681" t="s">
        <v>640</v>
      </c>
      <c r="H3681" t="s">
        <v>588</v>
      </c>
    </row>
    <row r="3682" spans="2:8">
      <c r="B3682" t="s">
        <v>5098</v>
      </c>
      <c r="C3682" t="s">
        <v>691</v>
      </c>
      <c r="D3682">
        <v>4.92939065599593E-3</v>
      </c>
      <c r="E3682" t="s">
        <v>94</v>
      </c>
    </row>
    <row r="3683" spans="2:8">
      <c r="B3683" t="s">
        <v>5100</v>
      </c>
      <c r="C3683" t="s">
        <v>691</v>
      </c>
      <c r="D3683">
        <v>4.40526146770258E-2</v>
      </c>
      <c r="E3683" t="s">
        <v>94</v>
      </c>
      <c r="H3683" t="s">
        <v>588</v>
      </c>
    </row>
    <row r="3684" spans="2:8">
      <c r="B3684" t="s">
        <v>789</v>
      </c>
      <c r="C3684" t="s">
        <v>712</v>
      </c>
      <c r="D3684">
        <v>0.18612945281100099</v>
      </c>
      <c r="E3684" t="s">
        <v>640</v>
      </c>
      <c r="H3684" t="s">
        <v>588</v>
      </c>
    </row>
    <row r="3685" spans="2:8">
      <c r="B3685" t="s">
        <v>789</v>
      </c>
      <c r="C3685" t="s">
        <v>661</v>
      </c>
      <c r="D3685">
        <v>4.1091203478856198E-2</v>
      </c>
      <c r="E3685" t="s">
        <v>640</v>
      </c>
      <c r="H3685" t="s">
        <v>588</v>
      </c>
    </row>
    <row r="3686" spans="2:8">
      <c r="B3686" t="s">
        <v>789</v>
      </c>
      <c r="C3686" t="s">
        <v>881</v>
      </c>
      <c r="D3686">
        <v>3.0544843844481203E-4</v>
      </c>
      <c r="E3686" t="s">
        <v>640</v>
      </c>
      <c r="H3686" t="s">
        <v>588</v>
      </c>
    </row>
    <row r="3687" spans="2:8">
      <c r="B3687" t="s">
        <v>789</v>
      </c>
      <c r="C3687" t="s">
        <v>883</v>
      </c>
      <c r="D3687">
        <v>1.43501472973365E-2</v>
      </c>
      <c r="E3687" t="s">
        <v>640</v>
      </c>
      <c r="H3687" t="s">
        <v>588</v>
      </c>
    </row>
    <row r="3688" spans="2:8">
      <c r="B3688" t="s">
        <v>5106</v>
      </c>
      <c r="C3688" t="s">
        <v>787</v>
      </c>
      <c r="D3688">
        <v>2.81160574247086E-3</v>
      </c>
      <c r="E3688" t="s">
        <v>94</v>
      </c>
      <c r="H3688" t="s">
        <v>588</v>
      </c>
    </row>
    <row r="3689" spans="2:8">
      <c r="B3689" t="s">
        <v>5106</v>
      </c>
      <c r="C3689" t="s">
        <v>787</v>
      </c>
      <c r="D3689">
        <v>3.5591271699698698E-3</v>
      </c>
      <c r="E3689" t="s">
        <v>94</v>
      </c>
      <c r="H3689" t="s">
        <v>588</v>
      </c>
    </row>
    <row r="3690" spans="2:8">
      <c r="B3690" t="s">
        <v>5106</v>
      </c>
      <c r="C3690" t="s">
        <v>787</v>
      </c>
      <c r="D3690">
        <v>5.1203172946614204E-4</v>
      </c>
      <c r="E3690" t="s">
        <v>94</v>
      </c>
      <c r="H3690" t="s">
        <v>588</v>
      </c>
    </row>
    <row r="3691" spans="2:8">
      <c r="B3691" t="s">
        <v>5110</v>
      </c>
      <c r="C3691" t="s">
        <v>658</v>
      </c>
      <c r="D3691">
        <v>8.1737238831111302E-3</v>
      </c>
      <c r="E3691" t="s">
        <v>890</v>
      </c>
      <c r="H3691" t="s">
        <v>588</v>
      </c>
    </row>
    <row r="3692" spans="2:8">
      <c r="B3692" t="s">
        <v>5111</v>
      </c>
      <c r="C3692" t="s">
        <v>658</v>
      </c>
      <c r="D3692">
        <v>0.57862132341512695</v>
      </c>
      <c r="E3692" t="s">
        <v>890</v>
      </c>
      <c r="H3692" t="s">
        <v>588</v>
      </c>
    </row>
    <row r="3693" spans="2:8">
      <c r="B3693" t="s">
        <v>5112</v>
      </c>
      <c r="C3693" t="s">
        <v>658</v>
      </c>
      <c r="D3693">
        <v>3.0322420997272302E-4</v>
      </c>
      <c r="E3693" t="s">
        <v>890</v>
      </c>
      <c r="H3693" t="s">
        <v>588</v>
      </c>
    </row>
    <row r="3694" spans="2:8">
      <c r="B3694" t="s">
        <v>5113</v>
      </c>
      <c r="C3694" t="s">
        <v>658</v>
      </c>
      <c r="D3694">
        <v>0.19760073083636501</v>
      </c>
      <c r="E3694" t="s">
        <v>890</v>
      </c>
      <c r="H3694" t="s">
        <v>588</v>
      </c>
    </row>
    <row r="3695" spans="2:8">
      <c r="B3695" t="s">
        <v>5114</v>
      </c>
      <c r="C3695" t="s">
        <v>658</v>
      </c>
      <c r="D3695">
        <v>7.6232136685140506E-2</v>
      </c>
      <c r="E3695" t="s">
        <v>890</v>
      </c>
      <c r="H3695" t="s">
        <v>588</v>
      </c>
    </row>
    <row r="3696" spans="2:8">
      <c r="B3696" t="s">
        <v>5115</v>
      </c>
      <c r="C3696" t="s">
        <v>658</v>
      </c>
      <c r="D3696">
        <v>2.3812721010749598E-3</v>
      </c>
      <c r="E3696" t="s">
        <v>890</v>
      </c>
      <c r="H3696" t="s">
        <v>588</v>
      </c>
    </row>
    <row r="3697" spans="2:8">
      <c r="B3697" t="s">
        <v>5116</v>
      </c>
      <c r="C3697" t="s">
        <v>658</v>
      </c>
      <c r="D3697">
        <v>1.7817231673748601E-2</v>
      </c>
      <c r="E3697" t="s">
        <v>890</v>
      </c>
      <c r="H3697" t="s">
        <v>588</v>
      </c>
    </row>
    <row r="3698" spans="2:8">
      <c r="B3698" t="s">
        <v>790</v>
      </c>
      <c r="C3698" t="s">
        <v>887</v>
      </c>
      <c r="D3698">
        <v>7.5539267857761201E-7</v>
      </c>
      <c r="E3698" t="s">
        <v>94</v>
      </c>
      <c r="H3698" t="s">
        <v>588</v>
      </c>
    </row>
    <row r="3699" spans="2:8">
      <c r="B3699" t="s">
        <v>790</v>
      </c>
      <c r="C3699" t="s">
        <v>654</v>
      </c>
      <c r="D3699">
        <v>1.0204373258143401E-7</v>
      </c>
      <c r="E3699" t="s">
        <v>94</v>
      </c>
      <c r="H3699" t="s">
        <v>588</v>
      </c>
    </row>
    <row r="3700" spans="2:8">
      <c r="B3700" t="s">
        <v>790</v>
      </c>
      <c r="C3700" t="s">
        <v>883</v>
      </c>
      <c r="D3700">
        <v>2.3847330374291201E-8</v>
      </c>
      <c r="E3700" t="s">
        <v>94</v>
      </c>
      <c r="H3700" t="s">
        <v>588</v>
      </c>
    </row>
    <row r="3701" spans="2:8">
      <c r="B3701" t="s">
        <v>791</v>
      </c>
      <c r="C3701" t="s">
        <v>4401</v>
      </c>
      <c r="D3701">
        <v>1.13313043437648E-10</v>
      </c>
      <c r="E3701" t="s">
        <v>94</v>
      </c>
      <c r="H3701" t="s">
        <v>588</v>
      </c>
    </row>
    <row r="3702" spans="2:8">
      <c r="B3702" t="s">
        <v>791</v>
      </c>
      <c r="C3702" t="s">
        <v>887</v>
      </c>
      <c r="D3702">
        <v>4.4781208030198296E-6</v>
      </c>
      <c r="E3702" t="s">
        <v>94</v>
      </c>
      <c r="H3702" t="s">
        <v>588</v>
      </c>
    </row>
    <row r="3703" spans="2:8">
      <c r="B3703" t="s">
        <v>791</v>
      </c>
      <c r="C3703" t="s">
        <v>654</v>
      </c>
      <c r="D3703">
        <v>2.9373833600940501E-7</v>
      </c>
      <c r="E3703" t="s">
        <v>94</v>
      </c>
      <c r="H3703" t="s">
        <v>588</v>
      </c>
    </row>
    <row r="3704" spans="2:8">
      <c r="B3704" t="s">
        <v>791</v>
      </c>
      <c r="C3704" t="s">
        <v>4413</v>
      </c>
      <c r="D3704">
        <v>1.5505470518782401E-6</v>
      </c>
      <c r="E3704" t="s">
        <v>94</v>
      </c>
    </row>
    <row r="3705" spans="2:8">
      <c r="B3705" t="s">
        <v>791</v>
      </c>
      <c r="C3705" t="s">
        <v>658</v>
      </c>
      <c r="D3705">
        <v>7.4961063030763101E-9</v>
      </c>
      <c r="E3705" t="s">
        <v>94</v>
      </c>
      <c r="H3705" t="s">
        <v>588</v>
      </c>
    </row>
    <row r="3706" spans="2:8">
      <c r="B3706" t="s">
        <v>791</v>
      </c>
      <c r="C3706" t="s">
        <v>4389</v>
      </c>
      <c r="D3706">
        <v>1.5582928013767801E-8</v>
      </c>
      <c r="E3706" t="s">
        <v>94</v>
      </c>
      <c r="H3706" t="s">
        <v>588</v>
      </c>
    </row>
    <row r="3707" spans="2:8">
      <c r="B3707" t="s">
        <v>5121</v>
      </c>
      <c r="C3707" t="s">
        <v>744</v>
      </c>
      <c r="D3707">
        <v>1.7871334801701901E-4</v>
      </c>
      <c r="E3707" t="s">
        <v>94</v>
      </c>
      <c r="H3707" t="s">
        <v>588</v>
      </c>
    </row>
    <row r="3708" spans="2:8">
      <c r="B3708" t="s">
        <v>792</v>
      </c>
      <c r="C3708" t="s">
        <v>712</v>
      </c>
      <c r="D3708">
        <v>2.34244147508541E-7</v>
      </c>
      <c r="E3708" t="s">
        <v>94</v>
      </c>
      <c r="H3708" t="s">
        <v>588</v>
      </c>
    </row>
    <row r="3709" spans="2:8">
      <c r="B3709" t="s">
        <v>792</v>
      </c>
      <c r="C3709" t="s">
        <v>881</v>
      </c>
      <c r="D3709">
        <v>4.2494473087400697E-7</v>
      </c>
      <c r="E3709" t="s">
        <v>94</v>
      </c>
      <c r="H3709" t="s">
        <v>588</v>
      </c>
    </row>
    <row r="3710" spans="2:8">
      <c r="B3710" t="s">
        <v>792</v>
      </c>
      <c r="C3710" t="s">
        <v>883</v>
      </c>
      <c r="D3710">
        <v>4.6611128758644701E-7</v>
      </c>
      <c r="E3710" t="s">
        <v>94</v>
      </c>
      <c r="H3710" t="s">
        <v>588</v>
      </c>
    </row>
    <row r="3711" spans="2:8">
      <c r="B3711" t="s">
        <v>792</v>
      </c>
      <c r="C3711" t="s">
        <v>661</v>
      </c>
      <c r="D3711">
        <v>1.79883243919007E-6</v>
      </c>
      <c r="E3711" t="s">
        <v>94</v>
      </c>
      <c r="H3711" t="s">
        <v>588</v>
      </c>
    </row>
    <row r="3712" spans="2:8">
      <c r="B3712" t="s">
        <v>5123</v>
      </c>
      <c r="C3712" t="s">
        <v>658</v>
      </c>
      <c r="D3712">
        <v>1.9113104266192701E-8</v>
      </c>
      <c r="E3712" t="s">
        <v>890</v>
      </c>
      <c r="H3712" t="s">
        <v>588</v>
      </c>
    </row>
    <row r="3713" spans="1:17">
      <c r="B3713" t="s">
        <v>5123</v>
      </c>
      <c r="C3713" t="s">
        <v>661</v>
      </c>
      <c r="D3713">
        <v>4.9566917206227601E-4</v>
      </c>
      <c r="E3713" t="s">
        <v>890</v>
      </c>
      <c r="H3713" t="s">
        <v>588</v>
      </c>
    </row>
    <row r="3714" spans="1:17">
      <c r="B3714" t="s">
        <v>5124</v>
      </c>
      <c r="C3714" t="s">
        <v>658</v>
      </c>
      <c r="D3714">
        <v>4.5407469270631002E-8</v>
      </c>
      <c r="E3714" t="s">
        <v>890</v>
      </c>
      <c r="H3714" t="s">
        <v>588</v>
      </c>
    </row>
    <row r="3715" spans="1:17">
      <c r="B3715" t="s">
        <v>5124</v>
      </c>
      <c r="C3715" t="s">
        <v>661</v>
      </c>
      <c r="D3715">
        <v>2.8546915158193199E-3</v>
      </c>
      <c r="E3715" t="s">
        <v>890</v>
      </c>
      <c r="H3715" t="s">
        <v>588</v>
      </c>
    </row>
    <row r="3717" spans="1:17" ht="21">
      <c r="A3717" s="426" t="s">
        <v>1132</v>
      </c>
    </row>
    <row r="3719" spans="1:17">
      <c r="A3719" s="421" t="s">
        <v>564</v>
      </c>
    </row>
    <row r="3720" spans="1:17">
      <c r="A3720" s="423" t="s">
        <v>565</v>
      </c>
      <c r="B3720" t="s">
        <v>5141</v>
      </c>
    </row>
    <row r="3721" spans="1:17">
      <c r="A3721" s="423" t="s">
        <v>567</v>
      </c>
      <c r="B3721" t="s">
        <v>5132</v>
      </c>
    </row>
    <row r="3722" spans="1:17">
      <c r="A3722" s="423" t="s">
        <v>568</v>
      </c>
      <c r="B3722" t="s">
        <v>667</v>
      </c>
    </row>
    <row r="3723" spans="1:17">
      <c r="A3723" s="423" t="s">
        <v>585</v>
      </c>
      <c r="B3723" t="s">
        <v>5142</v>
      </c>
    </row>
    <row r="3725" spans="1:17">
      <c r="A3725" s="423" t="s">
        <v>665</v>
      </c>
    </row>
    <row r="3726" spans="1:17">
      <c r="A3726" s="421" t="s">
        <v>570</v>
      </c>
      <c r="B3726" s="421" t="s">
        <v>571</v>
      </c>
      <c r="C3726" s="421" t="s">
        <v>568</v>
      </c>
      <c r="D3726" s="421" t="s">
        <v>572</v>
      </c>
      <c r="E3726" s="421" t="s">
        <v>573</v>
      </c>
      <c r="F3726" s="421" t="s">
        <v>574</v>
      </c>
      <c r="G3726" s="421" t="s">
        <v>575</v>
      </c>
      <c r="H3726" s="421" t="s">
        <v>576</v>
      </c>
      <c r="I3726" s="421" t="s">
        <v>577</v>
      </c>
      <c r="J3726" s="421" t="s">
        <v>578</v>
      </c>
      <c r="K3726" s="421" t="s">
        <v>579</v>
      </c>
      <c r="L3726" s="421" t="s">
        <v>580</v>
      </c>
      <c r="M3726" s="421" t="s">
        <v>581</v>
      </c>
      <c r="N3726" s="421" t="s">
        <v>582</v>
      </c>
      <c r="O3726" s="421" t="s">
        <v>583</v>
      </c>
      <c r="P3726" s="421" t="s">
        <v>584</v>
      </c>
      <c r="Q3726" s="421" t="s">
        <v>585</v>
      </c>
    </row>
    <row r="3727" spans="1:17">
      <c r="B3727" t="s">
        <v>1133</v>
      </c>
      <c r="C3727" t="s">
        <v>701</v>
      </c>
      <c r="D3727">
        <v>9.9470014782334798E-6</v>
      </c>
      <c r="E3727" t="s">
        <v>94</v>
      </c>
      <c r="H3727" t="s">
        <v>588</v>
      </c>
      <c r="I3727">
        <v>9.9470014782334798E-6</v>
      </c>
      <c r="J3727">
        <v>1.0247973619913604</v>
      </c>
      <c r="N3727" t="s">
        <v>1134</v>
      </c>
      <c r="O3727" t="s">
        <v>1135</v>
      </c>
      <c r="Q3727" t="s">
        <v>1136</v>
      </c>
    </row>
    <row r="3728" spans="1:17">
      <c r="B3728" t="s">
        <v>1137</v>
      </c>
      <c r="C3728" t="s">
        <v>1138</v>
      </c>
      <c r="D3728">
        <v>3.2003836912228001E-5</v>
      </c>
      <c r="E3728" t="s">
        <v>94</v>
      </c>
      <c r="H3728" t="s">
        <v>588</v>
      </c>
      <c r="I3728">
        <v>3.2003836912228001E-5</v>
      </c>
      <c r="J3728">
        <v>1.0247973619913604</v>
      </c>
      <c r="N3728" t="s">
        <v>1139</v>
      </c>
      <c r="O3728" t="s">
        <v>1140</v>
      </c>
      <c r="Q3728" t="s">
        <v>1141</v>
      </c>
    </row>
    <row r="3729" spans="2:17">
      <c r="B3729" t="s">
        <v>1142</v>
      </c>
      <c r="C3729" t="s">
        <v>1143</v>
      </c>
      <c r="D3729">
        <v>1.9022002579694499E-6</v>
      </c>
      <c r="E3729" t="s">
        <v>94</v>
      </c>
      <c r="H3729" t="s">
        <v>588</v>
      </c>
      <c r="I3729">
        <v>1.9022002579694499E-6</v>
      </c>
      <c r="J3729">
        <v>1.2214027581601699</v>
      </c>
      <c r="N3729" t="s">
        <v>1144</v>
      </c>
      <c r="O3729" t="s">
        <v>1145</v>
      </c>
      <c r="Q3729" t="s">
        <v>1146</v>
      </c>
    </row>
    <row r="3730" spans="2:17">
      <c r="B3730" t="s">
        <v>1142</v>
      </c>
      <c r="C3730" t="s">
        <v>1143</v>
      </c>
      <c r="D3730">
        <v>9.0299851326595903E-6</v>
      </c>
      <c r="E3730" t="s">
        <v>94</v>
      </c>
      <c r="H3730" t="s">
        <v>588</v>
      </c>
      <c r="I3730">
        <v>9.0299851326595903E-6</v>
      </c>
      <c r="J3730">
        <v>1.2214027581601699</v>
      </c>
      <c r="N3730" t="s">
        <v>1144</v>
      </c>
      <c r="O3730" t="s">
        <v>1145</v>
      </c>
      <c r="Q3730" t="s">
        <v>1146</v>
      </c>
    </row>
    <row r="3731" spans="2:17">
      <c r="B3731" t="s">
        <v>1147</v>
      </c>
      <c r="C3731" t="s">
        <v>857</v>
      </c>
      <c r="D3731">
        <v>1.56818800869917E-13</v>
      </c>
      <c r="E3731" t="s">
        <v>616</v>
      </c>
      <c r="H3731" t="s">
        <v>588</v>
      </c>
      <c r="I3731">
        <v>1.56818800869917E-13</v>
      </c>
      <c r="J3731">
        <v>1.0247973619913604</v>
      </c>
      <c r="N3731" t="s">
        <v>1148</v>
      </c>
      <c r="O3731" t="s">
        <v>952</v>
      </c>
      <c r="Q3731" t="s">
        <v>595</v>
      </c>
    </row>
    <row r="3732" spans="2:17">
      <c r="B3732" t="s">
        <v>666</v>
      </c>
      <c r="C3732" t="s">
        <v>667</v>
      </c>
      <c r="D3732">
        <v>3.1397847254122899E-6</v>
      </c>
      <c r="E3732" t="s">
        <v>94</v>
      </c>
      <c r="H3732" t="s">
        <v>588</v>
      </c>
      <c r="I3732">
        <v>3.1397847254122899E-6</v>
      </c>
      <c r="J3732">
        <v>1.0247973619913604</v>
      </c>
      <c r="N3732" t="s">
        <v>668</v>
      </c>
      <c r="O3732" t="s">
        <v>1150</v>
      </c>
      <c r="Q3732" t="s">
        <v>1151</v>
      </c>
    </row>
    <row r="3733" spans="2:17">
      <c r="B3733" t="s">
        <v>666</v>
      </c>
      <c r="C3733" t="s">
        <v>667</v>
      </c>
      <c r="D3733">
        <v>4.4501170459212303E-3</v>
      </c>
      <c r="E3733" t="s">
        <v>94</v>
      </c>
      <c r="H3733" t="s">
        <v>588</v>
      </c>
      <c r="I3733">
        <v>4.4501170459212303E-3</v>
      </c>
      <c r="J3733">
        <v>1.0247973619913604</v>
      </c>
      <c r="N3733" t="s">
        <v>668</v>
      </c>
      <c r="O3733" t="s">
        <v>1140</v>
      </c>
      <c r="Q3733" t="s">
        <v>1152</v>
      </c>
    </row>
    <row r="3734" spans="2:17">
      <c r="B3734" t="s">
        <v>1109</v>
      </c>
      <c r="C3734" t="s">
        <v>667</v>
      </c>
      <c r="D3734">
        <v>4.3609448489106001E-3</v>
      </c>
      <c r="E3734" t="s">
        <v>94</v>
      </c>
      <c r="H3734" t="s">
        <v>588</v>
      </c>
      <c r="I3734">
        <v>4.3609448489106001E-3</v>
      </c>
      <c r="J3734">
        <v>1.0247973619913604</v>
      </c>
      <c r="N3734" t="s">
        <v>1107</v>
      </c>
      <c r="O3734" t="s">
        <v>1153</v>
      </c>
      <c r="Q3734" t="s">
        <v>1154</v>
      </c>
    </row>
    <row r="3735" spans="2:17">
      <c r="B3735" t="s">
        <v>1155</v>
      </c>
      <c r="C3735" t="s">
        <v>667</v>
      </c>
      <c r="D3735">
        <v>1.32402947671515E-2</v>
      </c>
      <c r="E3735" t="s">
        <v>94</v>
      </c>
      <c r="H3735" t="s">
        <v>588</v>
      </c>
      <c r="I3735">
        <v>1.32402947671515E-2</v>
      </c>
      <c r="J3735">
        <v>1</v>
      </c>
      <c r="N3735" t="s">
        <v>1156</v>
      </c>
      <c r="O3735" t="s">
        <v>1157</v>
      </c>
      <c r="Q3735" t="s">
        <v>1158</v>
      </c>
    </row>
    <row r="3736" spans="2:17">
      <c r="B3736" t="s">
        <v>1159</v>
      </c>
      <c r="C3736" t="s">
        <v>667</v>
      </c>
      <c r="D3736">
        <v>1.9477818001401E-3</v>
      </c>
      <c r="E3736" t="s">
        <v>94</v>
      </c>
      <c r="H3736" t="s">
        <v>588</v>
      </c>
      <c r="I3736">
        <v>1.9477818001401E-3</v>
      </c>
      <c r="J3736">
        <v>1.0247973619913604</v>
      </c>
      <c r="N3736" t="s">
        <v>1160</v>
      </c>
      <c r="O3736" t="s">
        <v>1150</v>
      </c>
      <c r="Q3736" t="s">
        <v>1151</v>
      </c>
    </row>
    <row r="3737" spans="2:17">
      <c r="B3737" t="s">
        <v>1161</v>
      </c>
      <c r="C3737" t="s">
        <v>809</v>
      </c>
      <c r="D3737">
        <v>8.4768562829418405E-5</v>
      </c>
      <c r="E3737" t="s">
        <v>94</v>
      </c>
      <c r="H3737" t="s">
        <v>588</v>
      </c>
      <c r="I3737">
        <v>8.4768562829418405E-5</v>
      </c>
      <c r="J3737">
        <v>1.0247973619913604</v>
      </c>
      <c r="N3737" t="s">
        <v>1162</v>
      </c>
      <c r="O3737" t="s">
        <v>1140</v>
      </c>
      <c r="Q3737" t="s">
        <v>1163</v>
      </c>
    </row>
    <row r="3738" spans="2:17">
      <c r="B3738" t="s">
        <v>1164</v>
      </c>
      <c r="C3738" t="s">
        <v>809</v>
      </c>
      <c r="D3738">
        <v>5.7611502691266503E-5</v>
      </c>
      <c r="E3738" t="s">
        <v>94</v>
      </c>
      <c r="H3738" t="s">
        <v>588</v>
      </c>
      <c r="I3738">
        <v>5.7611502691266503E-5</v>
      </c>
      <c r="J3738">
        <v>1.0247973619913604</v>
      </c>
      <c r="N3738" t="s">
        <v>1165</v>
      </c>
      <c r="O3738" t="s">
        <v>1157</v>
      </c>
      <c r="Q3738" t="s">
        <v>1166</v>
      </c>
    </row>
    <row r="3739" spans="2:17">
      <c r="B3739" t="s">
        <v>1167</v>
      </c>
      <c r="C3739" t="s">
        <v>667</v>
      </c>
      <c r="D3739">
        <v>3.6868878494922799E-7</v>
      </c>
      <c r="E3739" t="s">
        <v>94</v>
      </c>
      <c r="H3739" t="s">
        <v>588</v>
      </c>
      <c r="I3739">
        <v>3.6868878494922799E-7</v>
      </c>
      <c r="J3739">
        <v>1.0247973619913604</v>
      </c>
      <c r="N3739" t="s">
        <v>1168</v>
      </c>
      <c r="O3739" t="s">
        <v>1150</v>
      </c>
      <c r="Q3739" t="s">
        <v>1151</v>
      </c>
    </row>
    <row r="3740" spans="2:17">
      <c r="B3740" t="s">
        <v>1167</v>
      </c>
      <c r="C3740" t="s">
        <v>667</v>
      </c>
      <c r="D3740">
        <v>7.3369068204896397E-5</v>
      </c>
      <c r="E3740" t="s">
        <v>94</v>
      </c>
      <c r="H3740" t="s">
        <v>588</v>
      </c>
      <c r="I3740">
        <v>7.3369068204896397E-5</v>
      </c>
      <c r="J3740">
        <v>1.0247973619913604</v>
      </c>
      <c r="N3740" t="s">
        <v>1168</v>
      </c>
      <c r="O3740" t="s">
        <v>1150</v>
      </c>
      <c r="Q3740" t="s">
        <v>1151</v>
      </c>
    </row>
    <row r="3741" spans="2:17">
      <c r="B3741" t="s">
        <v>1169</v>
      </c>
      <c r="C3741" t="s">
        <v>1170</v>
      </c>
      <c r="D3741">
        <v>9.1341579803647598E-4</v>
      </c>
      <c r="E3741" t="s">
        <v>1171</v>
      </c>
      <c r="H3741" t="s">
        <v>588</v>
      </c>
      <c r="I3741">
        <v>9.1341579803647598E-4</v>
      </c>
      <c r="J3741">
        <v>1.0247973619913604</v>
      </c>
      <c r="N3741" t="s">
        <v>1172</v>
      </c>
      <c r="O3741" t="s">
        <v>1173</v>
      </c>
      <c r="Q3741" t="s">
        <v>1154</v>
      </c>
    </row>
    <row r="3742" spans="2:17">
      <c r="B3742" t="s">
        <v>1174</v>
      </c>
      <c r="C3742" t="s">
        <v>1170</v>
      </c>
      <c r="D3742">
        <v>4.4020038459589201E-5</v>
      </c>
      <c r="E3742" t="s">
        <v>1171</v>
      </c>
      <c r="H3742" t="s">
        <v>588</v>
      </c>
      <c r="I3742">
        <v>4.4020038459589201E-5</v>
      </c>
      <c r="J3742">
        <v>1.0247973619913604</v>
      </c>
      <c r="N3742" t="s">
        <v>1175</v>
      </c>
      <c r="O3742" t="s">
        <v>1173</v>
      </c>
      <c r="Q3742" t="s">
        <v>1154</v>
      </c>
    </row>
    <row r="3743" spans="2:17">
      <c r="B3743" t="s">
        <v>1176</v>
      </c>
      <c r="C3743" t="s">
        <v>1170</v>
      </c>
      <c r="D3743">
        <v>3.14481120595437E-5</v>
      </c>
      <c r="E3743" t="s">
        <v>94</v>
      </c>
      <c r="H3743" t="s">
        <v>588</v>
      </c>
      <c r="I3743">
        <v>3.14481120595437E-5</v>
      </c>
      <c r="J3743">
        <v>1.0247973619913604</v>
      </c>
      <c r="N3743" t="s">
        <v>1177</v>
      </c>
      <c r="O3743" t="s">
        <v>1173</v>
      </c>
      <c r="Q3743" t="s">
        <v>1154</v>
      </c>
    </row>
    <row r="3744" spans="2:17">
      <c r="B3744" t="s">
        <v>1178</v>
      </c>
      <c r="C3744" t="s">
        <v>1170</v>
      </c>
      <c r="D3744">
        <v>2.0803375635794499E-4</v>
      </c>
      <c r="E3744" t="s">
        <v>94</v>
      </c>
      <c r="H3744" t="s">
        <v>588</v>
      </c>
      <c r="I3744">
        <v>2.0803375635794499E-4</v>
      </c>
      <c r="J3744">
        <v>1.0247973619913604</v>
      </c>
      <c r="N3744" t="s">
        <v>1179</v>
      </c>
      <c r="O3744" t="s">
        <v>1173</v>
      </c>
      <c r="Q3744" t="s">
        <v>1154</v>
      </c>
    </row>
    <row r="3745" spans="2:17">
      <c r="B3745" t="s">
        <v>1180</v>
      </c>
      <c r="C3745" t="s">
        <v>1170</v>
      </c>
      <c r="D3745">
        <v>2.2714339845147999E-6</v>
      </c>
      <c r="E3745" t="s">
        <v>94</v>
      </c>
      <c r="H3745" t="s">
        <v>588</v>
      </c>
      <c r="I3745">
        <v>2.2714339845147999E-6</v>
      </c>
      <c r="J3745">
        <v>1.0247973619913604</v>
      </c>
      <c r="N3745" t="s">
        <v>1181</v>
      </c>
      <c r="O3745" t="s">
        <v>1173</v>
      </c>
      <c r="Q3745" t="s">
        <v>1154</v>
      </c>
    </row>
    <row r="3746" spans="2:17">
      <c r="B3746" t="s">
        <v>1182</v>
      </c>
      <c r="C3746" t="s">
        <v>1170</v>
      </c>
      <c r="D3746">
        <v>1.76850003714849E-4</v>
      </c>
      <c r="E3746" t="s">
        <v>94</v>
      </c>
      <c r="H3746" t="s">
        <v>588</v>
      </c>
      <c r="I3746">
        <v>1.76850003714849E-4</v>
      </c>
      <c r="J3746">
        <v>1.0247973619913604</v>
      </c>
      <c r="N3746" t="s">
        <v>1183</v>
      </c>
      <c r="O3746" t="s">
        <v>1173</v>
      </c>
      <c r="Q3746" t="s">
        <v>1154</v>
      </c>
    </row>
    <row r="3747" spans="2:17">
      <c r="B3747" t="s">
        <v>1184</v>
      </c>
      <c r="C3747" t="s">
        <v>1170</v>
      </c>
      <c r="D3747">
        <v>1.19344802502461E-4</v>
      </c>
      <c r="E3747" t="s">
        <v>94</v>
      </c>
      <c r="H3747" t="s">
        <v>588</v>
      </c>
      <c r="I3747">
        <v>1.19344802502461E-4</v>
      </c>
      <c r="J3747">
        <v>1.0247973619913604</v>
      </c>
      <c r="N3747" t="s">
        <v>1185</v>
      </c>
      <c r="O3747" t="s">
        <v>1150</v>
      </c>
      <c r="Q3747" t="s">
        <v>1151</v>
      </c>
    </row>
    <row r="3748" spans="2:17">
      <c r="B3748" t="s">
        <v>1186</v>
      </c>
      <c r="C3748" t="s">
        <v>1170</v>
      </c>
      <c r="D3748">
        <v>9.9615562839503506E-7</v>
      </c>
      <c r="E3748" t="s">
        <v>94</v>
      </c>
      <c r="H3748" t="s">
        <v>588</v>
      </c>
      <c r="I3748">
        <v>9.9615562839503506E-7</v>
      </c>
      <c r="J3748">
        <v>1.0247973619913604</v>
      </c>
      <c r="N3748" t="s">
        <v>1187</v>
      </c>
      <c r="O3748" t="s">
        <v>1173</v>
      </c>
      <c r="Q3748" t="s">
        <v>1154</v>
      </c>
    </row>
    <row r="3749" spans="2:17">
      <c r="B3749" t="s">
        <v>954</v>
      </c>
      <c r="C3749" t="s">
        <v>821</v>
      </c>
      <c r="D3749">
        <v>4.5840432821090699E-3</v>
      </c>
      <c r="E3749" t="s">
        <v>94</v>
      </c>
      <c r="H3749" t="s">
        <v>588</v>
      </c>
      <c r="I3749">
        <v>4.5840432821090699E-3</v>
      </c>
      <c r="J3749">
        <v>1.151909910168909</v>
      </c>
      <c r="N3749" t="s">
        <v>955</v>
      </c>
      <c r="O3749" t="s">
        <v>798</v>
      </c>
      <c r="Q3749" t="s">
        <v>1188</v>
      </c>
    </row>
    <row r="3750" spans="2:17">
      <c r="B3750" t="s">
        <v>1189</v>
      </c>
      <c r="C3750" t="s">
        <v>650</v>
      </c>
      <c r="D3750">
        <v>6.7158446998566096E-3</v>
      </c>
      <c r="E3750" t="s">
        <v>94</v>
      </c>
      <c r="H3750" t="s">
        <v>588</v>
      </c>
      <c r="I3750">
        <v>6.7158446998566096E-3</v>
      </c>
      <c r="J3750">
        <v>1.0247973619913604</v>
      </c>
      <c r="N3750" t="s">
        <v>1190</v>
      </c>
      <c r="O3750" t="s">
        <v>1157</v>
      </c>
      <c r="Q3750" t="s">
        <v>1191</v>
      </c>
    </row>
    <row r="3751" spans="2:17">
      <c r="B3751" t="s">
        <v>1192</v>
      </c>
      <c r="C3751" t="s">
        <v>673</v>
      </c>
      <c r="D3751">
        <v>1.3919802729136001E-5</v>
      </c>
      <c r="E3751" t="s">
        <v>94</v>
      </c>
      <c r="H3751" t="s">
        <v>588</v>
      </c>
      <c r="I3751">
        <v>1.3919802729136001E-5</v>
      </c>
      <c r="J3751">
        <v>1</v>
      </c>
      <c r="N3751" t="s">
        <v>1193</v>
      </c>
      <c r="O3751" t="s">
        <v>1157</v>
      </c>
      <c r="Q3751" t="s">
        <v>1194</v>
      </c>
    </row>
    <row r="3752" spans="2:17">
      <c r="B3752" t="s">
        <v>1195</v>
      </c>
      <c r="C3752" t="s">
        <v>667</v>
      </c>
      <c r="D3752">
        <v>4.2201914708680703E-6</v>
      </c>
      <c r="E3752" t="s">
        <v>94</v>
      </c>
      <c r="H3752" t="s">
        <v>588</v>
      </c>
      <c r="I3752">
        <v>4.2201914708680703E-6</v>
      </c>
      <c r="J3752">
        <v>1.2214027581601699</v>
      </c>
      <c r="N3752" t="s">
        <v>1196</v>
      </c>
      <c r="O3752" t="s">
        <v>1145</v>
      </c>
      <c r="Q3752" t="s">
        <v>1146</v>
      </c>
    </row>
    <row r="3753" spans="2:17">
      <c r="B3753" t="s">
        <v>1197</v>
      </c>
      <c r="C3753" t="s">
        <v>676</v>
      </c>
      <c r="D3753">
        <v>1.6746623098107101E-4</v>
      </c>
      <c r="E3753" t="s">
        <v>94</v>
      </c>
      <c r="H3753" t="s">
        <v>588</v>
      </c>
      <c r="I3753">
        <v>1.6746623098107101E-4</v>
      </c>
      <c r="J3753">
        <v>1.0247973619913604</v>
      </c>
      <c r="N3753" t="s">
        <v>1198</v>
      </c>
      <c r="O3753" t="s">
        <v>1140</v>
      </c>
      <c r="Q3753" t="s">
        <v>1199</v>
      </c>
    </row>
    <row r="3754" spans="2:17">
      <c r="B3754" t="s">
        <v>1200</v>
      </c>
      <c r="C3754" t="s">
        <v>1143</v>
      </c>
      <c r="D3754">
        <v>8.6363319692120107E-6</v>
      </c>
      <c r="E3754" t="s">
        <v>94</v>
      </c>
      <c r="H3754" t="s">
        <v>588</v>
      </c>
      <c r="I3754">
        <v>8.6363319692120107E-6</v>
      </c>
      <c r="J3754">
        <v>1.0247973619913604</v>
      </c>
      <c r="N3754" t="s">
        <v>1201</v>
      </c>
      <c r="O3754" t="s">
        <v>1135</v>
      </c>
      <c r="Q3754" t="s">
        <v>1136</v>
      </c>
    </row>
    <row r="3755" spans="2:17">
      <c r="B3755" t="s">
        <v>1200</v>
      </c>
      <c r="C3755" t="s">
        <v>1143</v>
      </c>
      <c r="D3755">
        <v>1.7487478598053601E-5</v>
      </c>
      <c r="E3755" t="s">
        <v>94</v>
      </c>
      <c r="H3755" t="s">
        <v>588</v>
      </c>
      <c r="I3755">
        <v>1.7487478598053601E-5</v>
      </c>
      <c r="J3755">
        <v>1.0247973619913604</v>
      </c>
      <c r="N3755" t="s">
        <v>1201</v>
      </c>
      <c r="O3755" t="s">
        <v>1135</v>
      </c>
      <c r="Q3755" t="s">
        <v>1136</v>
      </c>
    </row>
    <row r="3756" spans="2:17">
      <c r="B3756" t="s">
        <v>1202</v>
      </c>
      <c r="C3756" t="s">
        <v>673</v>
      </c>
      <c r="D3756">
        <v>1.8571646939439799E-5</v>
      </c>
      <c r="E3756" t="s">
        <v>94</v>
      </c>
      <c r="H3756" t="s">
        <v>588</v>
      </c>
      <c r="I3756">
        <v>1.8571646939439799E-5</v>
      </c>
      <c r="J3756">
        <v>1.0247973619913604</v>
      </c>
      <c r="N3756" t="s">
        <v>1203</v>
      </c>
      <c r="O3756" t="s">
        <v>1157</v>
      </c>
      <c r="Q3756" t="s">
        <v>1166</v>
      </c>
    </row>
    <row r="3757" spans="2:17">
      <c r="B3757" t="s">
        <v>1204</v>
      </c>
      <c r="C3757" t="s">
        <v>667</v>
      </c>
      <c r="D3757">
        <v>2.1914479473450601E-3</v>
      </c>
      <c r="E3757" t="s">
        <v>94</v>
      </c>
      <c r="H3757" t="s">
        <v>588</v>
      </c>
      <c r="I3757">
        <v>2.1914479473450601E-3</v>
      </c>
      <c r="J3757">
        <v>1.0247973619913604</v>
      </c>
      <c r="N3757" t="s">
        <v>1205</v>
      </c>
      <c r="O3757" t="s">
        <v>855</v>
      </c>
      <c r="Q3757" t="s">
        <v>5135</v>
      </c>
    </row>
    <row r="3758" spans="2:17">
      <c r="B3758" t="s">
        <v>1207</v>
      </c>
      <c r="C3758" t="s">
        <v>592</v>
      </c>
      <c r="D3758">
        <v>4.1504030190729702E-3</v>
      </c>
      <c r="E3758" t="s">
        <v>607</v>
      </c>
      <c r="H3758" t="s">
        <v>588</v>
      </c>
      <c r="I3758">
        <v>4.1504030190729702E-3</v>
      </c>
      <c r="J3758">
        <v>1</v>
      </c>
      <c r="N3758" t="s">
        <v>1208</v>
      </c>
      <c r="O3758" t="s">
        <v>1157</v>
      </c>
      <c r="Q3758" t="s">
        <v>1209</v>
      </c>
    </row>
    <row r="3759" spans="2:17">
      <c r="B3759" t="s">
        <v>1210</v>
      </c>
      <c r="C3759" t="s">
        <v>597</v>
      </c>
      <c r="D3759">
        <v>7.9654512141031405E-4</v>
      </c>
      <c r="E3759" t="s">
        <v>607</v>
      </c>
      <c r="H3759" t="s">
        <v>588</v>
      </c>
      <c r="I3759">
        <v>7.9654512141031405E-4</v>
      </c>
      <c r="J3759">
        <v>1</v>
      </c>
      <c r="N3759" t="s">
        <v>1211</v>
      </c>
      <c r="O3759" t="s">
        <v>1157</v>
      </c>
      <c r="Q3759" t="s">
        <v>1212</v>
      </c>
    </row>
    <row r="3760" spans="2:17">
      <c r="B3760" t="s">
        <v>1213</v>
      </c>
      <c r="C3760" t="s">
        <v>1170</v>
      </c>
      <c r="D3760">
        <v>1.1889056507323399E-6</v>
      </c>
      <c r="E3760" t="s">
        <v>94</v>
      </c>
      <c r="H3760" t="s">
        <v>588</v>
      </c>
      <c r="I3760">
        <v>1.1889056507323399E-6</v>
      </c>
      <c r="J3760">
        <v>1.0247973619913604</v>
      </c>
      <c r="N3760" t="s">
        <v>1214</v>
      </c>
      <c r="O3760" t="s">
        <v>1173</v>
      </c>
      <c r="Q3760" t="s">
        <v>1154</v>
      </c>
    </row>
    <row r="3761" spans="2:17">
      <c r="B3761" t="s">
        <v>1215</v>
      </c>
      <c r="C3761" t="s">
        <v>1170</v>
      </c>
      <c r="D3761">
        <v>1.0889801634290701E-6</v>
      </c>
      <c r="E3761" t="s">
        <v>94</v>
      </c>
      <c r="H3761" t="s">
        <v>588</v>
      </c>
      <c r="I3761">
        <v>1.0889801634290701E-6</v>
      </c>
      <c r="J3761">
        <v>1.0247973619913604</v>
      </c>
      <c r="N3761" t="s">
        <v>1216</v>
      </c>
      <c r="O3761" t="s">
        <v>1173</v>
      </c>
      <c r="Q3761" t="s">
        <v>1154</v>
      </c>
    </row>
    <row r="3762" spans="2:17">
      <c r="B3762" t="s">
        <v>1217</v>
      </c>
      <c r="C3762" t="s">
        <v>597</v>
      </c>
      <c r="D3762">
        <v>0.42796330959113499</v>
      </c>
      <c r="E3762" t="s">
        <v>598</v>
      </c>
      <c r="H3762" t="s">
        <v>588</v>
      </c>
      <c r="I3762">
        <v>0.42796330959113499</v>
      </c>
      <c r="J3762">
        <v>1.0247973619913604</v>
      </c>
      <c r="N3762" t="s">
        <v>1218</v>
      </c>
      <c r="O3762" t="s">
        <v>1157</v>
      </c>
      <c r="Q3762" t="s">
        <v>1219</v>
      </c>
    </row>
    <row r="3763" spans="2:17">
      <c r="B3763" t="s">
        <v>839</v>
      </c>
      <c r="C3763" t="s">
        <v>597</v>
      </c>
      <c r="D3763">
        <v>2.0062239611361699E-5</v>
      </c>
      <c r="E3763" t="s">
        <v>598</v>
      </c>
      <c r="H3763" t="s">
        <v>588</v>
      </c>
      <c r="I3763">
        <v>2.0062239611361699E-5</v>
      </c>
      <c r="J3763">
        <v>1.0247973619913604</v>
      </c>
      <c r="N3763" t="s">
        <v>840</v>
      </c>
      <c r="O3763" t="s">
        <v>1150</v>
      </c>
      <c r="Q3763" t="s">
        <v>1151</v>
      </c>
    </row>
    <row r="3764" spans="2:17">
      <c r="B3764" t="s">
        <v>596</v>
      </c>
      <c r="C3764" t="s">
        <v>597</v>
      </c>
      <c r="D3764">
        <v>2.5025015645734699E-2</v>
      </c>
      <c r="E3764" t="s">
        <v>598</v>
      </c>
      <c r="H3764" t="s">
        <v>588</v>
      </c>
      <c r="I3764">
        <v>2.5025015645734699E-2</v>
      </c>
      <c r="J3764">
        <v>1.0247973619913604</v>
      </c>
      <c r="N3764" t="s">
        <v>599</v>
      </c>
      <c r="O3764" t="s">
        <v>1153</v>
      </c>
      <c r="Q3764" t="s">
        <v>1221</v>
      </c>
    </row>
    <row r="3765" spans="2:17">
      <c r="B3765" t="s">
        <v>596</v>
      </c>
      <c r="C3765" t="s">
        <v>597</v>
      </c>
      <c r="D3765">
        <v>0.34238209833147398</v>
      </c>
      <c r="E3765" t="s">
        <v>598</v>
      </c>
      <c r="H3765" t="s">
        <v>588</v>
      </c>
      <c r="I3765">
        <v>0.34238209833147398</v>
      </c>
      <c r="J3765">
        <v>1</v>
      </c>
      <c r="N3765" t="s">
        <v>797</v>
      </c>
      <c r="O3765" t="s">
        <v>1157</v>
      </c>
      <c r="Q3765" t="s">
        <v>1220</v>
      </c>
    </row>
    <row r="3766" spans="2:17">
      <c r="B3766" t="s">
        <v>1222</v>
      </c>
      <c r="C3766" t="s">
        <v>701</v>
      </c>
      <c r="D3766">
        <v>2.0200182422901E-3</v>
      </c>
      <c r="E3766" t="s">
        <v>94</v>
      </c>
      <c r="H3766" t="s">
        <v>588</v>
      </c>
      <c r="I3766">
        <v>2.0200182422901E-3</v>
      </c>
      <c r="J3766">
        <v>1.0247973619913604</v>
      </c>
      <c r="N3766" t="s">
        <v>1223</v>
      </c>
      <c r="O3766" t="s">
        <v>1173</v>
      </c>
      <c r="Q3766" t="s">
        <v>1154</v>
      </c>
    </row>
    <row r="3767" spans="2:17">
      <c r="B3767" t="s">
        <v>1224</v>
      </c>
      <c r="C3767" t="s">
        <v>673</v>
      </c>
      <c r="D3767">
        <v>4.5455430387042202E-6</v>
      </c>
      <c r="E3767" t="s">
        <v>94</v>
      </c>
      <c r="H3767" t="s">
        <v>588</v>
      </c>
      <c r="I3767">
        <v>4.5455430387042202E-6</v>
      </c>
      <c r="J3767">
        <v>1.0247973619913604</v>
      </c>
      <c r="N3767" t="s">
        <v>1225</v>
      </c>
      <c r="O3767" t="s">
        <v>1135</v>
      </c>
      <c r="Q3767" t="s">
        <v>1136</v>
      </c>
    </row>
    <row r="3768" spans="2:17">
      <c r="B3768" t="s">
        <v>1224</v>
      </c>
      <c r="C3768" t="s">
        <v>673</v>
      </c>
      <c r="D3768">
        <v>2.15782675285614E-5</v>
      </c>
      <c r="E3768" t="s">
        <v>94</v>
      </c>
      <c r="H3768" t="s">
        <v>588</v>
      </c>
      <c r="I3768">
        <v>2.15782675285614E-5</v>
      </c>
      <c r="J3768">
        <v>1.0247973619913604</v>
      </c>
      <c r="N3768" t="s">
        <v>1225</v>
      </c>
      <c r="O3768" t="s">
        <v>1135</v>
      </c>
      <c r="Q3768" t="s">
        <v>1136</v>
      </c>
    </row>
    <row r="3769" spans="2:17">
      <c r="B3769" t="s">
        <v>1226</v>
      </c>
      <c r="C3769" t="s">
        <v>708</v>
      </c>
      <c r="D3769">
        <v>4.9512134366812601E-5</v>
      </c>
      <c r="E3769" t="s">
        <v>94</v>
      </c>
      <c r="H3769" t="s">
        <v>588</v>
      </c>
      <c r="I3769">
        <v>4.9512134366812601E-5</v>
      </c>
      <c r="J3769">
        <v>1.0247973619913604</v>
      </c>
      <c r="N3769" t="s">
        <v>1227</v>
      </c>
      <c r="O3769" t="s">
        <v>1140</v>
      </c>
      <c r="Q3769" t="s">
        <v>1228</v>
      </c>
    </row>
    <row r="3770" spans="2:17">
      <c r="B3770" t="s">
        <v>1229</v>
      </c>
      <c r="C3770" t="s">
        <v>664</v>
      </c>
      <c r="D3770">
        <v>1.11459951467684E-5</v>
      </c>
      <c r="E3770" t="s">
        <v>94</v>
      </c>
      <c r="H3770" t="s">
        <v>588</v>
      </c>
      <c r="I3770">
        <v>1.11459951467684E-5</v>
      </c>
      <c r="J3770">
        <v>1.2214027581601699</v>
      </c>
      <c r="N3770" t="s">
        <v>1230</v>
      </c>
      <c r="O3770" t="s">
        <v>1145</v>
      </c>
      <c r="Q3770" t="s">
        <v>595</v>
      </c>
    </row>
    <row r="3771" spans="2:17">
      <c r="B3771" t="s">
        <v>1229</v>
      </c>
      <c r="C3771" t="s">
        <v>664</v>
      </c>
      <c r="D3771">
        <v>3.3770094512721699E-7</v>
      </c>
      <c r="E3771" t="s">
        <v>94</v>
      </c>
      <c r="H3771" t="s">
        <v>588</v>
      </c>
      <c r="I3771">
        <v>3.3770094512721699E-7</v>
      </c>
      <c r="J3771">
        <v>1.2214027581601699</v>
      </c>
      <c r="N3771" t="s">
        <v>1230</v>
      </c>
      <c r="O3771" t="s">
        <v>1145</v>
      </c>
      <c r="Q3771" t="s">
        <v>595</v>
      </c>
    </row>
    <row r="3772" spans="2:17">
      <c r="B3772" t="s">
        <v>1229</v>
      </c>
      <c r="C3772" t="s">
        <v>664</v>
      </c>
      <c r="D3772">
        <v>2.1047439232767E-5</v>
      </c>
      <c r="E3772" t="s">
        <v>94</v>
      </c>
      <c r="H3772" t="s">
        <v>588</v>
      </c>
      <c r="I3772">
        <v>2.1047439232767E-5</v>
      </c>
      <c r="J3772">
        <v>1.2214027581601699</v>
      </c>
      <c r="N3772" t="s">
        <v>1230</v>
      </c>
      <c r="O3772" t="s">
        <v>1145</v>
      </c>
      <c r="Q3772" t="s">
        <v>595</v>
      </c>
    </row>
    <row r="3773" spans="2:17">
      <c r="B3773" t="s">
        <v>1231</v>
      </c>
      <c r="C3773" t="s">
        <v>673</v>
      </c>
      <c r="D3773">
        <v>8.4810209607782597E-5</v>
      </c>
      <c r="E3773" t="s">
        <v>94</v>
      </c>
      <c r="H3773" t="s">
        <v>588</v>
      </c>
      <c r="I3773">
        <v>8.4810209607782597E-5</v>
      </c>
      <c r="J3773">
        <v>1.0247973619913604</v>
      </c>
      <c r="N3773" t="s">
        <v>1232</v>
      </c>
      <c r="O3773" t="s">
        <v>1173</v>
      </c>
      <c r="Q3773" t="s">
        <v>1233</v>
      </c>
    </row>
    <row r="3774" spans="2:17">
      <c r="B3774" t="s">
        <v>1234</v>
      </c>
      <c r="C3774" t="s">
        <v>1170</v>
      </c>
      <c r="D3774">
        <v>1.76080153838357E-5</v>
      </c>
      <c r="E3774" t="s">
        <v>94</v>
      </c>
      <c r="H3774" t="s">
        <v>588</v>
      </c>
      <c r="I3774">
        <v>1.76080153838357E-5</v>
      </c>
      <c r="J3774">
        <v>1.0247973619913604</v>
      </c>
      <c r="N3774" t="s">
        <v>1235</v>
      </c>
      <c r="O3774" t="s">
        <v>1173</v>
      </c>
      <c r="Q3774" t="s">
        <v>1154</v>
      </c>
    </row>
    <row r="3775" spans="2:17">
      <c r="B3775" t="s">
        <v>1236</v>
      </c>
      <c r="C3775" t="s">
        <v>1237</v>
      </c>
      <c r="D3775">
        <v>1.3709076299666699E-4</v>
      </c>
      <c r="E3775" t="s">
        <v>94</v>
      </c>
      <c r="H3775" t="s">
        <v>588</v>
      </c>
      <c r="I3775">
        <v>1.3709076299666699E-4</v>
      </c>
      <c r="J3775">
        <v>1.0247973619913604</v>
      </c>
      <c r="N3775" t="s">
        <v>1238</v>
      </c>
      <c r="O3775" t="s">
        <v>1150</v>
      </c>
      <c r="Q3775" t="s">
        <v>1151</v>
      </c>
    </row>
    <row r="3776" spans="2:17">
      <c r="B3776" t="s">
        <v>1239</v>
      </c>
      <c r="C3776" t="s">
        <v>1240</v>
      </c>
      <c r="D3776">
        <v>3.91946196718143E-5</v>
      </c>
      <c r="E3776" t="s">
        <v>94</v>
      </c>
      <c r="H3776" t="s">
        <v>588</v>
      </c>
      <c r="I3776">
        <v>3.91946196718143E-5</v>
      </c>
      <c r="J3776">
        <v>1.0247973619913604</v>
      </c>
      <c r="N3776" t="s">
        <v>1241</v>
      </c>
      <c r="O3776" t="s">
        <v>1135</v>
      </c>
      <c r="Q3776" t="s">
        <v>1136</v>
      </c>
    </row>
    <row r="3777" spans="1:17">
      <c r="B3777" t="s">
        <v>1242</v>
      </c>
      <c r="C3777" t="s">
        <v>1243</v>
      </c>
      <c r="D3777">
        <v>5.9096633523156798E-5</v>
      </c>
      <c r="E3777" t="s">
        <v>94</v>
      </c>
      <c r="H3777" t="s">
        <v>588</v>
      </c>
      <c r="I3777">
        <v>5.9096633523156798E-5</v>
      </c>
      <c r="J3777">
        <v>1.0247973619913604</v>
      </c>
      <c r="N3777" t="s">
        <v>1244</v>
      </c>
      <c r="O3777" t="s">
        <v>1135</v>
      </c>
      <c r="Q3777" t="s">
        <v>1136</v>
      </c>
    </row>
    <row r="3778" spans="1:17">
      <c r="B3778" t="s">
        <v>1242</v>
      </c>
      <c r="C3778" t="s">
        <v>1243</v>
      </c>
      <c r="D3778">
        <v>1.21695490877478E-5</v>
      </c>
      <c r="E3778" t="s">
        <v>94</v>
      </c>
      <c r="H3778" t="s">
        <v>588</v>
      </c>
      <c r="I3778">
        <v>1.21695490877478E-5</v>
      </c>
      <c r="J3778">
        <v>1.0247973619913604</v>
      </c>
      <c r="N3778" t="s">
        <v>1244</v>
      </c>
      <c r="O3778" t="s">
        <v>1135</v>
      </c>
      <c r="Q3778" t="s">
        <v>1136</v>
      </c>
    </row>
    <row r="3779" spans="1:17">
      <c r="B3779" t="s">
        <v>1245</v>
      </c>
      <c r="C3779" t="s">
        <v>708</v>
      </c>
      <c r="D3779">
        <v>2.6785317412192101E-6</v>
      </c>
      <c r="E3779" t="s">
        <v>94</v>
      </c>
      <c r="H3779" t="s">
        <v>588</v>
      </c>
      <c r="I3779">
        <v>2.6785317412192101E-6</v>
      </c>
      <c r="J3779">
        <v>1</v>
      </c>
      <c r="N3779" t="s">
        <v>1246</v>
      </c>
      <c r="O3779" t="s">
        <v>1157</v>
      </c>
      <c r="Q3779" t="s">
        <v>1247</v>
      </c>
    </row>
    <row r="3780" spans="1:17">
      <c r="B3780" t="s">
        <v>1248</v>
      </c>
      <c r="C3780" t="s">
        <v>1249</v>
      </c>
      <c r="D3780">
        <v>7.0144748814106803E-3</v>
      </c>
      <c r="E3780" t="s">
        <v>94</v>
      </c>
      <c r="H3780" t="s">
        <v>588</v>
      </c>
      <c r="I3780">
        <v>7.0144748814106803E-3</v>
      </c>
      <c r="J3780">
        <v>1.1051709180756477</v>
      </c>
      <c r="N3780" t="s">
        <v>1250</v>
      </c>
      <c r="O3780" t="s">
        <v>798</v>
      </c>
      <c r="Q3780" t="s">
        <v>1251</v>
      </c>
    </row>
    <row r="3781" spans="1:17">
      <c r="B3781" t="s">
        <v>1252</v>
      </c>
      <c r="C3781" t="s">
        <v>1249</v>
      </c>
      <c r="D3781">
        <v>9.4955332386925101E-7</v>
      </c>
      <c r="E3781" t="s">
        <v>94</v>
      </c>
      <c r="H3781" t="s">
        <v>588</v>
      </c>
      <c r="I3781">
        <v>9.4955332386925101E-7</v>
      </c>
      <c r="J3781">
        <v>1.0247973619913604</v>
      </c>
      <c r="N3781" t="s">
        <v>1253</v>
      </c>
      <c r="O3781" t="s">
        <v>1135</v>
      </c>
      <c r="Q3781" t="s">
        <v>1136</v>
      </c>
    </row>
    <row r="3782" spans="1:17">
      <c r="B3782" t="s">
        <v>1254</v>
      </c>
      <c r="C3782" t="s">
        <v>606</v>
      </c>
      <c r="D3782">
        <v>1.12597137591293E-5</v>
      </c>
      <c r="E3782" t="s">
        <v>607</v>
      </c>
      <c r="H3782" t="s">
        <v>588</v>
      </c>
      <c r="I3782">
        <v>1.12597137591293E-5</v>
      </c>
      <c r="J3782">
        <v>1</v>
      </c>
      <c r="N3782" t="s">
        <v>1256</v>
      </c>
      <c r="O3782" t="s">
        <v>1157</v>
      </c>
      <c r="Q3782" t="s">
        <v>1257</v>
      </c>
    </row>
    <row r="3783" spans="1:17">
      <c r="B3783" t="s">
        <v>1254</v>
      </c>
      <c r="C3783" t="s">
        <v>606</v>
      </c>
      <c r="D3783">
        <v>5.4159412051055698E-2</v>
      </c>
      <c r="E3783" t="s">
        <v>607</v>
      </c>
      <c r="H3783" t="s">
        <v>588</v>
      </c>
      <c r="I3783">
        <v>5.4159412051055698E-2</v>
      </c>
      <c r="J3783">
        <v>1.0247973619913604</v>
      </c>
      <c r="N3783" t="s">
        <v>1255</v>
      </c>
      <c r="O3783" t="s">
        <v>1150</v>
      </c>
      <c r="Q3783" t="s">
        <v>1151</v>
      </c>
    </row>
    <row r="3784" spans="1:17">
      <c r="A3784" t="s">
        <v>645</v>
      </c>
      <c r="B3784" t="s">
        <v>845</v>
      </c>
      <c r="C3784" t="s">
        <v>597</v>
      </c>
      <c r="D3784">
        <v>0.140977807168295</v>
      </c>
      <c r="E3784" t="s">
        <v>607</v>
      </c>
      <c r="H3784" t="s">
        <v>588</v>
      </c>
      <c r="I3784">
        <v>0.140977807168295</v>
      </c>
      <c r="J3784">
        <v>1</v>
      </c>
      <c r="N3784" t="s">
        <v>846</v>
      </c>
      <c r="O3784" t="s">
        <v>798</v>
      </c>
      <c r="Q3784" t="s">
        <v>1260</v>
      </c>
    </row>
    <row r="3785" spans="1:17">
      <c r="A3785" t="s">
        <v>645</v>
      </c>
      <c r="B3785" t="s">
        <v>845</v>
      </c>
      <c r="C3785" t="s">
        <v>597</v>
      </c>
      <c r="D3785">
        <v>1.7952027488667501E-2</v>
      </c>
      <c r="E3785" t="s">
        <v>607</v>
      </c>
      <c r="H3785" t="s">
        <v>588</v>
      </c>
      <c r="I3785">
        <v>1.7952027488667501E-2</v>
      </c>
      <c r="J3785">
        <v>1.0247973619913604</v>
      </c>
      <c r="N3785" t="s">
        <v>1022</v>
      </c>
      <c r="O3785" t="s">
        <v>1153</v>
      </c>
      <c r="Q3785" t="s">
        <v>1221</v>
      </c>
    </row>
    <row r="3786" spans="1:17">
      <c r="A3786" t="s">
        <v>645</v>
      </c>
      <c r="B3786" t="s">
        <v>845</v>
      </c>
      <c r="C3786" t="s">
        <v>597</v>
      </c>
      <c r="D3786">
        <v>0.47843539510708799</v>
      </c>
      <c r="E3786" t="s">
        <v>607</v>
      </c>
      <c r="H3786" t="s">
        <v>588</v>
      </c>
      <c r="I3786">
        <v>0.47843539510708799</v>
      </c>
      <c r="J3786">
        <v>1</v>
      </c>
      <c r="N3786" t="s">
        <v>1258</v>
      </c>
      <c r="O3786" t="s">
        <v>1157</v>
      </c>
      <c r="Q3786" t="s">
        <v>1259</v>
      </c>
    </row>
    <row r="3787" spans="1:17">
      <c r="B3787" t="s">
        <v>605</v>
      </c>
      <c r="C3787" t="s">
        <v>606</v>
      </c>
      <c r="D3787">
        <v>2.0916660225711502E-2</v>
      </c>
      <c r="E3787" t="s">
        <v>607</v>
      </c>
      <c r="H3787" t="s">
        <v>588</v>
      </c>
      <c r="I3787">
        <v>2.0916660225711502E-2</v>
      </c>
      <c r="J3787">
        <v>1</v>
      </c>
      <c r="N3787" t="s">
        <v>611</v>
      </c>
      <c r="O3787" t="s">
        <v>1157</v>
      </c>
      <c r="Q3787" t="s">
        <v>595</v>
      </c>
    </row>
    <row r="3788" spans="1:17">
      <c r="B3788" t="s">
        <v>605</v>
      </c>
      <c r="C3788" t="s">
        <v>606</v>
      </c>
      <c r="D3788">
        <v>7.30785763330581E-4</v>
      </c>
      <c r="E3788" t="s">
        <v>607</v>
      </c>
      <c r="H3788" t="s">
        <v>588</v>
      </c>
      <c r="I3788">
        <v>7.30785763330581E-4</v>
      </c>
      <c r="J3788">
        <v>1</v>
      </c>
      <c r="N3788" t="s">
        <v>1261</v>
      </c>
      <c r="O3788" t="s">
        <v>1157</v>
      </c>
      <c r="Q3788" t="s">
        <v>1257</v>
      </c>
    </row>
    <row r="3789" spans="1:17">
      <c r="B3789" t="s">
        <v>605</v>
      </c>
      <c r="C3789" t="s">
        <v>606</v>
      </c>
      <c r="D3789">
        <v>4.0517645025407798E-4</v>
      </c>
      <c r="E3789" t="s">
        <v>607</v>
      </c>
      <c r="H3789" t="s">
        <v>588</v>
      </c>
      <c r="I3789">
        <v>4.0517645025407798E-4</v>
      </c>
      <c r="J3789">
        <v>1.1051709180756477</v>
      </c>
      <c r="N3789" t="s">
        <v>1262</v>
      </c>
      <c r="O3789" t="s">
        <v>1263</v>
      </c>
      <c r="Q3789" t="s">
        <v>1264</v>
      </c>
    </row>
    <row r="3790" spans="1:17">
      <c r="B3790" t="s">
        <v>1265</v>
      </c>
      <c r="C3790" t="s">
        <v>821</v>
      </c>
      <c r="D3790">
        <v>5.9073138032287198E-4</v>
      </c>
      <c r="E3790" t="s">
        <v>94</v>
      </c>
      <c r="H3790" t="s">
        <v>588</v>
      </c>
      <c r="I3790">
        <v>5.9073138032287198E-4</v>
      </c>
      <c r="J3790">
        <v>1</v>
      </c>
      <c r="N3790" t="s">
        <v>1266</v>
      </c>
      <c r="O3790" t="s">
        <v>1157</v>
      </c>
      <c r="Q3790" t="s">
        <v>1267</v>
      </c>
    </row>
    <row r="3791" spans="1:17">
      <c r="B3791" t="s">
        <v>1268</v>
      </c>
      <c r="C3791" t="s">
        <v>673</v>
      </c>
      <c r="D3791">
        <v>5.0300119239035204E-7</v>
      </c>
      <c r="E3791" t="s">
        <v>94</v>
      </c>
      <c r="H3791" t="s">
        <v>588</v>
      </c>
      <c r="I3791">
        <v>5.0300119239035204E-7</v>
      </c>
      <c r="J3791">
        <v>1</v>
      </c>
      <c r="N3791" t="s">
        <v>1269</v>
      </c>
      <c r="O3791" t="s">
        <v>1157</v>
      </c>
      <c r="Q3791" t="s">
        <v>1270</v>
      </c>
    </row>
    <row r="3792" spans="1:17">
      <c r="B3792" t="s">
        <v>1271</v>
      </c>
      <c r="C3792" t="s">
        <v>664</v>
      </c>
      <c r="D3792">
        <v>4.2045035917656197E-4</v>
      </c>
      <c r="E3792" t="s">
        <v>94</v>
      </c>
      <c r="H3792" t="s">
        <v>588</v>
      </c>
      <c r="I3792">
        <v>4.2045035917656197E-4</v>
      </c>
      <c r="J3792">
        <v>1.0247973619913604</v>
      </c>
      <c r="N3792" t="s">
        <v>1272</v>
      </c>
      <c r="O3792" t="s">
        <v>1157</v>
      </c>
      <c r="Q3792" t="s">
        <v>1273</v>
      </c>
    </row>
    <row r="3793" spans="2:17">
      <c r="B3793" t="s">
        <v>1274</v>
      </c>
      <c r="C3793" t="s">
        <v>1170</v>
      </c>
      <c r="D3793">
        <v>7.3024730966643697E-5</v>
      </c>
      <c r="E3793" t="s">
        <v>94</v>
      </c>
      <c r="H3793" t="s">
        <v>588</v>
      </c>
      <c r="I3793">
        <v>7.3024730966643697E-5</v>
      </c>
      <c r="J3793">
        <v>1.0247973619913604</v>
      </c>
      <c r="N3793" t="s">
        <v>1275</v>
      </c>
      <c r="O3793" t="s">
        <v>1173</v>
      </c>
      <c r="Q3793" t="s">
        <v>1154</v>
      </c>
    </row>
    <row r="3794" spans="2:17">
      <c r="B3794" t="s">
        <v>1276</v>
      </c>
      <c r="C3794" t="s">
        <v>1170</v>
      </c>
      <c r="D3794">
        <v>3.6976832306054901E-9</v>
      </c>
      <c r="E3794" t="s">
        <v>94</v>
      </c>
      <c r="H3794" t="s">
        <v>588</v>
      </c>
      <c r="I3794">
        <v>3.6976832306054901E-9</v>
      </c>
      <c r="J3794">
        <v>1.0247973619913604</v>
      </c>
      <c r="N3794" t="s">
        <v>1277</v>
      </c>
      <c r="O3794" t="s">
        <v>1173</v>
      </c>
      <c r="Q3794" t="s">
        <v>1154</v>
      </c>
    </row>
    <row r="3795" spans="2:17">
      <c r="B3795" t="s">
        <v>1278</v>
      </c>
      <c r="C3795" t="s">
        <v>1170</v>
      </c>
      <c r="D3795">
        <v>7.3021033283413099E-5</v>
      </c>
      <c r="E3795" t="s">
        <v>94</v>
      </c>
      <c r="H3795" t="s">
        <v>588</v>
      </c>
      <c r="I3795">
        <v>7.3021033283413099E-5</v>
      </c>
      <c r="J3795">
        <v>1.0247973619913604</v>
      </c>
      <c r="N3795" t="s">
        <v>1279</v>
      </c>
      <c r="O3795" t="s">
        <v>1173</v>
      </c>
      <c r="Q3795" t="s">
        <v>1154</v>
      </c>
    </row>
    <row r="3796" spans="2:17">
      <c r="B3796" t="s">
        <v>1280</v>
      </c>
      <c r="C3796" t="s">
        <v>1249</v>
      </c>
      <c r="D3796">
        <v>5.6200098843908796E-4</v>
      </c>
      <c r="E3796" t="s">
        <v>94</v>
      </c>
      <c r="H3796" t="s">
        <v>588</v>
      </c>
      <c r="I3796">
        <v>5.6200098843908796E-4</v>
      </c>
      <c r="J3796">
        <v>1.2214027581601699</v>
      </c>
      <c r="N3796" t="s">
        <v>1281</v>
      </c>
      <c r="O3796" t="s">
        <v>1145</v>
      </c>
      <c r="Q3796" t="s">
        <v>1282</v>
      </c>
    </row>
    <row r="3797" spans="2:17">
      <c r="B3797" t="s">
        <v>1283</v>
      </c>
      <c r="C3797" t="s">
        <v>1170</v>
      </c>
      <c r="D3797">
        <v>3.8681177833238702E-4</v>
      </c>
      <c r="E3797" t="s">
        <v>94</v>
      </c>
      <c r="H3797" t="s">
        <v>588</v>
      </c>
      <c r="I3797">
        <v>3.8681177833238702E-4</v>
      </c>
      <c r="J3797">
        <v>1.0247973619913604</v>
      </c>
      <c r="N3797" t="s">
        <v>1284</v>
      </c>
      <c r="O3797" t="s">
        <v>1173</v>
      </c>
      <c r="Q3797" t="s">
        <v>1154</v>
      </c>
    </row>
    <row r="3798" spans="2:17">
      <c r="B3798" t="s">
        <v>1285</v>
      </c>
      <c r="C3798" t="s">
        <v>1170</v>
      </c>
      <c r="D3798">
        <v>1.6572295047221101E-6</v>
      </c>
      <c r="E3798" t="s">
        <v>94</v>
      </c>
      <c r="H3798" t="s">
        <v>588</v>
      </c>
      <c r="I3798">
        <v>1.6572295047221101E-6</v>
      </c>
      <c r="J3798">
        <v>1.0247973619913604</v>
      </c>
      <c r="N3798" t="s">
        <v>1286</v>
      </c>
      <c r="O3798" t="s">
        <v>1173</v>
      </c>
      <c r="Q3798" t="s">
        <v>1154</v>
      </c>
    </row>
    <row r="3799" spans="2:17">
      <c r="B3799" t="s">
        <v>1287</v>
      </c>
      <c r="C3799" t="s">
        <v>673</v>
      </c>
      <c r="D3799">
        <v>1.2513500232681201E-3</v>
      </c>
      <c r="E3799" t="s">
        <v>94</v>
      </c>
      <c r="H3799" t="s">
        <v>588</v>
      </c>
      <c r="I3799">
        <v>1.2513500232681201E-3</v>
      </c>
      <c r="J3799">
        <v>1.0247973619913604</v>
      </c>
      <c r="N3799" t="s">
        <v>1288</v>
      </c>
      <c r="O3799" t="s">
        <v>1140</v>
      </c>
      <c r="Q3799" t="s">
        <v>1289</v>
      </c>
    </row>
    <row r="3800" spans="2:17">
      <c r="B3800" t="s">
        <v>675</v>
      </c>
      <c r="C3800" t="s">
        <v>676</v>
      </c>
      <c r="D3800">
        <v>3.9298742276100097E-3</v>
      </c>
      <c r="E3800" t="s">
        <v>94</v>
      </c>
      <c r="H3800" t="s">
        <v>588</v>
      </c>
      <c r="I3800">
        <v>3.9298742276100097E-3</v>
      </c>
      <c r="J3800">
        <v>1.0247973619913604</v>
      </c>
      <c r="N3800" t="s">
        <v>677</v>
      </c>
      <c r="O3800" t="s">
        <v>1140</v>
      </c>
      <c r="Q3800" t="s">
        <v>1290</v>
      </c>
    </row>
    <row r="3801" spans="2:17">
      <c r="B3801" t="s">
        <v>1291</v>
      </c>
      <c r="C3801" t="s">
        <v>667</v>
      </c>
      <c r="D3801">
        <v>4.1192765404446797E-4</v>
      </c>
      <c r="E3801" t="s">
        <v>94</v>
      </c>
      <c r="H3801" t="s">
        <v>588</v>
      </c>
      <c r="I3801">
        <v>4.1192765404446797E-4</v>
      </c>
      <c r="J3801">
        <v>1.0247973619913604</v>
      </c>
      <c r="N3801" t="s">
        <v>1292</v>
      </c>
      <c r="O3801" t="s">
        <v>1135</v>
      </c>
      <c r="Q3801" t="s">
        <v>1136</v>
      </c>
    </row>
    <row r="3802" spans="2:17">
      <c r="B3802" t="s">
        <v>1293</v>
      </c>
      <c r="C3802" t="s">
        <v>1170</v>
      </c>
      <c r="D3802">
        <v>4.6865914394919198E-7</v>
      </c>
      <c r="E3802" t="s">
        <v>94</v>
      </c>
      <c r="H3802" t="s">
        <v>588</v>
      </c>
      <c r="I3802">
        <v>4.6865914394919198E-7</v>
      </c>
      <c r="J3802">
        <v>1.0247973619913604</v>
      </c>
      <c r="N3802" t="s">
        <v>1294</v>
      </c>
      <c r="O3802" t="s">
        <v>1173</v>
      </c>
      <c r="Q3802" t="s">
        <v>1154</v>
      </c>
    </row>
    <row r="3803" spans="2:17">
      <c r="B3803" t="s">
        <v>1295</v>
      </c>
      <c r="C3803" t="s">
        <v>1170</v>
      </c>
      <c r="D3803">
        <v>2.2010019229794599E-6</v>
      </c>
      <c r="E3803" t="s">
        <v>94</v>
      </c>
      <c r="H3803" t="s">
        <v>588</v>
      </c>
      <c r="I3803">
        <v>2.2010019229794599E-6</v>
      </c>
      <c r="J3803">
        <v>1.0247973619913604</v>
      </c>
      <c r="N3803" t="s">
        <v>1296</v>
      </c>
      <c r="O3803" t="s">
        <v>1173</v>
      </c>
      <c r="Q3803" t="s">
        <v>1154</v>
      </c>
    </row>
    <row r="3804" spans="2:17">
      <c r="B3804" t="s">
        <v>1297</v>
      </c>
      <c r="C3804" t="s">
        <v>664</v>
      </c>
      <c r="D3804">
        <v>1.2681357658370399E-3</v>
      </c>
      <c r="E3804" t="s">
        <v>94</v>
      </c>
      <c r="H3804" t="s">
        <v>588</v>
      </c>
      <c r="I3804">
        <v>1.2681357658370399E-3</v>
      </c>
      <c r="J3804">
        <v>1.0247973619913604</v>
      </c>
      <c r="N3804" t="s">
        <v>1298</v>
      </c>
      <c r="O3804" t="s">
        <v>1140</v>
      </c>
      <c r="Q3804" t="s">
        <v>5143</v>
      </c>
    </row>
    <row r="3805" spans="2:17">
      <c r="B3805" t="s">
        <v>1297</v>
      </c>
      <c r="C3805" t="s">
        <v>664</v>
      </c>
      <c r="D3805">
        <v>3.8483497779024303E-5</v>
      </c>
      <c r="E3805" t="s">
        <v>94</v>
      </c>
      <c r="H3805" t="s">
        <v>588</v>
      </c>
      <c r="I3805">
        <v>3.8483497779024303E-5</v>
      </c>
      <c r="J3805">
        <v>1.0247973619913604</v>
      </c>
      <c r="N3805" t="s">
        <v>1298</v>
      </c>
      <c r="O3805" t="s">
        <v>1135</v>
      </c>
      <c r="Q3805" t="s">
        <v>1136</v>
      </c>
    </row>
    <row r="3806" spans="2:17">
      <c r="B3806" t="s">
        <v>1300</v>
      </c>
      <c r="C3806" t="s">
        <v>667</v>
      </c>
      <c r="D3806">
        <v>1.51525224346873E-6</v>
      </c>
      <c r="E3806" t="s">
        <v>94</v>
      </c>
      <c r="H3806" t="s">
        <v>588</v>
      </c>
      <c r="I3806">
        <v>1.51525224346873E-6</v>
      </c>
      <c r="J3806">
        <v>1.0247973619913604</v>
      </c>
      <c r="N3806" t="s">
        <v>1301</v>
      </c>
      <c r="O3806" t="s">
        <v>1135</v>
      </c>
      <c r="Q3806" t="s">
        <v>1136</v>
      </c>
    </row>
    <row r="3807" spans="2:17">
      <c r="B3807" t="s">
        <v>1302</v>
      </c>
      <c r="C3807" t="s">
        <v>673</v>
      </c>
      <c r="D3807">
        <v>2.37116044791663E-4</v>
      </c>
      <c r="E3807" t="s">
        <v>94</v>
      </c>
      <c r="H3807" t="s">
        <v>588</v>
      </c>
      <c r="I3807">
        <v>2.37116044791663E-4</v>
      </c>
      <c r="J3807">
        <v>1.0247973619913604</v>
      </c>
      <c r="N3807" t="s">
        <v>1303</v>
      </c>
      <c r="O3807" t="s">
        <v>1157</v>
      </c>
      <c r="Q3807" t="s">
        <v>1166</v>
      </c>
    </row>
    <row r="3808" spans="2:17">
      <c r="B3808" t="s">
        <v>1304</v>
      </c>
      <c r="C3808" t="s">
        <v>1305</v>
      </c>
      <c r="D3808">
        <v>3.7735904865509402E-4</v>
      </c>
      <c r="E3808" t="s">
        <v>94</v>
      </c>
      <c r="H3808" t="s">
        <v>588</v>
      </c>
      <c r="I3808">
        <v>3.7735904865509402E-4</v>
      </c>
      <c r="J3808">
        <v>1.0247973619913604</v>
      </c>
      <c r="N3808" t="s">
        <v>1306</v>
      </c>
      <c r="O3808" t="s">
        <v>1307</v>
      </c>
      <c r="Q3808" t="s">
        <v>1308</v>
      </c>
    </row>
    <row r="3809" spans="2:17">
      <c r="B3809" t="s">
        <v>1309</v>
      </c>
      <c r="C3809" t="s">
        <v>664</v>
      </c>
      <c r="D3809">
        <v>3.3850202271368301E-6</v>
      </c>
      <c r="E3809" t="s">
        <v>94</v>
      </c>
      <c r="H3809" t="s">
        <v>588</v>
      </c>
      <c r="I3809">
        <v>3.3850202271368301E-6</v>
      </c>
      <c r="J3809">
        <v>1.0247973619913604</v>
      </c>
      <c r="N3809" t="s">
        <v>1310</v>
      </c>
      <c r="O3809" t="s">
        <v>1140</v>
      </c>
      <c r="Q3809" t="s">
        <v>1311</v>
      </c>
    </row>
    <row r="3810" spans="2:17">
      <c r="B3810" t="s">
        <v>1312</v>
      </c>
      <c r="C3810" t="s">
        <v>1170</v>
      </c>
      <c r="D3810">
        <v>1.15504741419318E-5</v>
      </c>
      <c r="E3810" t="s">
        <v>626</v>
      </c>
      <c r="H3810" t="s">
        <v>588</v>
      </c>
      <c r="I3810">
        <v>1.15504741419318E-5</v>
      </c>
      <c r="J3810">
        <v>1.0247973619913604</v>
      </c>
      <c r="N3810" t="s">
        <v>1313</v>
      </c>
      <c r="O3810" t="s">
        <v>1173</v>
      </c>
      <c r="Q3810" t="s">
        <v>1154</v>
      </c>
    </row>
    <row r="3811" spans="2:17">
      <c r="B3811" t="s">
        <v>688</v>
      </c>
      <c r="C3811" t="s">
        <v>667</v>
      </c>
      <c r="D3811">
        <v>2.4618440562358801E-6</v>
      </c>
      <c r="E3811" t="s">
        <v>94</v>
      </c>
      <c r="H3811" t="s">
        <v>588</v>
      </c>
      <c r="I3811">
        <v>2.4618440562358801E-6</v>
      </c>
      <c r="J3811">
        <v>1.2214027581601699</v>
      </c>
      <c r="N3811" t="s">
        <v>689</v>
      </c>
      <c r="O3811" t="s">
        <v>1145</v>
      </c>
      <c r="Q3811" t="s">
        <v>1146</v>
      </c>
    </row>
    <row r="3812" spans="2:17">
      <c r="B3812" t="s">
        <v>1314</v>
      </c>
      <c r="C3812" t="s">
        <v>809</v>
      </c>
      <c r="D3812">
        <v>2.0194421091615901E-4</v>
      </c>
      <c r="E3812" t="s">
        <v>94</v>
      </c>
      <c r="H3812" t="s">
        <v>588</v>
      </c>
      <c r="I3812">
        <v>2.0194421091615901E-4</v>
      </c>
      <c r="J3812">
        <v>1.0247973619913604</v>
      </c>
      <c r="N3812" t="s">
        <v>1315</v>
      </c>
      <c r="O3812" t="s">
        <v>1140</v>
      </c>
      <c r="Q3812" t="s">
        <v>1316</v>
      </c>
    </row>
    <row r="3813" spans="2:17">
      <c r="B3813" t="s">
        <v>1317</v>
      </c>
      <c r="C3813" t="s">
        <v>673</v>
      </c>
      <c r="D3813">
        <v>1.0778135922544301E-2</v>
      </c>
      <c r="E3813" t="s">
        <v>94</v>
      </c>
      <c r="H3813" t="s">
        <v>588</v>
      </c>
      <c r="I3813">
        <v>1.0778135922544301E-2</v>
      </c>
      <c r="J3813">
        <v>1.0247973619913604</v>
      </c>
      <c r="N3813" t="s">
        <v>1318</v>
      </c>
      <c r="O3813" t="s">
        <v>921</v>
      </c>
      <c r="Q3813" t="s">
        <v>5136</v>
      </c>
    </row>
    <row r="3814" spans="2:17">
      <c r="B3814" t="s">
        <v>1319</v>
      </c>
      <c r="C3814" t="s">
        <v>701</v>
      </c>
      <c r="D3814">
        <v>6.06227895178415E-6</v>
      </c>
      <c r="E3814" t="s">
        <v>94</v>
      </c>
      <c r="H3814" t="s">
        <v>588</v>
      </c>
      <c r="I3814">
        <v>6.06227895178415E-6</v>
      </c>
      <c r="J3814">
        <v>1.0247973619913604</v>
      </c>
      <c r="N3814" t="s">
        <v>1320</v>
      </c>
      <c r="O3814" t="s">
        <v>1321</v>
      </c>
      <c r="Q3814" t="s">
        <v>1151</v>
      </c>
    </row>
    <row r="3815" spans="2:17">
      <c r="B3815" t="s">
        <v>1319</v>
      </c>
      <c r="C3815" t="s">
        <v>701</v>
      </c>
      <c r="D3815">
        <v>2.9939052233294402E-6</v>
      </c>
      <c r="E3815" t="s">
        <v>94</v>
      </c>
      <c r="H3815" t="s">
        <v>588</v>
      </c>
      <c r="I3815">
        <v>2.9939052233294402E-6</v>
      </c>
      <c r="J3815">
        <v>1.0247973619913604</v>
      </c>
      <c r="N3815" t="s">
        <v>1320</v>
      </c>
      <c r="O3815" t="s">
        <v>1321</v>
      </c>
      <c r="Q3815" t="s">
        <v>1151</v>
      </c>
    </row>
    <row r="3816" spans="2:17">
      <c r="B3816" t="s">
        <v>1322</v>
      </c>
      <c r="C3816" t="s">
        <v>621</v>
      </c>
      <c r="D3816">
        <v>3.6510563449800802E-4</v>
      </c>
      <c r="E3816" t="s">
        <v>622</v>
      </c>
      <c r="H3816" t="s">
        <v>588</v>
      </c>
      <c r="I3816">
        <v>3.6510563449800802E-4</v>
      </c>
      <c r="J3816">
        <v>1</v>
      </c>
      <c r="O3816" t="s">
        <v>1157</v>
      </c>
      <c r="Q3816" t="s">
        <v>1323</v>
      </c>
    </row>
    <row r="3817" spans="2:17">
      <c r="B3817" t="s">
        <v>1324</v>
      </c>
      <c r="C3817" t="s">
        <v>673</v>
      </c>
      <c r="D3817">
        <v>1.0893961343824701E-3</v>
      </c>
      <c r="E3817" t="s">
        <v>94</v>
      </c>
      <c r="H3817" t="s">
        <v>588</v>
      </c>
      <c r="I3817">
        <v>1.0893961343824701E-3</v>
      </c>
      <c r="J3817">
        <v>1</v>
      </c>
      <c r="N3817" t="s">
        <v>1325</v>
      </c>
      <c r="O3817" t="s">
        <v>1157</v>
      </c>
      <c r="Q3817" t="s">
        <v>595</v>
      </c>
    </row>
    <row r="3818" spans="2:17">
      <c r="B3818" t="s">
        <v>1326</v>
      </c>
      <c r="C3818" t="s">
        <v>667</v>
      </c>
      <c r="D3818">
        <v>3.63472326890497E-9</v>
      </c>
      <c r="E3818" t="s">
        <v>94</v>
      </c>
      <c r="H3818" t="s">
        <v>588</v>
      </c>
      <c r="I3818">
        <v>3.63472326890497E-9</v>
      </c>
      <c r="J3818">
        <v>1.0247973619913604</v>
      </c>
      <c r="N3818" t="s">
        <v>1327</v>
      </c>
      <c r="O3818" t="s">
        <v>1173</v>
      </c>
      <c r="Q3818" t="s">
        <v>1233</v>
      </c>
    </row>
    <row r="3819" spans="2:17">
      <c r="B3819" t="s">
        <v>1328</v>
      </c>
      <c r="C3819" t="s">
        <v>676</v>
      </c>
      <c r="D3819">
        <v>8.2486698271226599E-6</v>
      </c>
      <c r="E3819" t="s">
        <v>94</v>
      </c>
      <c r="H3819" t="s">
        <v>588</v>
      </c>
      <c r="I3819">
        <v>8.2486698271226599E-6</v>
      </c>
      <c r="J3819">
        <v>1.0247973619913604</v>
      </c>
      <c r="N3819" t="s">
        <v>1329</v>
      </c>
      <c r="O3819" t="s">
        <v>1157</v>
      </c>
      <c r="Q3819" t="s">
        <v>1166</v>
      </c>
    </row>
    <row r="3820" spans="2:17">
      <c r="B3820" t="s">
        <v>1330</v>
      </c>
      <c r="C3820" t="s">
        <v>1331</v>
      </c>
      <c r="D3820">
        <v>5.55823316530283E-5</v>
      </c>
      <c r="E3820" t="s">
        <v>94</v>
      </c>
      <c r="N3820" t="s">
        <v>1332</v>
      </c>
    </row>
    <row r="3821" spans="2:17">
      <c r="B3821" t="s">
        <v>696</v>
      </c>
      <c r="C3821" t="s">
        <v>667</v>
      </c>
      <c r="D3821">
        <v>1.9385190767493201E-8</v>
      </c>
      <c r="E3821" t="s">
        <v>94</v>
      </c>
      <c r="H3821" t="s">
        <v>588</v>
      </c>
      <c r="I3821">
        <v>1.9385190767493201E-8</v>
      </c>
      <c r="J3821">
        <v>1.0247973619913604</v>
      </c>
      <c r="N3821" t="s">
        <v>697</v>
      </c>
      <c r="O3821" t="s">
        <v>1173</v>
      </c>
      <c r="Q3821" t="s">
        <v>1233</v>
      </c>
    </row>
    <row r="3822" spans="2:17">
      <c r="B3822" t="s">
        <v>1333</v>
      </c>
      <c r="C3822" t="s">
        <v>1170</v>
      </c>
      <c r="D3822">
        <v>6.6030057689383799E-4</v>
      </c>
      <c r="E3822" t="s">
        <v>616</v>
      </c>
      <c r="H3822" t="s">
        <v>588</v>
      </c>
      <c r="I3822">
        <v>6.6030057689383799E-4</v>
      </c>
      <c r="J3822">
        <v>1.0247973619913604</v>
      </c>
      <c r="N3822" t="s">
        <v>1334</v>
      </c>
      <c r="O3822" t="s">
        <v>1173</v>
      </c>
      <c r="Q3822" t="s">
        <v>1154</v>
      </c>
    </row>
    <row r="3823" spans="2:17">
      <c r="B3823" t="s">
        <v>1335</v>
      </c>
      <c r="C3823" t="s">
        <v>1170</v>
      </c>
      <c r="D3823">
        <v>9.9045086534075709E-4</v>
      </c>
      <c r="E3823" t="s">
        <v>616</v>
      </c>
      <c r="H3823" t="s">
        <v>588</v>
      </c>
      <c r="I3823">
        <v>9.9045086534075709E-4</v>
      </c>
      <c r="J3823">
        <v>1.0247973619913604</v>
      </c>
      <c r="N3823" t="s">
        <v>1336</v>
      </c>
      <c r="O3823" t="s">
        <v>1173</v>
      </c>
      <c r="Q3823" t="s">
        <v>1154</v>
      </c>
    </row>
    <row r="3824" spans="2:17">
      <c r="B3824" t="s">
        <v>1337</v>
      </c>
      <c r="C3824" t="s">
        <v>701</v>
      </c>
      <c r="D3824">
        <v>5.1364066211052496E-6</v>
      </c>
      <c r="E3824" t="s">
        <v>94</v>
      </c>
      <c r="H3824" t="s">
        <v>588</v>
      </c>
      <c r="I3824">
        <v>5.1364066211052496E-6</v>
      </c>
      <c r="J3824">
        <v>1.0247973619913604</v>
      </c>
      <c r="N3824" t="s">
        <v>1338</v>
      </c>
      <c r="O3824" t="s">
        <v>1150</v>
      </c>
      <c r="Q3824" t="s">
        <v>1151</v>
      </c>
    </row>
    <row r="3825" spans="2:17">
      <c r="B3825" t="s">
        <v>1337</v>
      </c>
      <c r="C3825" t="s">
        <v>701</v>
      </c>
      <c r="D3825">
        <v>3.5170117558401202E-5</v>
      </c>
      <c r="E3825" t="s">
        <v>94</v>
      </c>
      <c r="H3825" t="s">
        <v>588</v>
      </c>
      <c r="I3825">
        <v>3.5170117558401202E-5</v>
      </c>
      <c r="J3825">
        <v>1.0247973619913604</v>
      </c>
      <c r="N3825" t="s">
        <v>1338</v>
      </c>
      <c r="O3825" t="s">
        <v>1150</v>
      </c>
      <c r="Q3825" t="s">
        <v>1151</v>
      </c>
    </row>
    <row r="3826" spans="2:17">
      <c r="B3826" t="s">
        <v>1339</v>
      </c>
      <c r="C3826" t="s">
        <v>701</v>
      </c>
      <c r="D3826">
        <v>2.3565121446651001E-4</v>
      </c>
      <c r="E3826" t="s">
        <v>94</v>
      </c>
      <c r="H3826" t="s">
        <v>588</v>
      </c>
      <c r="I3826">
        <v>2.3565121446651001E-4</v>
      </c>
      <c r="J3826">
        <v>1</v>
      </c>
      <c r="N3826" t="s">
        <v>1340</v>
      </c>
      <c r="O3826" t="s">
        <v>1157</v>
      </c>
      <c r="Q3826" t="s">
        <v>1341</v>
      </c>
    </row>
    <row r="3827" spans="2:17">
      <c r="B3827" t="s">
        <v>1342</v>
      </c>
      <c r="C3827" t="s">
        <v>701</v>
      </c>
      <c r="D3827">
        <v>2.6388352550846699E-3</v>
      </c>
      <c r="E3827" t="s">
        <v>94</v>
      </c>
      <c r="H3827" t="s">
        <v>588</v>
      </c>
      <c r="I3827">
        <v>2.6388352550846699E-3</v>
      </c>
      <c r="J3827">
        <v>1.0247973619913604</v>
      </c>
      <c r="N3827" t="s">
        <v>1343</v>
      </c>
      <c r="O3827" t="s">
        <v>1173</v>
      </c>
      <c r="Q3827" t="s">
        <v>1154</v>
      </c>
    </row>
    <row r="3828" spans="2:17">
      <c r="B3828" t="s">
        <v>1344</v>
      </c>
      <c r="C3828" t="s">
        <v>701</v>
      </c>
      <c r="D3828">
        <v>3.4454723028007697E-5</v>
      </c>
      <c r="E3828" t="s">
        <v>94</v>
      </c>
      <c r="H3828" t="s">
        <v>588</v>
      </c>
      <c r="I3828">
        <v>3.4454723028007697E-5</v>
      </c>
      <c r="J3828">
        <v>1.0247973619913604</v>
      </c>
      <c r="N3828" t="s">
        <v>1345</v>
      </c>
      <c r="O3828" t="s">
        <v>1135</v>
      </c>
      <c r="Q3828" t="s">
        <v>1136</v>
      </c>
    </row>
    <row r="3829" spans="2:17">
      <c r="B3829" t="s">
        <v>1346</v>
      </c>
      <c r="C3829" t="s">
        <v>701</v>
      </c>
      <c r="D3829">
        <v>3.5507771390180299E-4</v>
      </c>
      <c r="E3829" t="s">
        <v>94</v>
      </c>
      <c r="H3829" t="s">
        <v>588</v>
      </c>
      <c r="I3829">
        <v>3.5507771390180299E-4</v>
      </c>
      <c r="J3829">
        <v>1.0247973619913604</v>
      </c>
      <c r="N3829" t="s">
        <v>1347</v>
      </c>
      <c r="O3829" t="s">
        <v>1173</v>
      </c>
      <c r="Q3829" t="s">
        <v>1154</v>
      </c>
    </row>
    <row r="3830" spans="2:17">
      <c r="B3830" t="s">
        <v>1348</v>
      </c>
      <c r="C3830" t="s">
        <v>701</v>
      </c>
      <c r="D3830">
        <v>3.1107248587229202E-4</v>
      </c>
      <c r="E3830" t="s">
        <v>94</v>
      </c>
      <c r="H3830" t="s">
        <v>588</v>
      </c>
      <c r="I3830">
        <v>3.1107248587229202E-4</v>
      </c>
      <c r="J3830">
        <v>1.151909910168909</v>
      </c>
      <c r="N3830" t="s">
        <v>1349</v>
      </c>
      <c r="O3830" t="s">
        <v>1263</v>
      </c>
      <c r="Q3830" t="s">
        <v>1350</v>
      </c>
    </row>
    <row r="3831" spans="2:17">
      <c r="B3831" t="s">
        <v>1351</v>
      </c>
      <c r="C3831" t="s">
        <v>701</v>
      </c>
      <c r="D3831">
        <v>2.90991204589938E-5</v>
      </c>
      <c r="E3831" t="s">
        <v>94</v>
      </c>
      <c r="H3831" t="s">
        <v>588</v>
      </c>
      <c r="I3831">
        <v>2.90991204589938E-5</v>
      </c>
      <c r="J3831">
        <v>1.0247973619913604</v>
      </c>
      <c r="N3831" t="s">
        <v>1352</v>
      </c>
      <c r="O3831" t="s">
        <v>1150</v>
      </c>
      <c r="Q3831" t="s">
        <v>1151</v>
      </c>
    </row>
    <row r="3832" spans="2:17">
      <c r="B3832" t="s">
        <v>1353</v>
      </c>
      <c r="C3832" t="s">
        <v>701</v>
      </c>
      <c r="D3832">
        <v>5.1655080756398699E-5</v>
      </c>
      <c r="E3832" t="s">
        <v>94</v>
      </c>
      <c r="H3832" t="s">
        <v>588</v>
      </c>
      <c r="I3832">
        <v>5.1655080756398699E-5</v>
      </c>
      <c r="J3832">
        <v>1.0247973619913604</v>
      </c>
      <c r="N3832" t="s">
        <v>1354</v>
      </c>
      <c r="O3832" t="s">
        <v>1135</v>
      </c>
      <c r="Q3832" t="s">
        <v>1136</v>
      </c>
    </row>
    <row r="3833" spans="2:17">
      <c r="B3833" t="s">
        <v>1353</v>
      </c>
      <c r="C3833" t="s">
        <v>701</v>
      </c>
      <c r="D3833">
        <v>1.05799562995033E-5</v>
      </c>
      <c r="E3833" t="s">
        <v>94</v>
      </c>
      <c r="H3833" t="s">
        <v>588</v>
      </c>
      <c r="I3833">
        <v>1.05799562995033E-5</v>
      </c>
      <c r="J3833">
        <v>1.0247973619913604</v>
      </c>
      <c r="N3833" t="s">
        <v>1354</v>
      </c>
      <c r="O3833" t="s">
        <v>1135</v>
      </c>
      <c r="Q3833" t="s">
        <v>1136</v>
      </c>
    </row>
    <row r="3834" spans="2:17">
      <c r="B3834" t="s">
        <v>1355</v>
      </c>
      <c r="C3834" t="s">
        <v>701</v>
      </c>
      <c r="D3834">
        <v>1.13217942507136E-4</v>
      </c>
      <c r="E3834" t="s">
        <v>94</v>
      </c>
      <c r="H3834" t="s">
        <v>588</v>
      </c>
      <c r="I3834">
        <v>1.13217942507136E-4</v>
      </c>
      <c r="J3834">
        <v>1.760654165524179</v>
      </c>
      <c r="N3834" t="s">
        <v>1356</v>
      </c>
      <c r="O3834" t="s">
        <v>798</v>
      </c>
      <c r="Q3834" t="s">
        <v>1357</v>
      </c>
    </row>
    <row r="3835" spans="2:17">
      <c r="B3835" t="s">
        <v>1358</v>
      </c>
      <c r="C3835" t="s">
        <v>701</v>
      </c>
      <c r="D3835">
        <v>2.91281408170043E-5</v>
      </c>
      <c r="E3835" t="s">
        <v>94</v>
      </c>
      <c r="H3835" t="s">
        <v>588</v>
      </c>
      <c r="I3835">
        <v>2.91281408170043E-5</v>
      </c>
      <c r="J3835">
        <v>1.151909910168909</v>
      </c>
      <c r="N3835" t="s">
        <v>1359</v>
      </c>
      <c r="O3835" t="s">
        <v>1263</v>
      </c>
      <c r="Q3835" t="s">
        <v>595</v>
      </c>
    </row>
    <row r="3836" spans="2:17">
      <c r="B3836" t="s">
        <v>1360</v>
      </c>
      <c r="C3836" t="s">
        <v>673</v>
      </c>
      <c r="D3836">
        <v>5.6915655417388398E-6</v>
      </c>
      <c r="E3836" t="s">
        <v>94</v>
      </c>
      <c r="H3836" t="s">
        <v>588</v>
      </c>
      <c r="I3836">
        <v>5.6915655417388398E-6</v>
      </c>
      <c r="J3836">
        <v>1</v>
      </c>
      <c r="N3836" t="s">
        <v>1361</v>
      </c>
      <c r="O3836" t="s">
        <v>1157</v>
      </c>
      <c r="Q3836" t="s">
        <v>1362</v>
      </c>
    </row>
    <row r="3837" spans="2:17">
      <c r="B3837" t="s">
        <v>1363</v>
      </c>
      <c r="C3837" t="s">
        <v>673</v>
      </c>
      <c r="D3837">
        <v>4.1376200088066097E-6</v>
      </c>
      <c r="E3837" t="s">
        <v>94</v>
      </c>
      <c r="H3837" t="s">
        <v>588</v>
      </c>
      <c r="I3837">
        <v>4.1376200088066097E-6</v>
      </c>
      <c r="J3837">
        <v>1.0247973619913604</v>
      </c>
      <c r="N3837" t="s">
        <v>1364</v>
      </c>
      <c r="O3837" t="s">
        <v>1157</v>
      </c>
      <c r="Q3837" t="s">
        <v>1166</v>
      </c>
    </row>
    <row r="3838" spans="2:17">
      <c r="B3838" t="s">
        <v>1365</v>
      </c>
      <c r="C3838" t="s">
        <v>1170</v>
      </c>
      <c r="D3838">
        <v>2.6852223460349402E-6</v>
      </c>
      <c r="E3838" t="s">
        <v>94</v>
      </c>
      <c r="H3838" t="s">
        <v>588</v>
      </c>
      <c r="I3838">
        <v>2.6852223460349402E-6</v>
      </c>
      <c r="J3838">
        <v>1.0247973619913604</v>
      </c>
      <c r="N3838" t="s">
        <v>1366</v>
      </c>
      <c r="O3838" t="s">
        <v>1173</v>
      </c>
      <c r="Q3838" t="s">
        <v>1154</v>
      </c>
    </row>
    <row r="3839" spans="2:17">
      <c r="B3839" t="s">
        <v>1367</v>
      </c>
      <c r="C3839" t="s">
        <v>857</v>
      </c>
      <c r="D3839">
        <v>6.9543930380573097E-12</v>
      </c>
      <c r="E3839" t="s">
        <v>616</v>
      </c>
      <c r="H3839" t="s">
        <v>588</v>
      </c>
      <c r="I3839">
        <v>6.9543930380573097E-12</v>
      </c>
      <c r="J3839">
        <v>1</v>
      </c>
      <c r="N3839" t="s">
        <v>1368</v>
      </c>
      <c r="O3839" t="s">
        <v>1157</v>
      </c>
      <c r="Q3839" t="s">
        <v>1369</v>
      </c>
    </row>
    <row r="3840" spans="2:17">
      <c r="B3840" t="s">
        <v>1370</v>
      </c>
      <c r="C3840" t="s">
        <v>1170</v>
      </c>
      <c r="D3840">
        <v>1.7291165243726499E-5</v>
      </c>
      <c r="E3840" t="s">
        <v>626</v>
      </c>
      <c r="H3840" t="s">
        <v>588</v>
      </c>
      <c r="I3840">
        <v>1.7291165243726499E-5</v>
      </c>
      <c r="J3840">
        <v>1.0247973619913604</v>
      </c>
      <c r="N3840" t="s">
        <v>1371</v>
      </c>
      <c r="O3840" t="s">
        <v>1150</v>
      </c>
      <c r="Q3840" t="s">
        <v>1151</v>
      </c>
    </row>
    <row r="3841" spans="2:17">
      <c r="B3841" t="s">
        <v>1372</v>
      </c>
      <c r="C3841" t="s">
        <v>1170</v>
      </c>
      <c r="D3841">
        <v>2.0656113234097598E-5</v>
      </c>
      <c r="E3841" t="s">
        <v>626</v>
      </c>
      <c r="H3841" t="s">
        <v>588</v>
      </c>
      <c r="I3841">
        <v>2.0656113234097598E-5</v>
      </c>
      <c r="J3841">
        <v>1.0247973619913604</v>
      </c>
      <c r="N3841" t="s">
        <v>1373</v>
      </c>
      <c r="O3841" t="s">
        <v>1150</v>
      </c>
      <c r="Q3841" t="s">
        <v>1151</v>
      </c>
    </row>
    <row r="3842" spans="2:17">
      <c r="B3842" t="s">
        <v>1374</v>
      </c>
      <c r="C3842" t="s">
        <v>1170</v>
      </c>
      <c r="D3842">
        <v>4.5142372043639004E-6</v>
      </c>
      <c r="E3842" t="s">
        <v>94</v>
      </c>
      <c r="H3842" t="s">
        <v>588</v>
      </c>
      <c r="I3842">
        <v>4.5142372043639004E-6</v>
      </c>
      <c r="J3842">
        <v>1.0247973619913604</v>
      </c>
      <c r="N3842" t="s">
        <v>1375</v>
      </c>
      <c r="O3842" t="s">
        <v>1135</v>
      </c>
      <c r="Q3842" t="s">
        <v>1136</v>
      </c>
    </row>
    <row r="3843" spans="2:17">
      <c r="B3843" t="s">
        <v>1376</v>
      </c>
      <c r="C3843" t="s">
        <v>1170</v>
      </c>
      <c r="D3843">
        <v>1.4283967965021999E-4</v>
      </c>
      <c r="E3843" t="s">
        <v>94</v>
      </c>
      <c r="H3843" t="s">
        <v>588</v>
      </c>
      <c r="I3843">
        <v>1.4283967965021999E-4</v>
      </c>
      <c r="J3843">
        <v>1.0247973619913604</v>
      </c>
      <c r="N3843" t="s">
        <v>1377</v>
      </c>
      <c r="O3843" t="s">
        <v>1150</v>
      </c>
      <c r="Q3843" t="s">
        <v>1151</v>
      </c>
    </row>
    <row r="3844" spans="2:17">
      <c r="B3844" t="s">
        <v>1378</v>
      </c>
      <c r="C3844" t="s">
        <v>1170</v>
      </c>
      <c r="D3844">
        <v>8.1855261515606108E-6</v>
      </c>
      <c r="E3844" t="s">
        <v>94</v>
      </c>
      <c r="H3844" t="s">
        <v>588</v>
      </c>
      <c r="I3844">
        <v>8.1855261515606108E-6</v>
      </c>
      <c r="J3844">
        <v>1.0247973619913604</v>
      </c>
      <c r="N3844" t="s">
        <v>1379</v>
      </c>
      <c r="O3844" t="s">
        <v>1173</v>
      </c>
      <c r="Q3844" t="s">
        <v>1154</v>
      </c>
    </row>
    <row r="3845" spans="2:17">
      <c r="B3845" t="s">
        <v>1380</v>
      </c>
      <c r="C3845" t="s">
        <v>592</v>
      </c>
      <c r="D3845">
        <v>1.11539140415911E-5</v>
      </c>
      <c r="E3845" t="s">
        <v>607</v>
      </c>
      <c r="H3845" t="s">
        <v>588</v>
      </c>
      <c r="I3845">
        <v>1.11539140415911E-5</v>
      </c>
      <c r="J3845">
        <v>1</v>
      </c>
      <c r="N3845" t="s">
        <v>1381</v>
      </c>
      <c r="O3845" t="s">
        <v>1157</v>
      </c>
      <c r="Q3845" t="s">
        <v>1382</v>
      </c>
    </row>
    <row r="3846" spans="2:17">
      <c r="B3846" t="s">
        <v>1383</v>
      </c>
      <c r="C3846" t="s">
        <v>673</v>
      </c>
      <c r="D3846">
        <v>3.6710954844511102E-5</v>
      </c>
      <c r="E3846" t="s">
        <v>94</v>
      </c>
      <c r="H3846" t="s">
        <v>588</v>
      </c>
      <c r="I3846">
        <v>3.6710954844511102E-5</v>
      </c>
      <c r="J3846">
        <v>1.0247973619913604</v>
      </c>
      <c r="N3846" t="s">
        <v>1384</v>
      </c>
      <c r="O3846" t="s">
        <v>1140</v>
      </c>
      <c r="Q3846" t="s">
        <v>1385</v>
      </c>
    </row>
    <row r="3847" spans="2:17">
      <c r="B3847" t="s">
        <v>1386</v>
      </c>
      <c r="C3847" t="s">
        <v>673</v>
      </c>
      <c r="D3847">
        <v>2.3821550094989299E-5</v>
      </c>
      <c r="E3847" t="s">
        <v>94</v>
      </c>
      <c r="H3847" t="s">
        <v>588</v>
      </c>
      <c r="I3847">
        <v>2.3821550094989299E-5</v>
      </c>
      <c r="J3847">
        <v>1.0247973619913604</v>
      </c>
      <c r="N3847" t="s">
        <v>1387</v>
      </c>
      <c r="O3847" t="s">
        <v>1157</v>
      </c>
      <c r="Q3847" t="s">
        <v>1388</v>
      </c>
    </row>
    <row r="3848" spans="2:17">
      <c r="B3848" t="s">
        <v>860</v>
      </c>
      <c r="C3848" t="s">
        <v>650</v>
      </c>
      <c r="D3848">
        <v>4.3107843537278801E-3</v>
      </c>
      <c r="E3848" t="s">
        <v>94</v>
      </c>
      <c r="H3848" t="s">
        <v>588</v>
      </c>
      <c r="I3848">
        <v>4.3107843537278801E-3</v>
      </c>
      <c r="J3848">
        <v>1.0247973619913604</v>
      </c>
      <c r="N3848" t="s">
        <v>861</v>
      </c>
      <c r="O3848" t="s">
        <v>1157</v>
      </c>
      <c r="Q3848" t="s">
        <v>1389</v>
      </c>
    </row>
    <row r="3849" spans="2:17">
      <c r="B3849" t="s">
        <v>1078</v>
      </c>
      <c r="C3849" t="s">
        <v>821</v>
      </c>
      <c r="D3849">
        <v>3.11450609029199E-3</v>
      </c>
      <c r="E3849" t="s">
        <v>94</v>
      </c>
      <c r="H3849" t="s">
        <v>588</v>
      </c>
      <c r="I3849">
        <v>3.11450609029199E-3</v>
      </c>
      <c r="J3849">
        <v>1.151909910168909</v>
      </c>
      <c r="N3849" t="s">
        <v>1079</v>
      </c>
      <c r="O3849" t="s">
        <v>1263</v>
      </c>
      <c r="Q3849" t="s">
        <v>595</v>
      </c>
    </row>
    <row r="3850" spans="2:17">
      <c r="B3850" t="s">
        <v>1390</v>
      </c>
      <c r="C3850" t="s">
        <v>1170</v>
      </c>
      <c r="D3850">
        <v>2.74757612427845E-5</v>
      </c>
      <c r="E3850" t="s">
        <v>94</v>
      </c>
      <c r="H3850" t="s">
        <v>588</v>
      </c>
      <c r="I3850">
        <v>2.74757612427845E-5</v>
      </c>
      <c r="J3850">
        <v>1.0247973619913604</v>
      </c>
      <c r="N3850" t="s">
        <v>1391</v>
      </c>
      <c r="O3850" t="s">
        <v>1150</v>
      </c>
      <c r="Q3850" t="s">
        <v>1151</v>
      </c>
    </row>
    <row r="3851" spans="2:17">
      <c r="B3851" t="s">
        <v>1392</v>
      </c>
      <c r="C3851" t="s">
        <v>1170</v>
      </c>
      <c r="D3851">
        <v>4.0146275075145297E-6</v>
      </c>
      <c r="E3851" t="s">
        <v>94</v>
      </c>
      <c r="H3851" t="s">
        <v>588</v>
      </c>
      <c r="I3851">
        <v>4.0146275075145297E-6</v>
      </c>
      <c r="J3851">
        <v>1.0247973619913604</v>
      </c>
      <c r="N3851" t="s">
        <v>1393</v>
      </c>
      <c r="O3851" t="s">
        <v>1173</v>
      </c>
      <c r="Q3851" t="s">
        <v>1154</v>
      </c>
    </row>
    <row r="3852" spans="2:17">
      <c r="B3852" t="s">
        <v>1394</v>
      </c>
      <c r="C3852" t="s">
        <v>1170</v>
      </c>
      <c r="D3852">
        <v>1.5376355410123102E-5</v>
      </c>
      <c r="E3852" t="s">
        <v>94</v>
      </c>
      <c r="H3852" t="s">
        <v>588</v>
      </c>
      <c r="I3852">
        <v>1.5376355410123102E-5</v>
      </c>
      <c r="J3852">
        <v>1.0247973619913604</v>
      </c>
      <c r="N3852" t="s">
        <v>1395</v>
      </c>
      <c r="O3852" t="s">
        <v>1173</v>
      </c>
      <c r="Q3852" t="s">
        <v>1154</v>
      </c>
    </row>
    <row r="3853" spans="2:17">
      <c r="B3853" t="s">
        <v>1396</v>
      </c>
      <c r="C3853" t="s">
        <v>1170</v>
      </c>
      <c r="D3853">
        <v>1.5724056029771799E-6</v>
      </c>
      <c r="E3853" t="s">
        <v>94</v>
      </c>
      <c r="H3853" t="s">
        <v>588</v>
      </c>
      <c r="I3853">
        <v>1.5724056029771799E-6</v>
      </c>
      <c r="J3853">
        <v>1.0247973619913604</v>
      </c>
      <c r="N3853" t="s">
        <v>1397</v>
      </c>
      <c r="O3853" t="s">
        <v>1173</v>
      </c>
      <c r="Q3853" t="s">
        <v>1154</v>
      </c>
    </row>
    <row r="3854" spans="2:17">
      <c r="B3854" t="s">
        <v>1398</v>
      </c>
      <c r="C3854" t="s">
        <v>673</v>
      </c>
      <c r="D3854">
        <v>6.2659838884473901E-5</v>
      </c>
      <c r="E3854" t="s">
        <v>94</v>
      </c>
      <c r="H3854" t="s">
        <v>588</v>
      </c>
      <c r="I3854">
        <v>6.2659838884473901E-5</v>
      </c>
      <c r="J3854">
        <v>1.0247973619913604</v>
      </c>
      <c r="N3854" t="s">
        <v>1399</v>
      </c>
      <c r="O3854" t="s">
        <v>1157</v>
      </c>
      <c r="Q3854" t="s">
        <v>1400</v>
      </c>
    </row>
    <row r="3855" spans="2:17">
      <c r="B3855" t="s">
        <v>1401</v>
      </c>
      <c r="C3855" t="s">
        <v>857</v>
      </c>
      <c r="D3855">
        <v>1.91976129555614E-12</v>
      </c>
      <c r="E3855" t="s">
        <v>616</v>
      </c>
      <c r="H3855" t="s">
        <v>588</v>
      </c>
      <c r="I3855">
        <v>1.91976129555614E-12</v>
      </c>
      <c r="J3855">
        <v>1.7915751222543432</v>
      </c>
      <c r="N3855" t="s">
        <v>1402</v>
      </c>
      <c r="O3855" t="s">
        <v>1145</v>
      </c>
      <c r="Q3855" t="s">
        <v>595</v>
      </c>
    </row>
    <row r="3856" spans="2:17">
      <c r="B3856" t="s">
        <v>1403</v>
      </c>
      <c r="C3856" t="s">
        <v>1404</v>
      </c>
      <c r="D3856">
        <v>2.4902535887435799E-9</v>
      </c>
      <c r="E3856" t="s">
        <v>616</v>
      </c>
      <c r="H3856" t="s">
        <v>588</v>
      </c>
      <c r="I3856">
        <v>2.4902535887435799E-9</v>
      </c>
      <c r="J3856">
        <v>1.7450381821146503</v>
      </c>
      <c r="N3856" t="s">
        <v>1405</v>
      </c>
      <c r="O3856" t="s">
        <v>952</v>
      </c>
      <c r="Q3856" t="s">
        <v>1406</v>
      </c>
    </row>
    <row r="3857" spans="2:17">
      <c r="B3857" t="s">
        <v>1407</v>
      </c>
      <c r="C3857" t="s">
        <v>1408</v>
      </c>
      <c r="D3857">
        <v>1.4211131117309699E-5</v>
      </c>
      <c r="E3857" t="s">
        <v>640</v>
      </c>
      <c r="H3857" t="s">
        <v>588</v>
      </c>
      <c r="I3857">
        <v>1.4211131117309699E-5</v>
      </c>
      <c r="J3857">
        <v>1</v>
      </c>
      <c r="N3857" t="s">
        <v>1409</v>
      </c>
      <c r="O3857" t="s">
        <v>1157</v>
      </c>
      <c r="Q3857" t="s">
        <v>1410</v>
      </c>
    </row>
    <row r="3858" spans="2:17">
      <c r="B3858" t="s">
        <v>1411</v>
      </c>
      <c r="C3858" t="s">
        <v>667</v>
      </c>
      <c r="D3858">
        <v>1.11228314674296E-5</v>
      </c>
      <c r="E3858" t="s">
        <v>94</v>
      </c>
      <c r="H3858" t="s">
        <v>588</v>
      </c>
      <c r="I3858">
        <v>1.11228314674296E-5</v>
      </c>
      <c r="J3858">
        <v>1</v>
      </c>
      <c r="N3858" t="s">
        <v>1412</v>
      </c>
      <c r="O3858" t="s">
        <v>1157</v>
      </c>
      <c r="Q3858" t="s">
        <v>1413</v>
      </c>
    </row>
    <row r="3859" spans="2:17">
      <c r="B3859" t="s">
        <v>1414</v>
      </c>
      <c r="C3859" t="s">
        <v>821</v>
      </c>
      <c r="D3859">
        <v>7.6622555545266197E-3</v>
      </c>
      <c r="E3859" t="s">
        <v>94</v>
      </c>
      <c r="H3859" t="s">
        <v>588</v>
      </c>
      <c r="I3859">
        <v>7.6622555545266197E-3</v>
      </c>
      <c r="J3859">
        <v>1.2214027581601699</v>
      </c>
      <c r="N3859" t="s">
        <v>1415</v>
      </c>
      <c r="O3859" t="s">
        <v>1145</v>
      </c>
      <c r="Q3859" t="s">
        <v>1146</v>
      </c>
    </row>
    <row r="3860" spans="2:17">
      <c r="B3860" t="s">
        <v>1416</v>
      </c>
      <c r="C3860" t="s">
        <v>1417</v>
      </c>
      <c r="D3860">
        <v>2.3653699324438899E-7</v>
      </c>
      <c r="E3860" t="s">
        <v>626</v>
      </c>
      <c r="H3860" t="s">
        <v>588</v>
      </c>
      <c r="I3860">
        <v>2.3653699324438899E-7</v>
      </c>
      <c r="J3860">
        <v>1.0247973619913604</v>
      </c>
      <c r="N3860" t="s">
        <v>1418</v>
      </c>
      <c r="O3860" t="s">
        <v>1150</v>
      </c>
      <c r="Q3860" t="s">
        <v>1151</v>
      </c>
    </row>
    <row r="3861" spans="2:17">
      <c r="B3861" t="s">
        <v>1419</v>
      </c>
      <c r="C3861" t="s">
        <v>667</v>
      </c>
      <c r="D3861">
        <v>1.70291158918232E-3</v>
      </c>
      <c r="E3861" t="s">
        <v>94</v>
      </c>
      <c r="H3861" t="s">
        <v>588</v>
      </c>
      <c r="I3861">
        <v>1.70291158918232E-3</v>
      </c>
      <c r="J3861">
        <v>1.0247973619913604</v>
      </c>
      <c r="N3861" t="s">
        <v>1420</v>
      </c>
      <c r="O3861" t="s">
        <v>1150</v>
      </c>
      <c r="Q3861" t="s">
        <v>1151</v>
      </c>
    </row>
    <row r="3862" spans="2:17">
      <c r="B3862" t="s">
        <v>1421</v>
      </c>
      <c r="C3862" t="s">
        <v>821</v>
      </c>
      <c r="D3862">
        <v>9.4355110295046597E-3</v>
      </c>
      <c r="E3862" t="s">
        <v>94</v>
      </c>
      <c r="H3862" t="s">
        <v>588</v>
      </c>
      <c r="I3862">
        <v>9.4355110295046597E-3</v>
      </c>
      <c r="J3862">
        <v>1.0247973619913604</v>
      </c>
      <c r="N3862" t="s">
        <v>1422</v>
      </c>
      <c r="O3862" t="s">
        <v>798</v>
      </c>
      <c r="Q3862" t="s">
        <v>595</v>
      </c>
    </row>
    <row r="3863" spans="2:17">
      <c r="B3863" t="s">
        <v>1423</v>
      </c>
      <c r="C3863" t="s">
        <v>821</v>
      </c>
      <c r="D3863">
        <v>2.5042098961605098E-3</v>
      </c>
      <c r="E3863" t="s">
        <v>94</v>
      </c>
      <c r="H3863" t="s">
        <v>588</v>
      </c>
      <c r="I3863">
        <v>2.5042098961605098E-3</v>
      </c>
      <c r="J3863">
        <v>1.0247973619913604</v>
      </c>
      <c r="N3863" t="s">
        <v>1424</v>
      </c>
      <c r="O3863" t="s">
        <v>1150</v>
      </c>
      <c r="Q3863" t="s">
        <v>1151</v>
      </c>
    </row>
    <row r="3864" spans="2:17">
      <c r="B3864" t="s">
        <v>1425</v>
      </c>
      <c r="C3864" t="s">
        <v>676</v>
      </c>
      <c r="D3864">
        <v>5.1033318340238804E-3</v>
      </c>
      <c r="E3864" t="s">
        <v>94</v>
      </c>
      <c r="H3864" t="s">
        <v>588</v>
      </c>
      <c r="I3864">
        <v>5.1033318340238804E-3</v>
      </c>
      <c r="J3864">
        <v>1.0247973619913604</v>
      </c>
      <c r="N3864" t="s">
        <v>1426</v>
      </c>
      <c r="O3864" t="s">
        <v>1140</v>
      </c>
      <c r="Q3864" t="s">
        <v>1427</v>
      </c>
    </row>
    <row r="3865" spans="2:17">
      <c r="B3865" t="s">
        <v>1428</v>
      </c>
      <c r="C3865" t="s">
        <v>670</v>
      </c>
      <c r="D3865">
        <v>1.2876292527534499E-4</v>
      </c>
      <c r="E3865" t="s">
        <v>94</v>
      </c>
      <c r="H3865" t="s">
        <v>588</v>
      </c>
      <c r="I3865">
        <v>1.2876292527534499E-4</v>
      </c>
      <c r="J3865">
        <v>1.0247973619913604</v>
      </c>
      <c r="N3865" t="s">
        <v>1429</v>
      </c>
      <c r="O3865" t="s">
        <v>1140</v>
      </c>
      <c r="Q3865" t="s">
        <v>1430</v>
      </c>
    </row>
    <row r="3866" spans="2:17">
      <c r="B3866" t="s">
        <v>1431</v>
      </c>
      <c r="C3866" t="s">
        <v>673</v>
      </c>
      <c r="D3866">
        <v>5.3839557250109004E-4</v>
      </c>
      <c r="E3866" t="s">
        <v>94</v>
      </c>
      <c r="H3866" t="s">
        <v>588</v>
      </c>
      <c r="I3866">
        <v>5.3839557250109004E-4</v>
      </c>
      <c r="J3866">
        <v>1.0247973619913604</v>
      </c>
      <c r="N3866" t="s">
        <v>1432</v>
      </c>
      <c r="O3866" t="s">
        <v>1173</v>
      </c>
      <c r="Q3866" t="s">
        <v>1154</v>
      </c>
    </row>
    <row r="3867" spans="2:17">
      <c r="B3867" t="s">
        <v>700</v>
      </c>
      <c r="C3867" t="s">
        <v>701</v>
      </c>
      <c r="D3867">
        <v>3.5213467725274199E-4</v>
      </c>
      <c r="E3867" t="s">
        <v>94</v>
      </c>
      <c r="H3867" t="s">
        <v>588</v>
      </c>
      <c r="I3867">
        <v>3.5213467725274199E-4</v>
      </c>
      <c r="J3867">
        <v>1.0247973619913604</v>
      </c>
      <c r="N3867" t="s">
        <v>702</v>
      </c>
      <c r="O3867" t="s">
        <v>1150</v>
      </c>
      <c r="Q3867" t="s">
        <v>1151</v>
      </c>
    </row>
    <row r="3868" spans="2:17">
      <c r="B3868" t="s">
        <v>700</v>
      </c>
      <c r="C3868" t="s">
        <v>701</v>
      </c>
      <c r="D3868">
        <v>1.73019351742034E-4</v>
      </c>
      <c r="E3868" t="s">
        <v>94</v>
      </c>
      <c r="H3868" t="s">
        <v>588</v>
      </c>
      <c r="I3868">
        <v>1.73019351742034E-4</v>
      </c>
      <c r="J3868">
        <v>1.0247973619913604</v>
      </c>
      <c r="N3868" t="s">
        <v>702</v>
      </c>
      <c r="O3868" t="s">
        <v>1150</v>
      </c>
      <c r="Q3868" t="s">
        <v>1151</v>
      </c>
    </row>
    <row r="3869" spans="2:17">
      <c r="B3869" t="s">
        <v>1433</v>
      </c>
      <c r="C3869" t="s">
        <v>667</v>
      </c>
      <c r="D3869">
        <v>1.0563941253662599E-6</v>
      </c>
      <c r="E3869" t="s">
        <v>94</v>
      </c>
      <c r="H3869" t="s">
        <v>588</v>
      </c>
      <c r="I3869">
        <v>1.0563941253662599E-6</v>
      </c>
      <c r="J3869">
        <v>1.0247973619913604</v>
      </c>
      <c r="N3869" t="s">
        <v>1434</v>
      </c>
      <c r="O3869" t="s">
        <v>1435</v>
      </c>
      <c r="Q3869" t="s">
        <v>1436</v>
      </c>
    </row>
    <row r="3870" spans="2:17">
      <c r="B3870" t="s">
        <v>1437</v>
      </c>
      <c r="C3870" t="s">
        <v>708</v>
      </c>
      <c r="D3870">
        <v>9.4614767275401205E-4</v>
      </c>
      <c r="E3870" t="s">
        <v>94</v>
      </c>
      <c r="H3870" t="s">
        <v>588</v>
      </c>
      <c r="I3870">
        <v>9.4614767275401205E-4</v>
      </c>
      <c r="J3870">
        <v>1</v>
      </c>
      <c r="N3870" t="s">
        <v>1438</v>
      </c>
      <c r="O3870" t="s">
        <v>1157</v>
      </c>
      <c r="Q3870" t="s">
        <v>595</v>
      </c>
    </row>
    <row r="3871" spans="2:17">
      <c r="B3871" t="s">
        <v>1439</v>
      </c>
      <c r="C3871" t="s">
        <v>673</v>
      </c>
      <c r="D3871">
        <v>3.59064057008705E-3</v>
      </c>
      <c r="E3871" t="s">
        <v>94</v>
      </c>
      <c r="H3871" t="s">
        <v>588</v>
      </c>
      <c r="I3871">
        <v>3.59064057008705E-3</v>
      </c>
      <c r="J3871">
        <v>1.0247973619913604</v>
      </c>
      <c r="N3871" t="s">
        <v>1440</v>
      </c>
      <c r="O3871" t="s">
        <v>1157</v>
      </c>
      <c r="Q3871" t="s">
        <v>1441</v>
      </c>
    </row>
    <row r="3872" spans="2:17">
      <c r="B3872" t="s">
        <v>1442</v>
      </c>
      <c r="C3872" t="s">
        <v>673</v>
      </c>
      <c r="D3872">
        <v>9.4186744221727101E-5</v>
      </c>
      <c r="E3872" t="s">
        <v>94</v>
      </c>
      <c r="H3872" t="s">
        <v>588</v>
      </c>
      <c r="I3872">
        <v>9.4186744221727101E-5</v>
      </c>
      <c r="J3872">
        <v>1.0247973619913604</v>
      </c>
      <c r="N3872" t="s">
        <v>1443</v>
      </c>
      <c r="O3872" t="s">
        <v>1157</v>
      </c>
      <c r="Q3872" t="s">
        <v>1166</v>
      </c>
    </row>
    <row r="3873" spans="2:17">
      <c r="B3873" t="s">
        <v>703</v>
      </c>
      <c r="C3873" t="s">
        <v>673</v>
      </c>
      <c r="D3873">
        <v>2.3747282881132E-4</v>
      </c>
      <c r="E3873" t="s">
        <v>94</v>
      </c>
      <c r="H3873" t="s">
        <v>588</v>
      </c>
      <c r="I3873">
        <v>2.3747282881132E-4</v>
      </c>
      <c r="J3873">
        <v>1.0247973619913604</v>
      </c>
      <c r="N3873" t="s">
        <v>704</v>
      </c>
      <c r="O3873" t="s">
        <v>4446</v>
      </c>
      <c r="Q3873" t="s">
        <v>5144</v>
      </c>
    </row>
    <row r="3874" spans="2:17">
      <c r="B3874" t="s">
        <v>703</v>
      </c>
      <c r="C3874" t="s">
        <v>673</v>
      </c>
      <c r="D3874">
        <v>5.1995114149640199E-5</v>
      </c>
      <c r="E3874" t="s">
        <v>94</v>
      </c>
      <c r="H3874" t="s">
        <v>588</v>
      </c>
      <c r="I3874">
        <v>5.1995114149640199E-5</v>
      </c>
      <c r="J3874">
        <v>1</v>
      </c>
      <c r="N3874" t="s">
        <v>917</v>
      </c>
      <c r="O3874" t="s">
        <v>1157</v>
      </c>
      <c r="Q3874" t="s">
        <v>1445</v>
      </c>
    </row>
    <row r="3875" spans="2:17">
      <c r="B3875" t="s">
        <v>1446</v>
      </c>
      <c r="C3875" t="s">
        <v>673</v>
      </c>
      <c r="D3875">
        <v>1.46843844981114E-6</v>
      </c>
      <c r="E3875" t="s">
        <v>94</v>
      </c>
      <c r="H3875" t="s">
        <v>588</v>
      </c>
      <c r="I3875">
        <v>1.46843844981114E-6</v>
      </c>
      <c r="J3875">
        <v>1.0247973619913604</v>
      </c>
      <c r="N3875" t="s">
        <v>1447</v>
      </c>
      <c r="O3875" t="s">
        <v>1140</v>
      </c>
      <c r="Q3875" t="s">
        <v>1448</v>
      </c>
    </row>
    <row r="3876" spans="2:17">
      <c r="B3876" t="s">
        <v>1449</v>
      </c>
      <c r="C3876" t="s">
        <v>673</v>
      </c>
      <c r="D3876">
        <v>2.30900452643801E-6</v>
      </c>
      <c r="E3876" t="s">
        <v>94</v>
      </c>
      <c r="H3876" t="s">
        <v>588</v>
      </c>
      <c r="I3876">
        <v>2.30900452643801E-6</v>
      </c>
      <c r="J3876">
        <v>1</v>
      </c>
      <c r="N3876" t="s">
        <v>1450</v>
      </c>
      <c r="O3876" t="s">
        <v>1157</v>
      </c>
      <c r="Q3876" t="s">
        <v>1451</v>
      </c>
    </row>
    <row r="3877" spans="2:17">
      <c r="B3877" t="s">
        <v>1452</v>
      </c>
      <c r="C3877" t="s">
        <v>673</v>
      </c>
      <c r="D3877">
        <v>5.1266642317778298E-5</v>
      </c>
      <c r="E3877" t="s">
        <v>94</v>
      </c>
      <c r="H3877" t="s">
        <v>588</v>
      </c>
      <c r="I3877">
        <v>5.1266642317778298E-5</v>
      </c>
      <c r="J3877">
        <v>1.0247973619913604</v>
      </c>
      <c r="N3877" t="s">
        <v>1453</v>
      </c>
      <c r="O3877" t="s">
        <v>1435</v>
      </c>
      <c r="Q3877" t="s">
        <v>1454</v>
      </c>
    </row>
    <row r="3878" spans="2:17">
      <c r="B3878" t="s">
        <v>1455</v>
      </c>
      <c r="C3878" t="s">
        <v>673</v>
      </c>
      <c r="D3878">
        <v>3.2855414861781501E-5</v>
      </c>
      <c r="E3878" t="s">
        <v>94</v>
      </c>
      <c r="H3878" t="s">
        <v>588</v>
      </c>
      <c r="I3878">
        <v>3.2855414861781501E-5</v>
      </c>
      <c r="J3878">
        <v>1.0247973619913604</v>
      </c>
      <c r="N3878" t="s">
        <v>1456</v>
      </c>
      <c r="O3878" t="s">
        <v>1157</v>
      </c>
      <c r="Q3878" t="s">
        <v>1166</v>
      </c>
    </row>
    <row r="3879" spans="2:17">
      <c r="B3879" t="s">
        <v>1457</v>
      </c>
      <c r="C3879" t="s">
        <v>821</v>
      </c>
      <c r="D3879">
        <v>9.5762590399658207E-3</v>
      </c>
      <c r="E3879" t="s">
        <v>94</v>
      </c>
      <c r="H3879" t="s">
        <v>588</v>
      </c>
      <c r="I3879">
        <v>9.5762590399658207E-3</v>
      </c>
      <c r="J3879">
        <v>1.0247973619913604</v>
      </c>
      <c r="N3879" t="s">
        <v>1458</v>
      </c>
      <c r="O3879" t="s">
        <v>1150</v>
      </c>
      <c r="Q3879" t="s">
        <v>1151</v>
      </c>
    </row>
    <row r="3880" spans="2:17">
      <c r="B3880" t="s">
        <v>1459</v>
      </c>
      <c r="C3880" t="s">
        <v>821</v>
      </c>
      <c r="D3880">
        <v>1.8897027202003301E-6</v>
      </c>
      <c r="E3880" t="s">
        <v>94</v>
      </c>
      <c r="H3880" t="s">
        <v>588</v>
      </c>
      <c r="I3880">
        <v>1.8897027202003301E-6</v>
      </c>
      <c r="J3880">
        <v>1.0247973619913604</v>
      </c>
      <c r="N3880" t="s">
        <v>1460</v>
      </c>
      <c r="O3880" t="s">
        <v>1435</v>
      </c>
      <c r="Q3880" t="s">
        <v>1461</v>
      </c>
    </row>
    <row r="3881" spans="2:17">
      <c r="B3881" t="s">
        <v>1462</v>
      </c>
      <c r="C3881" t="s">
        <v>821</v>
      </c>
      <c r="D3881">
        <v>5.3536563155844796E-3</v>
      </c>
      <c r="E3881" t="s">
        <v>94</v>
      </c>
      <c r="H3881" t="s">
        <v>588</v>
      </c>
      <c r="I3881">
        <v>5.3536563155844796E-3</v>
      </c>
      <c r="J3881">
        <v>1</v>
      </c>
      <c r="N3881" t="s">
        <v>1463</v>
      </c>
      <c r="O3881" t="s">
        <v>1157</v>
      </c>
      <c r="Q3881" t="s">
        <v>1464</v>
      </c>
    </row>
    <row r="3882" spans="2:17">
      <c r="B3882" t="s">
        <v>1465</v>
      </c>
      <c r="C3882" t="s">
        <v>821</v>
      </c>
      <c r="D3882">
        <v>0.10055944778251701</v>
      </c>
      <c r="E3882" t="s">
        <v>94</v>
      </c>
      <c r="H3882" t="s">
        <v>588</v>
      </c>
      <c r="I3882">
        <v>0.10055944778251701</v>
      </c>
      <c r="J3882">
        <v>1</v>
      </c>
      <c r="N3882" t="s">
        <v>1466</v>
      </c>
      <c r="O3882" t="s">
        <v>1157</v>
      </c>
      <c r="Q3882" t="s">
        <v>1467</v>
      </c>
    </row>
    <row r="3883" spans="2:17">
      <c r="B3883" t="s">
        <v>1468</v>
      </c>
      <c r="C3883" t="s">
        <v>673</v>
      </c>
      <c r="D3883">
        <v>1.0527292715054899E-4</v>
      </c>
      <c r="E3883" t="s">
        <v>94</v>
      </c>
      <c r="H3883" t="s">
        <v>588</v>
      </c>
      <c r="I3883">
        <v>1.0527292715054899E-4</v>
      </c>
      <c r="J3883">
        <v>1.0247973619913604</v>
      </c>
      <c r="N3883" t="s">
        <v>1469</v>
      </c>
      <c r="O3883" t="s">
        <v>1157</v>
      </c>
      <c r="Q3883" t="s">
        <v>1166</v>
      </c>
    </row>
    <row r="3884" spans="2:17">
      <c r="B3884" t="s">
        <v>865</v>
      </c>
      <c r="C3884" t="s">
        <v>809</v>
      </c>
      <c r="D3884">
        <v>2.80139104183127E-5</v>
      </c>
      <c r="E3884" t="s">
        <v>94</v>
      </c>
      <c r="H3884" t="s">
        <v>588</v>
      </c>
      <c r="I3884">
        <v>2.80139104183127E-5</v>
      </c>
      <c r="J3884">
        <v>1</v>
      </c>
      <c r="N3884" t="s">
        <v>866</v>
      </c>
      <c r="O3884" t="s">
        <v>1157</v>
      </c>
      <c r="Q3884" t="s">
        <v>5145</v>
      </c>
    </row>
    <row r="3885" spans="2:17">
      <c r="B3885" t="s">
        <v>865</v>
      </c>
      <c r="C3885" t="s">
        <v>809</v>
      </c>
      <c r="D3885">
        <v>1.4016305134608701E-6</v>
      </c>
      <c r="E3885" t="s">
        <v>94</v>
      </c>
      <c r="H3885" t="s">
        <v>588</v>
      </c>
      <c r="I3885">
        <v>1.4016305134608701E-6</v>
      </c>
      <c r="J3885">
        <v>1.0247973619913604</v>
      </c>
      <c r="N3885" t="s">
        <v>866</v>
      </c>
      <c r="O3885" t="s">
        <v>1173</v>
      </c>
      <c r="Q3885" t="s">
        <v>1233</v>
      </c>
    </row>
    <row r="3886" spans="2:17">
      <c r="B3886" t="s">
        <v>1470</v>
      </c>
      <c r="C3886" t="s">
        <v>1170</v>
      </c>
      <c r="D3886">
        <v>3.4775830383075501E-6</v>
      </c>
      <c r="E3886" t="s">
        <v>94</v>
      </c>
      <c r="H3886" t="s">
        <v>588</v>
      </c>
      <c r="I3886">
        <v>3.4775830383075501E-6</v>
      </c>
      <c r="J3886">
        <v>1.0247973619913604</v>
      </c>
      <c r="N3886" t="s">
        <v>1471</v>
      </c>
      <c r="O3886" t="s">
        <v>1173</v>
      </c>
      <c r="Q3886" t="s">
        <v>1154</v>
      </c>
    </row>
    <row r="3887" spans="2:17">
      <c r="B3887" t="s">
        <v>1472</v>
      </c>
      <c r="C3887" t="s">
        <v>701</v>
      </c>
      <c r="D3887">
        <v>2.5248920731327099E-4</v>
      </c>
      <c r="E3887" t="s">
        <v>94</v>
      </c>
      <c r="H3887" t="s">
        <v>588</v>
      </c>
      <c r="I3887">
        <v>2.5248920731327099E-4</v>
      </c>
      <c r="J3887">
        <v>1.0247973619913604</v>
      </c>
      <c r="N3887" t="s">
        <v>1473</v>
      </c>
      <c r="O3887" t="s">
        <v>1173</v>
      </c>
      <c r="Q3887" t="s">
        <v>1154</v>
      </c>
    </row>
    <row r="3888" spans="2:17">
      <c r="B3888" t="s">
        <v>868</v>
      </c>
      <c r="C3888" t="s">
        <v>813</v>
      </c>
      <c r="D3888">
        <v>2.01084917196011</v>
      </c>
      <c r="E3888" t="s">
        <v>94</v>
      </c>
      <c r="H3888" t="s">
        <v>588</v>
      </c>
      <c r="I3888">
        <v>2.01084917196011</v>
      </c>
      <c r="J3888">
        <v>1.0247973619913604</v>
      </c>
      <c r="N3888" t="s">
        <v>869</v>
      </c>
      <c r="O3888" t="s">
        <v>1157</v>
      </c>
      <c r="Q3888" t="s">
        <v>1475</v>
      </c>
    </row>
    <row r="3889" spans="2:17">
      <c r="B3889" t="s">
        <v>868</v>
      </c>
      <c r="C3889" t="s">
        <v>813</v>
      </c>
      <c r="D3889">
        <v>2.12414934961461E-2</v>
      </c>
      <c r="E3889" t="s">
        <v>94</v>
      </c>
      <c r="H3889" t="s">
        <v>588</v>
      </c>
      <c r="I3889">
        <v>2.12414934961461E-2</v>
      </c>
      <c r="J3889">
        <v>1.2214027581601699</v>
      </c>
      <c r="N3889" t="s">
        <v>1474</v>
      </c>
      <c r="O3889" t="s">
        <v>1145</v>
      </c>
      <c r="Q3889" t="s">
        <v>1146</v>
      </c>
    </row>
    <row r="3890" spans="2:17">
      <c r="B3890" t="s">
        <v>1476</v>
      </c>
      <c r="C3890" t="s">
        <v>1243</v>
      </c>
      <c r="D3890">
        <v>7.1266182610904606E-5</v>
      </c>
      <c r="E3890" t="s">
        <v>94</v>
      </c>
      <c r="H3890" t="s">
        <v>588</v>
      </c>
      <c r="I3890">
        <v>7.1266182610904606E-5</v>
      </c>
      <c r="J3890">
        <v>1.0247973619913604</v>
      </c>
      <c r="N3890" t="s">
        <v>1477</v>
      </c>
      <c r="O3890" t="s">
        <v>1135</v>
      </c>
      <c r="Q3890" t="s">
        <v>1136</v>
      </c>
    </row>
    <row r="3891" spans="2:17">
      <c r="B3891" t="s">
        <v>1478</v>
      </c>
      <c r="C3891" t="s">
        <v>673</v>
      </c>
      <c r="D3891">
        <v>3.2529757180352501E-3</v>
      </c>
      <c r="E3891" t="s">
        <v>94</v>
      </c>
      <c r="H3891" t="s">
        <v>588</v>
      </c>
      <c r="I3891">
        <v>3.2529757180352501E-3</v>
      </c>
      <c r="J3891">
        <v>1.0247973619913604</v>
      </c>
      <c r="N3891" t="s">
        <v>1479</v>
      </c>
      <c r="O3891" t="s">
        <v>1140</v>
      </c>
      <c r="Q3891" t="s">
        <v>1480</v>
      </c>
    </row>
    <row r="3892" spans="2:17">
      <c r="B3892" t="s">
        <v>1481</v>
      </c>
      <c r="C3892" t="s">
        <v>1482</v>
      </c>
      <c r="D3892">
        <v>6.0343678055106801E-5</v>
      </c>
      <c r="E3892" t="s">
        <v>94</v>
      </c>
      <c r="H3892" t="s">
        <v>588</v>
      </c>
      <c r="I3892">
        <v>6.0343678055106801E-5</v>
      </c>
      <c r="J3892">
        <v>1.0247973619913604</v>
      </c>
      <c r="N3892" t="s">
        <v>1483</v>
      </c>
      <c r="O3892" t="s">
        <v>1173</v>
      </c>
      <c r="Q3892" t="s">
        <v>1154</v>
      </c>
    </row>
    <row r="3893" spans="2:17">
      <c r="B3893" t="s">
        <v>1484</v>
      </c>
      <c r="C3893" t="s">
        <v>673</v>
      </c>
      <c r="D3893">
        <v>1.06285235244598E-4</v>
      </c>
      <c r="E3893" t="s">
        <v>94</v>
      </c>
      <c r="H3893" t="s">
        <v>588</v>
      </c>
      <c r="I3893">
        <v>1.06285235244598E-4</v>
      </c>
      <c r="J3893">
        <v>1.0247973619913604</v>
      </c>
      <c r="N3893" t="s">
        <v>1485</v>
      </c>
      <c r="O3893" t="s">
        <v>1140</v>
      </c>
      <c r="Q3893" t="s">
        <v>1486</v>
      </c>
    </row>
    <row r="3894" spans="2:17">
      <c r="B3894" t="s">
        <v>874</v>
      </c>
      <c r="C3894" t="s">
        <v>621</v>
      </c>
      <c r="D3894">
        <v>3.6510563449800799E-6</v>
      </c>
      <c r="E3894" t="s">
        <v>626</v>
      </c>
      <c r="H3894" t="s">
        <v>588</v>
      </c>
      <c r="I3894">
        <v>3.6510563449800799E-6</v>
      </c>
      <c r="J3894">
        <v>1</v>
      </c>
      <c r="O3894" t="s">
        <v>1157</v>
      </c>
      <c r="Q3894" t="s">
        <v>1323</v>
      </c>
    </row>
    <row r="3895" spans="2:17">
      <c r="B3895" t="s">
        <v>1487</v>
      </c>
      <c r="C3895" t="s">
        <v>621</v>
      </c>
      <c r="D3895">
        <v>3.6510563449800799E-6</v>
      </c>
      <c r="E3895" t="s">
        <v>626</v>
      </c>
      <c r="H3895" t="s">
        <v>588</v>
      </c>
      <c r="I3895">
        <v>3.6510563449800799E-6</v>
      </c>
      <c r="J3895">
        <v>1</v>
      </c>
      <c r="O3895" t="s">
        <v>1157</v>
      </c>
      <c r="Q3895" t="s">
        <v>1323</v>
      </c>
    </row>
    <row r="3896" spans="2:17">
      <c r="B3896" t="s">
        <v>1488</v>
      </c>
      <c r="C3896" t="s">
        <v>1489</v>
      </c>
      <c r="D3896">
        <v>1.10050096148973E-4</v>
      </c>
      <c r="E3896" t="s">
        <v>94</v>
      </c>
      <c r="H3896" t="s">
        <v>588</v>
      </c>
      <c r="I3896">
        <v>1.10050096148973E-4</v>
      </c>
      <c r="J3896">
        <v>1.0247973619913604</v>
      </c>
      <c r="N3896" t="s">
        <v>1490</v>
      </c>
      <c r="O3896" t="s">
        <v>1173</v>
      </c>
      <c r="Q3896" t="s">
        <v>1154</v>
      </c>
    </row>
    <row r="3897" spans="2:17">
      <c r="B3897" t="s">
        <v>1491</v>
      </c>
      <c r="C3897" t="s">
        <v>1489</v>
      </c>
      <c r="D3897">
        <v>1.1844357778862299E-5</v>
      </c>
      <c r="E3897" t="s">
        <v>94</v>
      </c>
      <c r="H3897" t="s">
        <v>588</v>
      </c>
      <c r="I3897">
        <v>1.1844357778862299E-5</v>
      </c>
      <c r="J3897">
        <v>1.0247973619913604</v>
      </c>
      <c r="N3897" t="s">
        <v>1492</v>
      </c>
      <c r="O3897" t="s">
        <v>1173</v>
      </c>
      <c r="Q3897" t="s">
        <v>1154</v>
      </c>
    </row>
    <row r="3898" spans="2:17">
      <c r="B3898" t="s">
        <v>1493</v>
      </c>
      <c r="C3898" t="s">
        <v>1170</v>
      </c>
      <c r="D3898">
        <v>3.5092952542516701E-5</v>
      </c>
      <c r="E3898" t="s">
        <v>94</v>
      </c>
      <c r="H3898" t="s">
        <v>588</v>
      </c>
      <c r="I3898">
        <v>3.5092952542516701E-5</v>
      </c>
      <c r="J3898">
        <v>1.0247973619913604</v>
      </c>
      <c r="N3898" t="s">
        <v>1494</v>
      </c>
      <c r="O3898" t="s">
        <v>1173</v>
      </c>
      <c r="Q3898" t="s">
        <v>1154</v>
      </c>
    </row>
    <row r="3899" spans="2:17">
      <c r="B3899" t="s">
        <v>1495</v>
      </c>
      <c r="C3899" t="s">
        <v>1170</v>
      </c>
      <c r="D3899">
        <v>3.2732730751253798E-6</v>
      </c>
      <c r="E3899" t="s">
        <v>94</v>
      </c>
      <c r="H3899" t="s">
        <v>588</v>
      </c>
      <c r="I3899">
        <v>3.2732730751253798E-6</v>
      </c>
      <c r="J3899">
        <v>1.0247973619913604</v>
      </c>
      <c r="N3899" t="s">
        <v>1496</v>
      </c>
      <c r="O3899" t="s">
        <v>1173</v>
      </c>
      <c r="Q3899" t="s">
        <v>1154</v>
      </c>
    </row>
    <row r="3900" spans="2:17">
      <c r="B3900" t="s">
        <v>1497</v>
      </c>
      <c r="C3900" t="s">
        <v>1170</v>
      </c>
      <c r="D3900">
        <v>2.7908704383379602E-6</v>
      </c>
      <c r="E3900" t="s">
        <v>94</v>
      </c>
      <c r="H3900" t="s">
        <v>588</v>
      </c>
      <c r="I3900">
        <v>2.7908704383379602E-6</v>
      </c>
      <c r="J3900">
        <v>1.0247973619913604</v>
      </c>
      <c r="N3900" t="s">
        <v>1498</v>
      </c>
      <c r="O3900" t="s">
        <v>1173</v>
      </c>
      <c r="Q3900" t="s">
        <v>1154</v>
      </c>
    </row>
    <row r="3901" spans="2:17">
      <c r="B3901" t="s">
        <v>1499</v>
      </c>
      <c r="C3901" t="s">
        <v>1170</v>
      </c>
      <c r="D3901">
        <v>6.0878455171149896E-7</v>
      </c>
      <c r="E3901" t="s">
        <v>94</v>
      </c>
      <c r="H3901" t="s">
        <v>588</v>
      </c>
      <c r="I3901">
        <v>6.0878455171149896E-7</v>
      </c>
      <c r="J3901">
        <v>1.0247973619913604</v>
      </c>
      <c r="N3901" t="s">
        <v>1500</v>
      </c>
      <c r="O3901" t="s">
        <v>1173</v>
      </c>
      <c r="Q3901" t="s">
        <v>1154</v>
      </c>
    </row>
    <row r="3902" spans="2:17">
      <c r="B3902" t="s">
        <v>1501</v>
      </c>
      <c r="C3902" t="s">
        <v>1502</v>
      </c>
      <c r="D3902">
        <v>8.7131900539749504E-5</v>
      </c>
      <c r="E3902" t="s">
        <v>475</v>
      </c>
      <c r="H3902" t="s">
        <v>588</v>
      </c>
      <c r="I3902">
        <v>8.7131900539749504E-5</v>
      </c>
      <c r="J3902">
        <v>1.4139824580805163</v>
      </c>
      <c r="N3902" t="s">
        <v>1503</v>
      </c>
      <c r="O3902" t="s">
        <v>851</v>
      </c>
      <c r="Q3902" t="s">
        <v>1504</v>
      </c>
    </row>
    <row r="3903" spans="2:17">
      <c r="B3903" t="s">
        <v>1505</v>
      </c>
      <c r="C3903" t="s">
        <v>809</v>
      </c>
      <c r="D3903">
        <v>3.8296060663153804E-6</v>
      </c>
      <c r="E3903" t="s">
        <v>94</v>
      </c>
      <c r="H3903" t="s">
        <v>588</v>
      </c>
      <c r="I3903">
        <v>3.8296060663153804E-6</v>
      </c>
      <c r="J3903">
        <v>1</v>
      </c>
      <c r="N3903" t="s">
        <v>1506</v>
      </c>
      <c r="O3903" t="s">
        <v>1157</v>
      </c>
      <c r="Q3903" t="s">
        <v>1507</v>
      </c>
    </row>
    <row r="3904" spans="2:17">
      <c r="B3904" t="s">
        <v>1508</v>
      </c>
      <c r="C3904" t="s">
        <v>813</v>
      </c>
      <c r="D3904">
        <v>3.48204126167371E-4</v>
      </c>
      <c r="E3904" t="s">
        <v>94</v>
      </c>
      <c r="H3904" t="s">
        <v>588</v>
      </c>
      <c r="I3904">
        <v>3.48204126167371E-4</v>
      </c>
      <c r="J3904">
        <v>1</v>
      </c>
      <c r="N3904" t="s">
        <v>1509</v>
      </c>
      <c r="O3904" t="s">
        <v>1157</v>
      </c>
      <c r="Q3904" t="s">
        <v>1510</v>
      </c>
    </row>
    <row r="3905" spans="1:17">
      <c r="B3905" t="s">
        <v>878</v>
      </c>
      <c r="C3905" t="s">
        <v>639</v>
      </c>
      <c r="D3905">
        <v>1.9542833212543201E-2</v>
      </c>
      <c r="E3905" t="s">
        <v>640</v>
      </c>
      <c r="H3905" t="s">
        <v>588</v>
      </c>
      <c r="I3905">
        <v>1.9542833212543201E-2</v>
      </c>
      <c r="J3905">
        <v>1.0247973619913604</v>
      </c>
      <c r="O3905" t="s">
        <v>1157</v>
      </c>
      <c r="Q3905" t="s">
        <v>1511</v>
      </c>
    </row>
    <row r="3906" spans="1:17">
      <c r="B3906" t="s">
        <v>1512</v>
      </c>
      <c r="C3906" t="s">
        <v>664</v>
      </c>
      <c r="D3906">
        <v>1.76736417575696E-3</v>
      </c>
      <c r="E3906" t="s">
        <v>94</v>
      </c>
      <c r="H3906" t="s">
        <v>588</v>
      </c>
      <c r="I3906">
        <v>1.76736417575696E-3</v>
      </c>
      <c r="J3906">
        <v>1.0247973619913604</v>
      </c>
      <c r="N3906" t="s">
        <v>1513</v>
      </c>
      <c r="O3906" t="s">
        <v>1140</v>
      </c>
      <c r="Q3906" t="s">
        <v>1514</v>
      </c>
    </row>
    <row r="3907" spans="1:17">
      <c r="B3907" t="s">
        <v>1515</v>
      </c>
      <c r="C3907" t="s">
        <v>667</v>
      </c>
      <c r="D3907">
        <v>9.87816449866224E-4</v>
      </c>
      <c r="E3907" t="s">
        <v>94</v>
      </c>
      <c r="H3907" t="s">
        <v>588</v>
      </c>
      <c r="I3907">
        <v>9.87816449866224E-4</v>
      </c>
      <c r="J3907">
        <v>1.0247973619913604</v>
      </c>
      <c r="N3907" t="s">
        <v>1516</v>
      </c>
      <c r="O3907" t="s">
        <v>1150</v>
      </c>
      <c r="Q3907" t="s">
        <v>1151</v>
      </c>
    </row>
    <row r="3908" spans="1:17">
      <c r="B3908" t="s">
        <v>1517</v>
      </c>
      <c r="C3908" t="s">
        <v>569</v>
      </c>
      <c r="D3908">
        <v>1.3388317918640999E-5</v>
      </c>
      <c r="E3908" t="s">
        <v>94</v>
      </c>
      <c r="H3908" t="s">
        <v>588</v>
      </c>
      <c r="I3908">
        <v>1.3388317918640999E-5</v>
      </c>
      <c r="J3908">
        <v>1.2214027581601699</v>
      </c>
      <c r="N3908" t="s">
        <v>1518</v>
      </c>
      <c r="O3908" t="s">
        <v>1145</v>
      </c>
      <c r="Q3908" t="s">
        <v>1146</v>
      </c>
    </row>
    <row r="3909" spans="1:17">
      <c r="B3909" t="s">
        <v>1519</v>
      </c>
      <c r="C3909" t="s">
        <v>1417</v>
      </c>
      <c r="D3909">
        <v>1.3384301552767801E-6</v>
      </c>
      <c r="E3909" t="s">
        <v>626</v>
      </c>
      <c r="H3909" t="s">
        <v>588</v>
      </c>
      <c r="I3909">
        <v>1.3384301552767801E-6</v>
      </c>
      <c r="J3909">
        <v>1.0247973619913604</v>
      </c>
      <c r="N3909" t="s">
        <v>1520</v>
      </c>
      <c r="O3909" t="s">
        <v>1150</v>
      </c>
      <c r="Q3909" t="s">
        <v>1151</v>
      </c>
    </row>
    <row r="3910" spans="1:17">
      <c r="B3910" t="s">
        <v>1521</v>
      </c>
      <c r="C3910" t="s">
        <v>569</v>
      </c>
      <c r="D3910">
        <v>0.18269296495926399</v>
      </c>
      <c r="E3910" t="s">
        <v>94</v>
      </c>
      <c r="H3910" t="s">
        <v>588</v>
      </c>
      <c r="I3910">
        <v>0.18269296495926399</v>
      </c>
      <c r="J3910">
        <v>1.0805386501323246</v>
      </c>
      <c r="N3910" t="s">
        <v>1522</v>
      </c>
      <c r="O3910" t="s">
        <v>1157</v>
      </c>
      <c r="Q3910" t="s">
        <v>811</v>
      </c>
    </row>
    <row r="3911" spans="1:17">
      <c r="B3911" t="s">
        <v>1523</v>
      </c>
      <c r="C3911" t="s">
        <v>569</v>
      </c>
      <c r="D3911">
        <v>1.0978341815871099E-3</v>
      </c>
      <c r="E3911" t="s">
        <v>94</v>
      </c>
      <c r="H3911" t="s">
        <v>588</v>
      </c>
      <c r="I3911">
        <v>1.0978341815871099E-3</v>
      </c>
      <c r="J3911">
        <v>1.0247973619913604</v>
      </c>
      <c r="N3911" t="s">
        <v>1524</v>
      </c>
      <c r="O3911" t="s">
        <v>1140</v>
      </c>
      <c r="Q3911" t="s">
        <v>1525</v>
      </c>
    </row>
    <row r="3913" spans="1:17">
      <c r="A3913" t="s">
        <v>710</v>
      </c>
    </row>
    <row r="3914" spans="1:17">
      <c r="A3914" s="421" t="s">
        <v>570</v>
      </c>
      <c r="B3914" s="421" t="s">
        <v>571</v>
      </c>
      <c r="C3914" s="421" t="s">
        <v>568</v>
      </c>
      <c r="D3914" s="421" t="s">
        <v>572</v>
      </c>
      <c r="E3914" s="421" t="s">
        <v>573</v>
      </c>
      <c r="F3914" s="421" t="s">
        <v>574</v>
      </c>
      <c r="G3914" s="421" t="s">
        <v>575</v>
      </c>
      <c r="H3914" s="421" t="s">
        <v>576</v>
      </c>
      <c r="I3914" s="421" t="s">
        <v>577</v>
      </c>
      <c r="J3914" s="421" t="s">
        <v>578</v>
      </c>
      <c r="K3914" s="421" t="s">
        <v>579</v>
      </c>
      <c r="L3914" s="421" t="s">
        <v>580</v>
      </c>
      <c r="M3914" s="421" t="s">
        <v>581</v>
      </c>
      <c r="N3914" s="421" t="s">
        <v>582</v>
      </c>
      <c r="O3914" s="421" t="s">
        <v>583</v>
      </c>
      <c r="P3914" s="421" t="s">
        <v>584</v>
      </c>
      <c r="Q3914" s="421" t="s">
        <v>585</v>
      </c>
    </row>
    <row r="3915" spans="1:17">
      <c r="B3915" t="s">
        <v>1526</v>
      </c>
      <c r="C3915" t="s">
        <v>667</v>
      </c>
      <c r="D3915">
        <v>3.4818673964360099E-3</v>
      </c>
      <c r="E3915" t="s">
        <v>94</v>
      </c>
      <c r="H3915" t="s">
        <v>588</v>
      </c>
      <c r="I3915">
        <v>3.4818673964360099E-3</v>
      </c>
      <c r="J3915">
        <v>1</v>
      </c>
      <c r="N3915" t="s">
        <v>1527</v>
      </c>
      <c r="O3915" t="s">
        <v>1157</v>
      </c>
      <c r="Q3915" t="s">
        <v>1529</v>
      </c>
    </row>
    <row r="3916" spans="1:17">
      <c r="B3916" t="s">
        <v>1526</v>
      </c>
      <c r="C3916" t="s">
        <v>667</v>
      </c>
      <c r="D3916">
        <v>1.24979541348553E-4</v>
      </c>
      <c r="E3916" t="s">
        <v>94</v>
      </c>
      <c r="H3916" t="s">
        <v>588</v>
      </c>
      <c r="I3916">
        <v>1.24979541348553E-4</v>
      </c>
      <c r="J3916">
        <v>1.0247973619913604</v>
      </c>
      <c r="N3916" t="s">
        <v>1527</v>
      </c>
      <c r="O3916" t="s">
        <v>1173</v>
      </c>
      <c r="Q3916" t="s">
        <v>1528</v>
      </c>
    </row>
    <row r="3917" spans="1:17">
      <c r="A3917" s="421" t="s">
        <v>645</v>
      </c>
      <c r="B3917" s="421" t="s">
        <v>1159</v>
      </c>
      <c r="C3917" s="421" t="s">
        <v>667</v>
      </c>
      <c r="D3917" s="421">
        <v>1</v>
      </c>
      <c r="E3917" s="421" t="s">
        <v>94</v>
      </c>
      <c r="M3917" s="421"/>
      <c r="O3917" s="421" t="s">
        <v>1098</v>
      </c>
      <c r="P3917" s="421"/>
      <c r="Q3917" s="421"/>
    </row>
    <row r="3918" spans="1:17">
      <c r="B3918" t="s">
        <v>716</v>
      </c>
      <c r="C3918" t="s">
        <v>658</v>
      </c>
      <c r="D3918">
        <v>8.3109723427557104E-9</v>
      </c>
      <c r="E3918" t="s">
        <v>94</v>
      </c>
      <c r="H3918" t="s">
        <v>588</v>
      </c>
      <c r="I3918">
        <v>8.3109723427557104E-9</v>
      </c>
      <c r="J3918">
        <v>2.2394398661220611</v>
      </c>
      <c r="O3918" t="s">
        <v>1157</v>
      </c>
      <c r="Q3918" t="s">
        <v>1166</v>
      </c>
    </row>
    <row r="3919" spans="1:17">
      <c r="B3919" t="s">
        <v>717</v>
      </c>
      <c r="C3919" t="s">
        <v>661</v>
      </c>
      <c r="D3919">
        <v>2.87599406723737E-9</v>
      </c>
      <c r="E3919" t="s">
        <v>94</v>
      </c>
      <c r="H3919" t="s">
        <v>588</v>
      </c>
      <c r="I3919">
        <v>2.87599406723737E-9</v>
      </c>
      <c r="J3919">
        <v>2.2394398661220611</v>
      </c>
      <c r="O3919" t="s">
        <v>1157</v>
      </c>
      <c r="Q3919" t="s">
        <v>1166</v>
      </c>
    </row>
    <row r="3920" spans="1:17">
      <c r="B3920" t="s">
        <v>722</v>
      </c>
      <c r="C3920" t="s">
        <v>712</v>
      </c>
      <c r="D3920">
        <v>1.25798707567419E-7</v>
      </c>
      <c r="E3920" t="s">
        <v>94</v>
      </c>
      <c r="H3920" t="s">
        <v>588</v>
      </c>
      <c r="I3920">
        <v>1.25798707567419E-7</v>
      </c>
      <c r="J3920">
        <v>1.2214027581601699</v>
      </c>
      <c r="O3920" t="s">
        <v>1150</v>
      </c>
      <c r="Q3920" t="s">
        <v>1530</v>
      </c>
    </row>
    <row r="3921" spans="2:17">
      <c r="B3921" t="s">
        <v>722</v>
      </c>
      <c r="C3921" t="s">
        <v>661</v>
      </c>
      <c r="D3921">
        <v>2.8533545985092999E-5</v>
      </c>
      <c r="E3921" t="s">
        <v>94</v>
      </c>
      <c r="H3921" t="s">
        <v>588</v>
      </c>
      <c r="I3921">
        <v>2.8533545985092999E-5</v>
      </c>
      <c r="J3921">
        <v>1.2214027581601699</v>
      </c>
      <c r="O3921" t="s">
        <v>1145</v>
      </c>
      <c r="Q3921" t="s">
        <v>1146</v>
      </c>
    </row>
    <row r="3922" spans="2:17">
      <c r="B3922" t="s">
        <v>724</v>
      </c>
      <c r="C3922" t="s">
        <v>658</v>
      </c>
      <c r="D3922">
        <v>4.2384034899777201E-8</v>
      </c>
      <c r="E3922" t="s">
        <v>94</v>
      </c>
      <c r="H3922" t="s">
        <v>588</v>
      </c>
      <c r="I3922">
        <v>4.2384034899777201E-8</v>
      </c>
      <c r="J3922">
        <v>2.2394398661220611</v>
      </c>
      <c r="O3922" t="s">
        <v>1157</v>
      </c>
      <c r="Q3922" t="s">
        <v>1166</v>
      </c>
    </row>
    <row r="3923" spans="2:17">
      <c r="B3923" t="s">
        <v>725</v>
      </c>
      <c r="C3923" t="s">
        <v>661</v>
      </c>
      <c r="D3923">
        <v>1.2671232223603899E-8</v>
      </c>
      <c r="E3923" t="s">
        <v>94</v>
      </c>
      <c r="H3923" t="s">
        <v>588</v>
      </c>
      <c r="I3923">
        <v>1.2671232223603899E-8</v>
      </c>
      <c r="J3923">
        <v>2.2394398661220611</v>
      </c>
      <c r="O3923" t="s">
        <v>1157</v>
      </c>
      <c r="Q3923" t="s">
        <v>1166</v>
      </c>
    </row>
    <row r="3924" spans="2:17">
      <c r="B3924" t="s">
        <v>726</v>
      </c>
      <c r="C3924" t="s">
        <v>658</v>
      </c>
      <c r="D3924">
        <v>1.3908120401613E-3</v>
      </c>
      <c r="E3924" t="s">
        <v>94</v>
      </c>
      <c r="H3924" t="s">
        <v>588</v>
      </c>
      <c r="I3924">
        <v>1.3908120401613E-3</v>
      </c>
      <c r="J3924">
        <v>1.0247973619913604</v>
      </c>
      <c r="O3924" t="s">
        <v>1157</v>
      </c>
      <c r="Q3924" t="s">
        <v>1531</v>
      </c>
    </row>
    <row r="3925" spans="2:17">
      <c r="B3925" t="s">
        <v>728</v>
      </c>
      <c r="C3925" t="s">
        <v>658</v>
      </c>
      <c r="D3925">
        <v>5.3855027483979697E-6</v>
      </c>
      <c r="E3925" t="s">
        <v>94</v>
      </c>
      <c r="H3925" t="s">
        <v>588</v>
      </c>
      <c r="I3925">
        <v>5.3855027483979697E-6</v>
      </c>
      <c r="J3925">
        <v>2.2394398661220611</v>
      </c>
      <c r="O3925" t="s">
        <v>1157</v>
      </c>
      <c r="Q3925" t="s">
        <v>1166</v>
      </c>
    </row>
    <row r="3926" spans="2:17">
      <c r="B3926" t="s">
        <v>734</v>
      </c>
      <c r="C3926" t="s">
        <v>661</v>
      </c>
      <c r="D3926">
        <v>4.3071566790912098E-5</v>
      </c>
      <c r="E3926" t="s">
        <v>94</v>
      </c>
      <c r="H3926" t="s">
        <v>588</v>
      </c>
      <c r="I3926">
        <v>4.3071566790912098E-5</v>
      </c>
      <c r="J3926">
        <v>1.2214027581601699</v>
      </c>
      <c r="O3926" t="s">
        <v>1145</v>
      </c>
      <c r="Q3926" t="s">
        <v>1146</v>
      </c>
    </row>
    <row r="3927" spans="2:17">
      <c r="B3927" t="s">
        <v>734</v>
      </c>
      <c r="C3927" t="s">
        <v>712</v>
      </c>
      <c r="D3927">
        <v>9.3388059768426603E-7</v>
      </c>
      <c r="E3927" t="s">
        <v>94</v>
      </c>
      <c r="H3927" t="s">
        <v>588</v>
      </c>
      <c r="I3927">
        <v>9.3388059768426603E-7</v>
      </c>
      <c r="J3927">
        <v>1.2214027581601699</v>
      </c>
      <c r="O3927" t="s">
        <v>1532</v>
      </c>
      <c r="Q3927" t="s">
        <v>1530</v>
      </c>
    </row>
    <row r="3928" spans="2:17">
      <c r="B3928" t="s">
        <v>735</v>
      </c>
      <c r="C3928" t="s">
        <v>658</v>
      </c>
      <c r="D3928">
        <v>7.0585085358383806E-8</v>
      </c>
      <c r="E3928" t="s">
        <v>94</v>
      </c>
      <c r="H3928" t="s">
        <v>588</v>
      </c>
      <c r="I3928">
        <v>7.0585085358383806E-8</v>
      </c>
      <c r="J3928">
        <v>2.2394398661220611</v>
      </c>
      <c r="O3928" t="s">
        <v>1157</v>
      </c>
      <c r="Q3928" t="s">
        <v>1166</v>
      </c>
    </row>
    <row r="3929" spans="2:17">
      <c r="B3929" t="s">
        <v>1533</v>
      </c>
      <c r="C3929" t="s">
        <v>667</v>
      </c>
      <c r="D3929">
        <v>8.3558668025501099E-4</v>
      </c>
      <c r="E3929" t="s">
        <v>94</v>
      </c>
      <c r="H3929" t="s">
        <v>588</v>
      </c>
      <c r="I3929">
        <v>8.3558668025501099E-4</v>
      </c>
      <c r="J3929">
        <v>1.0247973619913604</v>
      </c>
      <c r="N3929" t="s">
        <v>1534</v>
      </c>
      <c r="O3929" t="s">
        <v>1157</v>
      </c>
      <c r="Q3929" t="s">
        <v>1535</v>
      </c>
    </row>
    <row r="3930" spans="2:17">
      <c r="B3930" t="s">
        <v>1536</v>
      </c>
      <c r="C3930" t="s">
        <v>667</v>
      </c>
      <c r="D3930">
        <v>4.4132514423672697E-5</v>
      </c>
      <c r="E3930" t="s">
        <v>94</v>
      </c>
      <c r="H3930" t="s">
        <v>588</v>
      </c>
      <c r="I3930">
        <v>4.4132514423672697E-5</v>
      </c>
      <c r="J3930">
        <v>1.0247973619913604</v>
      </c>
      <c r="N3930" t="s">
        <v>1537</v>
      </c>
      <c r="O3930" t="s">
        <v>1153</v>
      </c>
      <c r="Q3930" t="s">
        <v>1538</v>
      </c>
    </row>
    <row r="3931" spans="2:17">
      <c r="B3931" t="s">
        <v>736</v>
      </c>
      <c r="C3931" t="s">
        <v>661</v>
      </c>
      <c r="D3931">
        <v>6.3878402793179096E-8</v>
      </c>
      <c r="E3931" t="s">
        <v>94</v>
      </c>
      <c r="H3931" t="s">
        <v>588</v>
      </c>
      <c r="I3931">
        <v>6.3878402793179096E-8</v>
      </c>
      <c r="J3931">
        <v>2.2394398661220611</v>
      </c>
      <c r="O3931" t="s">
        <v>1157</v>
      </c>
      <c r="Q3931" t="s">
        <v>1166</v>
      </c>
    </row>
    <row r="3932" spans="2:17">
      <c r="B3932" t="s">
        <v>740</v>
      </c>
      <c r="C3932" t="s">
        <v>712</v>
      </c>
      <c r="D3932">
        <v>3.4588043293653601E-7</v>
      </c>
      <c r="E3932" t="s">
        <v>94</v>
      </c>
      <c r="H3932" t="s">
        <v>588</v>
      </c>
      <c r="I3932">
        <v>3.4588043293653601E-7</v>
      </c>
      <c r="J3932">
        <v>1.2214027581601699</v>
      </c>
      <c r="O3932" t="s">
        <v>1532</v>
      </c>
      <c r="Q3932" t="s">
        <v>1540</v>
      </c>
    </row>
    <row r="3933" spans="2:17">
      <c r="B3933" t="s">
        <v>740</v>
      </c>
      <c r="C3933" t="s">
        <v>661</v>
      </c>
      <c r="D3933">
        <v>1.6834677844097999E-5</v>
      </c>
      <c r="E3933" t="s">
        <v>94</v>
      </c>
      <c r="H3933" t="s">
        <v>588</v>
      </c>
      <c r="I3933">
        <v>1.6834677844097999E-5</v>
      </c>
      <c r="J3933">
        <v>1.2214027581601699</v>
      </c>
      <c r="O3933" t="s">
        <v>1145</v>
      </c>
      <c r="Q3933" t="s">
        <v>1539</v>
      </c>
    </row>
    <row r="3934" spans="2:17">
      <c r="B3934" t="s">
        <v>741</v>
      </c>
      <c r="C3934" t="s">
        <v>661</v>
      </c>
      <c r="D3934">
        <v>2.7303161262718601E-6</v>
      </c>
      <c r="E3934" t="s">
        <v>94</v>
      </c>
      <c r="H3934" t="s">
        <v>588</v>
      </c>
      <c r="I3934">
        <v>2.7303161262718601E-6</v>
      </c>
      <c r="J3934">
        <v>1.2505791921887124</v>
      </c>
      <c r="O3934" t="s">
        <v>1541</v>
      </c>
      <c r="Q3934" t="s">
        <v>1542</v>
      </c>
    </row>
    <row r="3935" spans="2:17">
      <c r="B3935" t="s">
        <v>973</v>
      </c>
      <c r="C3935" t="s">
        <v>744</v>
      </c>
      <c r="D3935">
        <v>4.1405989728168102E-4</v>
      </c>
      <c r="E3935" t="s">
        <v>94</v>
      </c>
      <c r="H3935" t="s">
        <v>588</v>
      </c>
      <c r="I3935">
        <v>4.1405989728168102E-4</v>
      </c>
      <c r="J3935">
        <v>1.0247973619913604</v>
      </c>
      <c r="N3935" t="s">
        <v>974</v>
      </c>
      <c r="O3935" t="s">
        <v>1140</v>
      </c>
      <c r="Q3935" t="s">
        <v>1543</v>
      </c>
    </row>
    <row r="3936" spans="2:17">
      <c r="B3936" t="s">
        <v>743</v>
      </c>
      <c r="C3936" t="s">
        <v>744</v>
      </c>
      <c r="D3936">
        <v>1.81416621561289E-3</v>
      </c>
      <c r="E3936" t="s">
        <v>94</v>
      </c>
      <c r="H3936" t="s">
        <v>588</v>
      </c>
      <c r="I3936">
        <v>1.81416621561289E-3</v>
      </c>
      <c r="J3936">
        <v>1.0247973619913604</v>
      </c>
      <c r="N3936" t="s">
        <v>745</v>
      </c>
      <c r="O3936" t="s">
        <v>921</v>
      </c>
      <c r="Q3936" t="s">
        <v>5138</v>
      </c>
    </row>
    <row r="3937" spans="2:17">
      <c r="B3937" t="s">
        <v>746</v>
      </c>
      <c r="C3937" t="s">
        <v>744</v>
      </c>
      <c r="D3937">
        <v>7.1611149267299795E-4</v>
      </c>
      <c r="E3937" t="s">
        <v>94</v>
      </c>
      <c r="H3937" t="s">
        <v>588</v>
      </c>
      <c r="I3937">
        <v>7.1611149267299795E-4</v>
      </c>
      <c r="J3937">
        <v>1.0247973619913604</v>
      </c>
      <c r="N3937" t="s">
        <v>747</v>
      </c>
      <c r="O3937" t="s">
        <v>921</v>
      </c>
      <c r="Q3937" t="s">
        <v>5139</v>
      </c>
    </row>
    <row r="3938" spans="2:17">
      <c r="B3938" t="s">
        <v>649</v>
      </c>
      <c r="C3938" t="s">
        <v>650</v>
      </c>
      <c r="D3938">
        <v>1.7373790899414599E-3</v>
      </c>
      <c r="E3938" t="s">
        <v>94</v>
      </c>
      <c r="H3938" t="s">
        <v>588</v>
      </c>
      <c r="I3938">
        <v>1.7373790899414599E-3</v>
      </c>
      <c r="J3938">
        <v>1.0247973619913604</v>
      </c>
      <c r="N3938" t="s">
        <v>651</v>
      </c>
      <c r="O3938" t="s">
        <v>1435</v>
      </c>
      <c r="Q3938" t="s">
        <v>1546</v>
      </c>
    </row>
    <row r="3939" spans="2:17">
      <c r="B3939" t="s">
        <v>977</v>
      </c>
      <c r="C3939" t="s">
        <v>787</v>
      </c>
      <c r="D3939">
        <v>1.90065346769447E-2</v>
      </c>
      <c r="E3939" t="s">
        <v>94</v>
      </c>
      <c r="H3939" t="s">
        <v>588</v>
      </c>
      <c r="I3939">
        <v>1.90065346769447E-2</v>
      </c>
      <c r="J3939">
        <v>1.0247973619913604</v>
      </c>
      <c r="N3939" t="s">
        <v>978</v>
      </c>
      <c r="O3939" t="s">
        <v>921</v>
      </c>
      <c r="Q3939" t="s">
        <v>5140</v>
      </c>
    </row>
    <row r="3940" spans="2:17">
      <c r="B3940" t="s">
        <v>752</v>
      </c>
      <c r="C3940" t="s">
        <v>658</v>
      </c>
      <c r="D3940">
        <v>6.3997510543654106E-8</v>
      </c>
      <c r="E3940" t="s">
        <v>94</v>
      </c>
      <c r="H3940" t="s">
        <v>588</v>
      </c>
      <c r="I3940">
        <v>6.3997510543654106E-8</v>
      </c>
      <c r="J3940">
        <v>2.2394398661220611</v>
      </c>
      <c r="O3940" t="s">
        <v>1157</v>
      </c>
      <c r="Q3940" t="s">
        <v>1166</v>
      </c>
    </row>
    <row r="3941" spans="2:17">
      <c r="B3941" t="s">
        <v>752</v>
      </c>
      <c r="C3941" t="s">
        <v>661</v>
      </c>
      <c r="D3941">
        <v>5.2224167515938199E-8</v>
      </c>
      <c r="E3941" t="s">
        <v>94</v>
      </c>
      <c r="H3941" t="s">
        <v>588</v>
      </c>
      <c r="I3941">
        <v>5.2224167515938199E-8</v>
      </c>
      <c r="J3941">
        <v>2.2394398661220611</v>
      </c>
      <c r="O3941" t="s">
        <v>1157</v>
      </c>
      <c r="Q3941" t="s">
        <v>1166</v>
      </c>
    </row>
    <row r="3942" spans="2:17">
      <c r="B3942" t="s">
        <v>754</v>
      </c>
      <c r="C3942" t="s">
        <v>658</v>
      </c>
      <c r="D3942">
        <v>8.0745892687362002E-9</v>
      </c>
      <c r="E3942" t="s">
        <v>94</v>
      </c>
      <c r="H3942" t="s">
        <v>588</v>
      </c>
      <c r="I3942">
        <v>8.0745892687362002E-9</v>
      </c>
      <c r="J3942">
        <v>2.2394398661220611</v>
      </c>
      <c r="O3942" t="s">
        <v>1157</v>
      </c>
      <c r="Q3942" t="s">
        <v>1166</v>
      </c>
    </row>
    <row r="3943" spans="2:17">
      <c r="B3943" t="s">
        <v>754</v>
      </c>
      <c r="C3943" t="s">
        <v>661</v>
      </c>
      <c r="D3943">
        <v>5.8885039407883305E-10</v>
      </c>
      <c r="E3943" t="s">
        <v>94</v>
      </c>
      <c r="H3943" t="s">
        <v>588</v>
      </c>
      <c r="I3943">
        <v>5.8885039407883305E-10</v>
      </c>
      <c r="J3943">
        <v>2.2394398661220611</v>
      </c>
      <c r="O3943" t="s">
        <v>1157</v>
      </c>
      <c r="Q3943" t="s">
        <v>1166</v>
      </c>
    </row>
    <row r="3944" spans="2:17">
      <c r="B3944" t="s">
        <v>1548</v>
      </c>
      <c r="C3944" t="s">
        <v>787</v>
      </c>
      <c r="D3944">
        <v>3.2269038244058602E-4</v>
      </c>
      <c r="E3944" t="s">
        <v>94</v>
      </c>
      <c r="H3944" t="s">
        <v>588</v>
      </c>
      <c r="I3944">
        <v>3.2269038244058602E-4</v>
      </c>
      <c r="J3944">
        <v>1.0247973619913604</v>
      </c>
      <c r="N3944" t="s">
        <v>1549</v>
      </c>
      <c r="O3944" t="s">
        <v>1157</v>
      </c>
      <c r="Q3944" t="s">
        <v>1550</v>
      </c>
    </row>
    <row r="3945" spans="2:17">
      <c r="B3945" t="s">
        <v>260</v>
      </c>
      <c r="C3945" t="s">
        <v>654</v>
      </c>
      <c r="D3945">
        <v>1.0778135922544301E-2</v>
      </c>
      <c r="E3945" t="s">
        <v>94</v>
      </c>
      <c r="H3945" t="s">
        <v>588</v>
      </c>
      <c r="I3945">
        <v>1.0778135922544301E-2</v>
      </c>
      <c r="J3945">
        <v>1</v>
      </c>
      <c r="O3945" t="s">
        <v>1157</v>
      </c>
      <c r="Q3945" t="s">
        <v>1551</v>
      </c>
    </row>
    <row r="3946" spans="2:17">
      <c r="B3946" t="s">
        <v>761</v>
      </c>
      <c r="C3946" t="s">
        <v>658</v>
      </c>
      <c r="D3946">
        <v>1.4613604769810799E-5</v>
      </c>
      <c r="E3946" t="s">
        <v>94</v>
      </c>
      <c r="H3946" t="s">
        <v>588</v>
      </c>
      <c r="I3946">
        <v>1.4613604769810799E-5</v>
      </c>
      <c r="J3946">
        <v>1.2214027581601699</v>
      </c>
      <c r="O3946" t="s">
        <v>1157</v>
      </c>
      <c r="Q3946" t="s">
        <v>1552</v>
      </c>
    </row>
    <row r="3947" spans="2:17">
      <c r="B3947" t="s">
        <v>762</v>
      </c>
      <c r="C3947" t="s">
        <v>654</v>
      </c>
      <c r="D3947">
        <v>3.1665981308270898E-5</v>
      </c>
      <c r="E3947" t="s">
        <v>94</v>
      </c>
      <c r="H3947" t="s">
        <v>588</v>
      </c>
      <c r="I3947">
        <v>3.1665981308270898E-5</v>
      </c>
      <c r="J3947">
        <v>1.2214027581601699</v>
      </c>
      <c r="O3947" t="s">
        <v>1145</v>
      </c>
      <c r="Q3947" t="s">
        <v>1146</v>
      </c>
    </row>
    <row r="3948" spans="2:17">
      <c r="B3948" t="s">
        <v>653</v>
      </c>
      <c r="C3948" t="s">
        <v>658</v>
      </c>
      <c r="D3948">
        <v>1.9487860404631699E-5</v>
      </c>
      <c r="E3948" t="s">
        <v>94</v>
      </c>
      <c r="H3948" t="s">
        <v>588</v>
      </c>
      <c r="I3948">
        <v>1.9487860404631699E-5</v>
      </c>
      <c r="J3948">
        <v>1.7293101253499219</v>
      </c>
      <c r="O3948" t="s">
        <v>1157</v>
      </c>
      <c r="Q3948" t="s">
        <v>1166</v>
      </c>
    </row>
    <row r="3949" spans="2:17">
      <c r="B3949" t="s">
        <v>656</v>
      </c>
      <c r="C3949" t="s">
        <v>658</v>
      </c>
      <c r="D3949">
        <v>2.8494238767468001E-6</v>
      </c>
      <c r="E3949" t="s">
        <v>94</v>
      </c>
      <c r="H3949" t="s">
        <v>588</v>
      </c>
      <c r="I3949">
        <v>2.8494238767468001E-6</v>
      </c>
      <c r="J3949">
        <v>1.2214027581601699</v>
      </c>
      <c r="O3949" t="s">
        <v>1157</v>
      </c>
      <c r="Q3949" t="s">
        <v>1166</v>
      </c>
    </row>
    <row r="3950" spans="2:17">
      <c r="B3950" t="s">
        <v>657</v>
      </c>
      <c r="C3950" t="s">
        <v>658</v>
      </c>
      <c r="D3950">
        <v>2.9804424022692402E-6</v>
      </c>
      <c r="E3950" t="s">
        <v>94</v>
      </c>
      <c r="H3950" t="s">
        <v>588</v>
      </c>
      <c r="I3950">
        <v>2.9804424022692402E-6</v>
      </c>
      <c r="J3950">
        <v>1.4139824580805163</v>
      </c>
      <c r="O3950" t="s">
        <v>1157</v>
      </c>
      <c r="Q3950" t="s">
        <v>1166</v>
      </c>
    </row>
    <row r="3951" spans="2:17">
      <c r="B3951" t="s">
        <v>892</v>
      </c>
      <c r="C3951" t="s">
        <v>661</v>
      </c>
      <c r="D3951">
        <v>1.7584525317994001E-9</v>
      </c>
      <c r="E3951" t="s">
        <v>94</v>
      </c>
      <c r="H3951" t="s">
        <v>588</v>
      </c>
      <c r="I3951">
        <v>1.7584525317994001E-9</v>
      </c>
      <c r="J3951">
        <v>1.2214027581601699</v>
      </c>
      <c r="O3951" t="s">
        <v>1145</v>
      </c>
      <c r="Q3951" t="s">
        <v>1146</v>
      </c>
    </row>
    <row r="3952" spans="2:17">
      <c r="B3952" t="s">
        <v>892</v>
      </c>
      <c r="C3952" t="s">
        <v>712</v>
      </c>
      <c r="D3952">
        <v>4.8385049208772997E-9</v>
      </c>
      <c r="E3952" t="s">
        <v>94</v>
      </c>
      <c r="H3952" t="s">
        <v>588</v>
      </c>
      <c r="I3952">
        <v>4.8385049208772997E-9</v>
      </c>
      <c r="J3952">
        <v>1.2214027581601699</v>
      </c>
      <c r="O3952" t="s">
        <v>1553</v>
      </c>
      <c r="Q3952" t="s">
        <v>1530</v>
      </c>
    </row>
    <row r="3953" spans="2:17">
      <c r="B3953" t="s">
        <v>1554</v>
      </c>
      <c r="C3953" t="s">
        <v>887</v>
      </c>
      <c r="D3953">
        <v>7.8983828342621897E-4</v>
      </c>
      <c r="E3953" t="s">
        <v>94</v>
      </c>
      <c r="H3953" t="s">
        <v>588</v>
      </c>
      <c r="I3953">
        <v>7.8983828342621897E-4</v>
      </c>
      <c r="J3953">
        <v>1.0247973619913604</v>
      </c>
      <c r="O3953" t="s">
        <v>1140</v>
      </c>
      <c r="Q3953" t="s">
        <v>1555</v>
      </c>
    </row>
    <row r="3954" spans="2:17">
      <c r="B3954" t="s">
        <v>1556</v>
      </c>
      <c r="C3954" t="s">
        <v>787</v>
      </c>
      <c r="D3954">
        <v>1.7558040272702699E-4</v>
      </c>
      <c r="E3954" t="s">
        <v>94</v>
      </c>
      <c r="N3954" t="s">
        <v>1557</v>
      </c>
      <c r="Q3954" t="s">
        <v>1558</v>
      </c>
    </row>
    <row r="3955" spans="2:17">
      <c r="B3955" t="s">
        <v>1556</v>
      </c>
      <c r="C3955" t="s">
        <v>787</v>
      </c>
      <c r="D3955">
        <v>8.2378506263194303E-6</v>
      </c>
      <c r="E3955" t="s">
        <v>94</v>
      </c>
      <c r="N3955" t="s">
        <v>1557</v>
      </c>
      <c r="Q3955" t="s">
        <v>1558</v>
      </c>
    </row>
    <row r="3956" spans="2:17">
      <c r="B3956" t="s">
        <v>1556</v>
      </c>
      <c r="C3956" t="s">
        <v>787</v>
      </c>
      <c r="D3956">
        <v>3.69700351083616E-4</v>
      </c>
      <c r="E3956" t="s">
        <v>94</v>
      </c>
      <c r="N3956" t="s">
        <v>1557</v>
      </c>
      <c r="Q3956" t="s">
        <v>1558</v>
      </c>
    </row>
    <row r="3957" spans="2:17">
      <c r="B3957" t="s">
        <v>983</v>
      </c>
      <c r="C3957" t="s">
        <v>787</v>
      </c>
      <c r="D3957">
        <v>1.2663425411902201E-2</v>
      </c>
      <c r="E3957" t="s">
        <v>94</v>
      </c>
      <c r="H3957" t="s">
        <v>588</v>
      </c>
      <c r="I3957">
        <v>1.2663425411902201E-2</v>
      </c>
      <c r="J3957">
        <v>1.0247973619913604</v>
      </c>
      <c r="N3957" t="s">
        <v>984</v>
      </c>
      <c r="O3957" t="s">
        <v>1140</v>
      </c>
      <c r="Q3957" t="s">
        <v>1559</v>
      </c>
    </row>
    <row r="3958" spans="2:17">
      <c r="B3958" t="s">
        <v>983</v>
      </c>
      <c r="C3958" t="s">
        <v>787</v>
      </c>
      <c r="D3958">
        <v>5.1645284834007401E-6</v>
      </c>
      <c r="E3958" t="s">
        <v>94</v>
      </c>
      <c r="H3958" t="s">
        <v>588</v>
      </c>
      <c r="I3958">
        <v>5.1645284834007401E-6</v>
      </c>
      <c r="J3958">
        <v>1.0247973619913604</v>
      </c>
      <c r="N3958" t="s">
        <v>984</v>
      </c>
      <c r="O3958" t="s">
        <v>798</v>
      </c>
      <c r="Q3958" t="s">
        <v>1558</v>
      </c>
    </row>
    <row r="3959" spans="2:17">
      <c r="B3959" t="s">
        <v>983</v>
      </c>
      <c r="C3959" t="s">
        <v>787</v>
      </c>
      <c r="D3959">
        <v>4.0763017988865204E-3</v>
      </c>
      <c r="E3959" t="s">
        <v>94</v>
      </c>
      <c r="H3959" t="s">
        <v>588</v>
      </c>
      <c r="I3959">
        <v>4.0763017988865204E-3</v>
      </c>
      <c r="J3959">
        <v>1.0247973619913604</v>
      </c>
      <c r="N3959" t="s">
        <v>984</v>
      </c>
      <c r="O3959" t="s">
        <v>798</v>
      </c>
      <c r="Q3959" t="s">
        <v>1558</v>
      </c>
    </row>
    <row r="3960" spans="2:17">
      <c r="B3960" t="s">
        <v>772</v>
      </c>
      <c r="C3960" t="s">
        <v>661</v>
      </c>
      <c r="D3960">
        <v>1.3358392322497899E-7</v>
      </c>
      <c r="E3960" t="s">
        <v>94</v>
      </c>
      <c r="H3960" t="s">
        <v>588</v>
      </c>
      <c r="I3960">
        <v>1.3358392322497899E-7</v>
      </c>
      <c r="J3960">
        <v>2.2394398661220611</v>
      </c>
      <c r="O3960" t="s">
        <v>1157</v>
      </c>
      <c r="Q3960" t="s">
        <v>1166</v>
      </c>
    </row>
    <row r="3961" spans="2:17">
      <c r="B3961" t="s">
        <v>1560</v>
      </c>
      <c r="C3961" t="s">
        <v>744</v>
      </c>
      <c r="D3961">
        <v>2.9719082995064098E-3</v>
      </c>
      <c r="E3961" t="s">
        <v>94</v>
      </c>
      <c r="H3961" t="s">
        <v>588</v>
      </c>
      <c r="I3961">
        <v>2.9719082995064098E-3</v>
      </c>
      <c r="J3961">
        <v>1.0247973619913604</v>
      </c>
      <c r="N3961" t="s">
        <v>1561</v>
      </c>
      <c r="O3961" t="s">
        <v>1140</v>
      </c>
      <c r="Q3961" t="s">
        <v>1562</v>
      </c>
    </row>
    <row r="3962" spans="2:17">
      <c r="B3962" t="s">
        <v>776</v>
      </c>
      <c r="C3962" t="s">
        <v>658</v>
      </c>
      <c r="D3962">
        <v>1.85624848047879E-3</v>
      </c>
      <c r="E3962" t="s">
        <v>94</v>
      </c>
      <c r="H3962" t="s">
        <v>588</v>
      </c>
      <c r="I3962">
        <v>1.85624848047879E-3</v>
      </c>
      <c r="J3962">
        <v>1.0247973619913604</v>
      </c>
      <c r="O3962" t="s">
        <v>1157</v>
      </c>
      <c r="Q3962" t="s">
        <v>1166</v>
      </c>
    </row>
    <row r="3963" spans="2:17">
      <c r="B3963" t="s">
        <v>275</v>
      </c>
      <c r="C3963" t="s">
        <v>658</v>
      </c>
      <c r="D3963">
        <v>1.8983942998776099E-5</v>
      </c>
      <c r="E3963" t="s">
        <v>94</v>
      </c>
      <c r="H3963" t="s">
        <v>588</v>
      </c>
      <c r="I3963">
        <v>1.8983942998776099E-5</v>
      </c>
      <c r="J3963">
        <v>1.2214027581601699</v>
      </c>
      <c r="O3963" t="s">
        <v>1157</v>
      </c>
      <c r="Q3963" t="s">
        <v>1166</v>
      </c>
    </row>
    <row r="3964" spans="2:17">
      <c r="B3964" t="s">
        <v>783</v>
      </c>
      <c r="C3964" t="s">
        <v>661</v>
      </c>
      <c r="D3964">
        <v>1.6834677844097999E-5</v>
      </c>
      <c r="E3964" t="s">
        <v>94</v>
      </c>
      <c r="H3964" t="s">
        <v>588</v>
      </c>
      <c r="I3964">
        <v>1.6834677844097999E-5</v>
      </c>
      <c r="J3964">
        <v>1.2214027581601699</v>
      </c>
      <c r="O3964" t="s">
        <v>1145</v>
      </c>
      <c r="Q3964" t="s">
        <v>1563</v>
      </c>
    </row>
    <row r="3965" spans="2:17">
      <c r="B3965" t="s">
        <v>783</v>
      </c>
      <c r="C3965" t="s">
        <v>712</v>
      </c>
      <c r="D3965">
        <v>3.4588043293653601E-7</v>
      </c>
      <c r="E3965" t="s">
        <v>94</v>
      </c>
      <c r="H3965" t="s">
        <v>588</v>
      </c>
      <c r="I3965">
        <v>3.4588043293653601E-7</v>
      </c>
      <c r="J3965">
        <v>1.2214027581601699</v>
      </c>
      <c r="O3965" t="s">
        <v>1532</v>
      </c>
      <c r="Q3965" t="s">
        <v>1540</v>
      </c>
    </row>
    <row r="3966" spans="2:17">
      <c r="B3966" t="s">
        <v>1564</v>
      </c>
      <c r="C3966" t="s">
        <v>670</v>
      </c>
      <c r="D3966">
        <v>2.1023433443517398E-3</v>
      </c>
      <c r="E3966" t="s">
        <v>94</v>
      </c>
      <c r="N3966" t="s">
        <v>1565</v>
      </c>
    </row>
    <row r="3967" spans="2:17">
      <c r="B3967" t="s">
        <v>1566</v>
      </c>
      <c r="C3967" t="s">
        <v>670</v>
      </c>
      <c r="D3967">
        <v>1.7807641831810201E-3</v>
      </c>
      <c r="E3967" t="s">
        <v>94</v>
      </c>
      <c r="N3967" t="s">
        <v>1567</v>
      </c>
      <c r="Q3967" t="s">
        <v>1136</v>
      </c>
    </row>
    <row r="3968" spans="2:17">
      <c r="B3968" t="s">
        <v>1568</v>
      </c>
      <c r="C3968" t="s">
        <v>670</v>
      </c>
      <c r="D3968">
        <v>3.3318296631628902E-3</v>
      </c>
      <c r="E3968" t="s">
        <v>94</v>
      </c>
      <c r="N3968" t="s">
        <v>1569</v>
      </c>
    </row>
    <row r="3969" spans="2:17">
      <c r="B3969" t="s">
        <v>1570</v>
      </c>
      <c r="C3969" t="s">
        <v>787</v>
      </c>
      <c r="D3969">
        <v>2.0515291560497899E-6</v>
      </c>
      <c r="E3969" t="s">
        <v>94</v>
      </c>
      <c r="H3969" t="s">
        <v>588</v>
      </c>
      <c r="I3969">
        <v>2.0515291560497899E-6</v>
      </c>
      <c r="J3969">
        <v>1.0247973619913604</v>
      </c>
      <c r="N3969" t="s">
        <v>1571</v>
      </c>
      <c r="O3969" t="s">
        <v>1140</v>
      </c>
      <c r="Q3969" t="s">
        <v>1572</v>
      </c>
    </row>
    <row r="3970" spans="2:17">
      <c r="B3970" t="s">
        <v>1573</v>
      </c>
      <c r="C3970" t="s">
        <v>787</v>
      </c>
      <c r="D3970">
        <v>3.1420681948414802E-6</v>
      </c>
      <c r="E3970" t="s">
        <v>94</v>
      </c>
      <c r="H3970" t="s">
        <v>588</v>
      </c>
      <c r="I3970">
        <v>3.1420681948414802E-6</v>
      </c>
      <c r="J3970">
        <v>1.151909910168909</v>
      </c>
      <c r="N3970" t="s">
        <v>1574</v>
      </c>
      <c r="O3970" t="s">
        <v>798</v>
      </c>
      <c r="Q3970" t="s">
        <v>1575</v>
      </c>
    </row>
    <row r="3971" spans="2:17">
      <c r="B3971" t="s">
        <v>1573</v>
      </c>
      <c r="C3971" t="s">
        <v>787</v>
      </c>
      <c r="D3971">
        <v>3.3677564789745703E-5</v>
      </c>
      <c r="E3971" t="s">
        <v>94</v>
      </c>
      <c r="H3971" t="s">
        <v>588</v>
      </c>
      <c r="I3971">
        <v>3.3677564789745703E-5</v>
      </c>
      <c r="J3971">
        <v>1.151909910168909</v>
      </c>
      <c r="N3971" t="s">
        <v>1574</v>
      </c>
      <c r="O3971" t="s">
        <v>798</v>
      </c>
      <c r="Q3971" t="s">
        <v>1575</v>
      </c>
    </row>
    <row r="3972" spans="2:17">
      <c r="B3972" t="s">
        <v>1573</v>
      </c>
      <c r="C3972" t="s">
        <v>787</v>
      </c>
      <c r="D3972">
        <v>3.65393910909547E-4</v>
      </c>
      <c r="E3972" t="s">
        <v>94</v>
      </c>
      <c r="H3972" t="s">
        <v>588</v>
      </c>
      <c r="I3972">
        <v>3.65393910909547E-4</v>
      </c>
      <c r="J3972">
        <v>1.151909910168909</v>
      </c>
      <c r="N3972" t="s">
        <v>1574</v>
      </c>
      <c r="O3972" t="s">
        <v>798</v>
      </c>
      <c r="Q3972" t="s">
        <v>1575</v>
      </c>
    </row>
    <row r="3973" spans="2:17">
      <c r="B3973" t="s">
        <v>1573</v>
      </c>
      <c r="C3973" t="s">
        <v>787</v>
      </c>
      <c r="D3973">
        <v>6.9407589694081898E-4</v>
      </c>
      <c r="E3973" t="s">
        <v>94</v>
      </c>
      <c r="H3973" t="s">
        <v>588</v>
      </c>
      <c r="I3973">
        <v>6.9407589694081898E-4</v>
      </c>
      <c r="J3973">
        <v>1.151909910168909</v>
      </c>
      <c r="N3973" t="s">
        <v>1577</v>
      </c>
      <c r="O3973" t="s">
        <v>798</v>
      </c>
      <c r="Q3973" t="s">
        <v>1575</v>
      </c>
    </row>
    <row r="3974" spans="2:17">
      <c r="B3974" t="s">
        <v>1573</v>
      </c>
      <c r="C3974" t="s">
        <v>787</v>
      </c>
      <c r="D3974">
        <v>1.4059600383274501E-5</v>
      </c>
      <c r="E3974" t="s">
        <v>94</v>
      </c>
      <c r="H3974" t="s">
        <v>588</v>
      </c>
      <c r="I3974">
        <v>1.4059600383274501E-5</v>
      </c>
      <c r="J3974">
        <v>1.151909910168909</v>
      </c>
      <c r="N3974" t="s">
        <v>1574</v>
      </c>
      <c r="O3974" t="s">
        <v>798</v>
      </c>
      <c r="Q3974" t="s">
        <v>1575</v>
      </c>
    </row>
    <row r="3975" spans="2:17">
      <c r="B3975" t="s">
        <v>1573</v>
      </c>
      <c r="C3975" t="s">
        <v>787</v>
      </c>
      <c r="D3975">
        <v>4.7714058904991596E-6</v>
      </c>
      <c r="E3975" t="s">
        <v>94</v>
      </c>
      <c r="H3975" t="s">
        <v>588</v>
      </c>
      <c r="I3975">
        <v>4.7714058904991596E-6</v>
      </c>
      <c r="J3975">
        <v>1.151909910168909</v>
      </c>
      <c r="N3975" t="s">
        <v>1574</v>
      </c>
      <c r="O3975" t="s">
        <v>798</v>
      </c>
      <c r="Q3975" t="s">
        <v>1575</v>
      </c>
    </row>
    <row r="3976" spans="2:17">
      <c r="B3976" t="s">
        <v>1573</v>
      </c>
      <c r="C3976" t="s">
        <v>787</v>
      </c>
      <c r="D3976">
        <v>3.4436998333733301E-3</v>
      </c>
      <c r="E3976" t="s">
        <v>94</v>
      </c>
      <c r="H3976" t="s">
        <v>588</v>
      </c>
      <c r="I3976">
        <v>3.4436998333733301E-3</v>
      </c>
      <c r="J3976">
        <v>1.0247973619913604</v>
      </c>
      <c r="N3976" t="s">
        <v>1574</v>
      </c>
      <c r="O3976" t="s">
        <v>1157</v>
      </c>
      <c r="Q3976" t="s">
        <v>1576</v>
      </c>
    </row>
    <row r="3977" spans="2:17">
      <c r="B3977" t="s">
        <v>1573</v>
      </c>
      <c r="C3977" t="s">
        <v>787</v>
      </c>
      <c r="D3977">
        <v>7.6403055615636599E-7</v>
      </c>
      <c r="E3977" t="s">
        <v>94</v>
      </c>
      <c r="H3977" t="s">
        <v>588</v>
      </c>
      <c r="I3977">
        <v>7.6403055615636599E-7</v>
      </c>
      <c r="J3977">
        <v>1.151909910168909</v>
      </c>
      <c r="N3977" t="s">
        <v>1574</v>
      </c>
      <c r="O3977" t="s">
        <v>798</v>
      </c>
      <c r="Q3977" t="s">
        <v>1575</v>
      </c>
    </row>
    <row r="3978" spans="2:17">
      <c r="B3978" t="s">
        <v>1578</v>
      </c>
      <c r="C3978" t="s">
        <v>650</v>
      </c>
      <c r="D3978">
        <v>5.9114092774181204E-6</v>
      </c>
      <c r="E3978" t="s">
        <v>94</v>
      </c>
      <c r="H3978" t="s">
        <v>588</v>
      </c>
      <c r="I3978">
        <v>5.9114092774181204E-6</v>
      </c>
      <c r="J3978">
        <v>1.0247973619913604</v>
      </c>
      <c r="N3978" t="s">
        <v>1581</v>
      </c>
      <c r="O3978" t="s">
        <v>1157</v>
      </c>
      <c r="Q3978" t="s">
        <v>1582</v>
      </c>
    </row>
    <row r="3979" spans="2:17">
      <c r="B3979" t="s">
        <v>1578</v>
      </c>
      <c r="C3979" t="s">
        <v>650</v>
      </c>
      <c r="D3979">
        <v>9.6307201808360604E-7</v>
      </c>
      <c r="E3979" t="s">
        <v>94</v>
      </c>
      <c r="H3979" t="s">
        <v>588</v>
      </c>
      <c r="I3979">
        <v>9.6307201808360604E-7</v>
      </c>
      <c r="J3979">
        <v>1.0247973619913604</v>
      </c>
      <c r="N3979" t="s">
        <v>1579</v>
      </c>
      <c r="O3979" t="s">
        <v>798</v>
      </c>
      <c r="Q3979" t="s">
        <v>979</v>
      </c>
    </row>
    <row r="3980" spans="2:17">
      <c r="B3980" t="s">
        <v>1578</v>
      </c>
      <c r="C3980" t="s">
        <v>650</v>
      </c>
      <c r="D3980">
        <v>3.8902534905808701E-5</v>
      </c>
      <c r="E3980" t="s">
        <v>94</v>
      </c>
      <c r="H3980" t="s">
        <v>588</v>
      </c>
      <c r="I3980">
        <v>3.8902534905808701E-5</v>
      </c>
      <c r="J3980">
        <v>1.0247973619913604</v>
      </c>
      <c r="N3980" t="s">
        <v>1579</v>
      </c>
      <c r="O3980" t="s">
        <v>798</v>
      </c>
      <c r="Q3980" t="s">
        <v>979</v>
      </c>
    </row>
    <row r="3981" spans="2:17">
      <c r="B3981" t="s">
        <v>1578</v>
      </c>
      <c r="C3981" t="s">
        <v>650</v>
      </c>
      <c r="D3981">
        <v>3.3706612900386E-3</v>
      </c>
      <c r="E3981" t="s">
        <v>94</v>
      </c>
      <c r="H3981" t="s">
        <v>588</v>
      </c>
      <c r="I3981">
        <v>3.3706612900386E-3</v>
      </c>
      <c r="J3981">
        <v>1.0247973619913604</v>
      </c>
      <c r="N3981" t="s">
        <v>1579</v>
      </c>
      <c r="O3981" t="s">
        <v>1435</v>
      </c>
      <c r="Q3981" t="s">
        <v>1580</v>
      </c>
    </row>
    <row r="3982" spans="2:17">
      <c r="B3982" t="s">
        <v>1583</v>
      </c>
      <c r="C3982" t="s">
        <v>670</v>
      </c>
      <c r="D3982">
        <v>1.2616898228977199E-5</v>
      </c>
      <c r="E3982" t="s">
        <v>94</v>
      </c>
      <c r="H3982" t="s">
        <v>588</v>
      </c>
      <c r="I3982">
        <v>1.2616898228977199E-5</v>
      </c>
      <c r="J3982">
        <v>1.0247973619913604</v>
      </c>
      <c r="N3982" t="s">
        <v>1584</v>
      </c>
      <c r="O3982" t="s">
        <v>1140</v>
      </c>
      <c r="Q3982" t="s">
        <v>1585</v>
      </c>
    </row>
    <row r="3983" spans="2:17">
      <c r="B3983" t="s">
        <v>1586</v>
      </c>
      <c r="C3983" t="s">
        <v>670</v>
      </c>
      <c r="D3983">
        <v>8.3448722409678008E-6</v>
      </c>
      <c r="E3983" t="s">
        <v>94</v>
      </c>
      <c r="H3983" t="s">
        <v>588</v>
      </c>
      <c r="I3983">
        <v>8.3448722409678008E-6</v>
      </c>
      <c r="J3983">
        <v>1.0247973619913604</v>
      </c>
      <c r="N3983" t="s">
        <v>1587</v>
      </c>
      <c r="O3983" t="s">
        <v>1157</v>
      </c>
      <c r="Q3983" t="s">
        <v>1588</v>
      </c>
    </row>
    <row r="3984" spans="2:17">
      <c r="B3984" t="s">
        <v>1589</v>
      </c>
      <c r="C3984" t="s">
        <v>787</v>
      </c>
      <c r="D3984">
        <v>1.4698690832561601E-5</v>
      </c>
      <c r="E3984" t="s">
        <v>94</v>
      </c>
      <c r="H3984" t="s">
        <v>588</v>
      </c>
      <c r="I3984">
        <v>1.4698690832561601E-5</v>
      </c>
      <c r="J3984">
        <v>1.0247973619913604</v>
      </c>
      <c r="N3984" t="s">
        <v>1590</v>
      </c>
      <c r="O3984" t="s">
        <v>1173</v>
      </c>
      <c r="Q3984" t="s">
        <v>1591</v>
      </c>
    </row>
    <row r="3985" spans="2:17">
      <c r="B3985" t="s">
        <v>1589</v>
      </c>
      <c r="C3985" t="s">
        <v>787</v>
      </c>
      <c r="D3985">
        <v>2.22059704543651E-7</v>
      </c>
      <c r="E3985" t="s">
        <v>94</v>
      </c>
      <c r="H3985" t="s">
        <v>588</v>
      </c>
      <c r="I3985">
        <v>2.22059704543651E-7</v>
      </c>
      <c r="J3985">
        <v>1.0247973619913604</v>
      </c>
      <c r="N3985" t="s">
        <v>1590</v>
      </c>
      <c r="O3985" t="s">
        <v>1173</v>
      </c>
      <c r="Q3985" t="s">
        <v>1591</v>
      </c>
    </row>
    <row r="3986" spans="2:17">
      <c r="B3986" t="s">
        <v>1592</v>
      </c>
      <c r="C3986" t="s">
        <v>787</v>
      </c>
      <c r="D3986">
        <v>1.4250609592684401E-6</v>
      </c>
      <c r="E3986" t="s">
        <v>94</v>
      </c>
      <c r="H3986" t="s">
        <v>588</v>
      </c>
      <c r="I3986">
        <v>1.4250609592684401E-6</v>
      </c>
      <c r="J3986">
        <v>1.0247973619913604</v>
      </c>
      <c r="N3986" t="s">
        <v>1593</v>
      </c>
      <c r="O3986" t="s">
        <v>1173</v>
      </c>
      <c r="Q3986" t="s">
        <v>1594</v>
      </c>
    </row>
    <row r="3987" spans="2:17">
      <c r="B3987" t="s">
        <v>1592</v>
      </c>
      <c r="C3987" t="s">
        <v>787</v>
      </c>
      <c r="D3987">
        <v>2.8201179218284502E-4</v>
      </c>
      <c r="E3987" t="s">
        <v>94</v>
      </c>
      <c r="H3987" t="s">
        <v>588</v>
      </c>
      <c r="I3987">
        <v>2.8201179218284502E-4</v>
      </c>
      <c r="J3987">
        <v>1.0247973619913604</v>
      </c>
      <c r="N3987" t="s">
        <v>1593</v>
      </c>
      <c r="O3987" t="s">
        <v>1173</v>
      </c>
      <c r="Q3987" t="s">
        <v>1594</v>
      </c>
    </row>
    <row r="3988" spans="2:17">
      <c r="B3988" t="s">
        <v>1592</v>
      </c>
      <c r="C3988" t="s">
        <v>787</v>
      </c>
      <c r="D3988">
        <v>3.1441661184199801E-6</v>
      </c>
      <c r="E3988" t="s">
        <v>94</v>
      </c>
      <c r="H3988" t="s">
        <v>588</v>
      </c>
      <c r="I3988">
        <v>3.1441661184199801E-6</v>
      </c>
      <c r="J3988">
        <v>1.0247973619913604</v>
      </c>
      <c r="N3988" t="s">
        <v>1593</v>
      </c>
      <c r="O3988" t="s">
        <v>1173</v>
      </c>
      <c r="Q3988" t="s">
        <v>1594</v>
      </c>
    </row>
    <row r="3989" spans="2:17">
      <c r="B3989" t="s">
        <v>1592</v>
      </c>
      <c r="C3989" t="s">
        <v>787</v>
      </c>
      <c r="D3989">
        <v>1.8842940862503799E-5</v>
      </c>
      <c r="E3989" t="s">
        <v>94</v>
      </c>
      <c r="H3989" t="s">
        <v>588</v>
      </c>
      <c r="I3989">
        <v>1.8842940862503799E-5</v>
      </c>
      <c r="J3989">
        <v>1.0247973619913604</v>
      </c>
      <c r="N3989" t="s">
        <v>1593</v>
      </c>
      <c r="O3989" t="s">
        <v>1173</v>
      </c>
      <c r="Q3989" t="s">
        <v>1594</v>
      </c>
    </row>
    <row r="3990" spans="2:17">
      <c r="B3990" t="s">
        <v>1592</v>
      </c>
      <c r="C3990" t="s">
        <v>787</v>
      </c>
      <c r="D3990">
        <v>7.7828094265410003E-6</v>
      </c>
      <c r="E3990" t="s">
        <v>94</v>
      </c>
      <c r="H3990" t="s">
        <v>588</v>
      </c>
      <c r="I3990">
        <v>7.7828094265410003E-6</v>
      </c>
      <c r="J3990">
        <v>1.0247973619913604</v>
      </c>
      <c r="N3990" t="s">
        <v>1593</v>
      </c>
      <c r="O3990" t="s">
        <v>1173</v>
      </c>
      <c r="Q3990" t="s">
        <v>1594</v>
      </c>
    </row>
    <row r="3991" spans="2:17">
      <c r="B3991" t="s">
        <v>1592</v>
      </c>
      <c r="C3991" t="s">
        <v>787</v>
      </c>
      <c r="D3991">
        <v>2.44414753329003E-4</v>
      </c>
      <c r="E3991" t="s">
        <v>94</v>
      </c>
      <c r="H3991" t="s">
        <v>588</v>
      </c>
      <c r="I3991">
        <v>2.44414753329003E-4</v>
      </c>
      <c r="J3991">
        <v>1.0247973619913604</v>
      </c>
      <c r="N3991" t="s">
        <v>1595</v>
      </c>
      <c r="O3991" t="s">
        <v>1173</v>
      </c>
      <c r="Q3991" t="s">
        <v>1594</v>
      </c>
    </row>
    <row r="3992" spans="2:17">
      <c r="B3992" t="s">
        <v>1592</v>
      </c>
      <c r="C3992" t="s">
        <v>787</v>
      </c>
      <c r="D3992">
        <v>7.3905051567176396E-6</v>
      </c>
      <c r="E3992" t="s">
        <v>94</v>
      </c>
      <c r="H3992" t="s">
        <v>588</v>
      </c>
      <c r="I3992">
        <v>7.3905051567176396E-6</v>
      </c>
      <c r="J3992">
        <v>1.0247973619913604</v>
      </c>
      <c r="N3992" t="s">
        <v>1593</v>
      </c>
      <c r="O3992" t="s">
        <v>1173</v>
      </c>
      <c r="Q3992" t="s">
        <v>1594</v>
      </c>
    </row>
    <row r="3993" spans="2:17">
      <c r="B3993" t="s">
        <v>1592</v>
      </c>
      <c r="C3993" t="s">
        <v>787</v>
      </c>
      <c r="D3993">
        <v>1.9752821157779702E-3</v>
      </c>
      <c r="E3993" t="s">
        <v>94</v>
      </c>
      <c r="H3993" t="s">
        <v>588</v>
      </c>
      <c r="I3993">
        <v>1.9752821157779702E-3</v>
      </c>
      <c r="J3993">
        <v>1.0247973619913604</v>
      </c>
      <c r="N3993" t="s">
        <v>1593</v>
      </c>
      <c r="O3993" t="s">
        <v>1173</v>
      </c>
      <c r="Q3993" t="s">
        <v>1594</v>
      </c>
    </row>
    <row r="3994" spans="2:17">
      <c r="B3994" t="s">
        <v>1596</v>
      </c>
      <c r="C3994" t="s">
        <v>787</v>
      </c>
      <c r="D3994">
        <v>1.82169002397821E-5</v>
      </c>
      <c r="E3994" t="s">
        <v>94</v>
      </c>
      <c r="H3994" t="s">
        <v>588</v>
      </c>
      <c r="I3994">
        <v>1.82169002397821E-5</v>
      </c>
      <c r="J3994">
        <v>1.0247973619913604</v>
      </c>
      <c r="N3994" t="s">
        <v>1597</v>
      </c>
      <c r="O3994" t="s">
        <v>798</v>
      </c>
      <c r="Q3994" t="s">
        <v>979</v>
      </c>
    </row>
    <row r="3995" spans="2:17">
      <c r="B3995" t="s">
        <v>1596</v>
      </c>
      <c r="C3995" t="s">
        <v>787</v>
      </c>
      <c r="D3995">
        <v>1.5788273050789998E-5</v>
      </c>
      <c r="E3995" t="s">
        <v>94</v>
      </c>
      <c r="H3995" t="s">
        <v>588</v>
      </c>
      <c r="I3995">
        <v>1.5788273050789998E-5</v>
      </c>
      <c r="J3995">
        <v>1.0247973619913604</v>
      </c>
      <c r="N3995" t="s">
        <v>1598</v>
      </c>
      <c r="O3995" t="s">
        <v>798</v>
      </c>
      <c r="Q3995" t="s">
        <v>979</v>
      </c>
    </row>
    <row r="3996" spans="2:17">
      <c r="B3996" t="s">
        <v>1596</v>
      </c>
      <c r="C3996" t="s">
        <v>787</v>
      </c>
      <c r="D3996">
        <v>1.2171830520256701E-6</v>
      </c>
      <c r="E3996" t="s">
        <v>94</v>
      </c>
      <c r="H3996" t="s">
        <v>588</v>
      </c>
      <c r="I3996">
        <v>1.2171830520256701E-6</v>
      </c>
      <c r="J3996">
        <v>1.0247973619913604</v>
      </c>
      <c r="N3996" t="s">
        <v>1597</v>
      </c>
      <c r="O3996" t="s">
        <v>798</v>
      </c>
      <c r="Q3996" t="s">
        <v>979</v>
      </c>
    </row>
    <row r="3997" spans="2:17">
      <c r="B3997" t="s">
        <v>1596</v>
      </c>
      <c r="C3997" t="s">
        <v>787</v>
      </c>
      <c r="D3997">
        <v>4.7739881413976701E-7</v>
      </c>
      <c r="E3997" t="s">
        <v>94</v>
      </c>
      <c r="H3997" t="s">
        <v>588</v>
      </c>
      <c r="I3997">
        <v>4.7739881413976701E-7</v>
      </c>
      <c r="J3997">
        <v>1.0247973619913604</v>
      </c>
      <c r="N3997" t="s">
        <v>1597</v>
      </c>
      <c r="O3997" t="s">
        <v>798</v>
      </c>
      <c r="Q3997" t="s">
        <v>979</v>
      </c>
    </row>
    <row r="3998" spans="2:17">
      <c r="B3998" t="s">
        <v>1596</v>
      </c>
      <c r="C3998" t="s">
        <v>787</v>
      </c>
      <c r="D3998">
        <v>2.0310129613099201E-7</v>
      </c>
      <c r="E3998" t="s">
        <v>94</v>
      </c>
      <c r="H3998" t="s">
        <v>588</v>
      </c>
      <c r="I3998">
        <v>2.0310129613099201E-7</v>
      </c>
      <c r="J3998">
        <v>1.0247973619913604</v>
      </c>
      <c r="N3998" t="s">
        <v>1597</v>
      </c>
      <c r="O3998" t="s">
        <v>798</v>
      </c>
      <c r="Q3998" t="s">
        <v>979</v>
      </c>
    </row>
    <row r="3999" spans="2:17">
      <c r="B3999" t="s">
        <v>1596</v>
      </c>
      <c r="C3999" t="s">
        <v>787</v>
      </c>
      <c r="D3999">
        <v>1.27528378908388E-4</v>
      </c>
      <c r="E3999" t="s">
        <v>94</v>
      </c>
      <c r="H3999" t="s">
        <v>588</v>
      </c>
      <c r="I3999">
        <v>1.27528378908388E-4</v>
      </c>
      <c r="J3999">
        <v>1.0247973619913604</v>
      </c>
      <c r="N3999" t="s">
        <v>1597</v>
      </c>
      <c r="O3999" t="s">
        <v>798</v>
      </c>
      <c r="Q3999" t="s">
        <v>979</v>
      </c>
    </row>
    <row r="4000" spans="2:17">
      <c r="B4000" t="s">
        <v>1596</v>
      </c>
      <c r="C4000" t="s">
        <v>787</v>
      </c>
      <c r="D4000">
        <v>5.0274019327748405E-7</v>
      </c>
      <c r="E4000" t="s">
        <v>94</v>
      </c>
      <c r="H4000" t="s">
        <v>588</v>
      </c>
      <c r="I4000">
        <v>5.0274019327748405E-7</v>
      </c>
      <c r="J4000">
        <v>1.0247973619913604</v>
      </c>
      <c r="N4000" t="s">
        <v>1597</v>
      </c>
      <c r="O4000" t="s">
        <v>798</v>
      </c>
      <c r="Q4000" t="s">
        <v>979</v>
      </c>
    </row>
    <row r="4001" spans="2:17">
      <c r="B4001" t="s">
        <v>1596</v>
      </c>
      <c r="C4001" t="s">
        <v>787</v>
      </c>
      <c r="D4001">
        <v>9.2053573822792E-8</v>
      </c>
      <c r="E4001" t="s">
        <v>94</v>
      </c>
      <c r="H4001" t="s">
        <v>588</v>
      </c>
      <c r="I4001">
        <v>9.2053573822792E-8</v>
      </c>
      <c r="J4001">
        <v>1.0247973619913604</v>
      </c>
      <c r="N4001" t="s">
        <v>1597</v>
      </c>
      <c r="O4001" t="s">
        <v>798</v>
      </c>
      <c r="Q4001" t="s">
        <v>979</v>
      </c>
    </row>
    <row r="4002" spans="2:17">
      <c r="B4002" t="s">
        <v>1599</v>
      </c>
      <c r="C4002" t="s">
        <v>787</v>
      </c>
      <c r="D4002">
        <v>1.50968192871407E-8</v>
      </c>
      <c r="E4002" t="s">
        <v>94</v>
      </c>
      <c r="H4002" t="s">
        <v>588</v>
      </c>
      <c r="I4002">
        <v>1.50968192871407E-8</v>
      </c>
      <c r="J4002">
        <v>1.0247973619913604</v>
      </c>
      <c r="N4002" t="s">
        <v>1600</v>
      </c>
      <c r="O4002" t="s">
        <v>798</v>
      </c>
      <c r="Q4002" t="s">
        <v>1601</v>
      </c>
    </row>
    <row r="4003" spans="2:17">
      <c r="B4003" t="s">
        <v>1599</v>
      </c>
      <c r="C4003" t="s">
        <v>787</v>
      </c>
      <c r="D4003">
        <v>6.4226878531289401E-9</v>
      </c>
      <c r="E4003" t="s">
        <v>94</v>
      </c>
      <c r="H4003" t="s">
        <v>588</v>
      </c>
      <c r="I4003">
        <v>6.4226878531289401E-9</v>
      </c>
      <c r="J4003">
        <v>1.0247973619913604</v>
      </c>
      <c r="N4003" t="s">
        <v>1600</v>
      </c>
      <c r="O4003" t="s">
        <v>798</v>
      </c>
      <c r="Q4003" t="s">
        <v>1601</v>
      </c>
    </row>
    <row r="4004" spans="2:17">
      <c r="B4004" t="s">
        <v>1599</v>
      </c>
      <c r="C4004" t="s">
        <v>787</v>
      </c>
      <c r="D4004">
        <v>1.5898191661763002E-8</v>
      </c>
      <c r="E4004" t="s">
        <v>94</v>
      </c>
      <c r="H4004" t="s">
        <v>588</v>
      </c>
      <c r="I4004">
        <v>1.5898191661763002E-8</v>
      </c>
      <c r="J4004">
        <v>1.0247973619913604</v>
      </c>
      <c r="N4004" t="s">
        <v>1600</v>
      </c>
      <c r="O4004" t="s">
        <v>798</v>
      </c>
      <c r="Q4004" t="s">
        <v>1601</v>
      </c>
    </row>
    <row r="4005" spans="2:17">
      <c r="B4005" t="s">
        <v>1599</v>
      </c>
      <c r="C4005" t="s">
        <v>787</v>
      </c>
      <c r="D4005">
        <v>5.7607443241646903E-7</v>
      </c>
      <c r="E4005" t="s">
        <v>94</v>
      </c>
      <c r="H4005" t="s">
        <v>588</v>
      </c>
      <c r="I4005">
        <v>5.7607443241646903E-7</v>
      </c>
      <c r="J4005">
        <v>1.0247973619913604</v>
      </c>
      <c r="N4005" t="s">
        <v>1600</v>
      </c>
      <c r="O4005" t="s">
        <v>798</v>
      </c>
      <c r="Q4005" t="s">
        <v>1601</v>
      </c>
    </row>
    <row r="4006" spans="2:17">
      <c r="B4006" t="s">
        <v>1599</v>
      </c>
      <c r="C4006" t="s">
        <v>787</v>
      </c>
      <c r="D4006">
        <v>4.9927376869023503E-7</v>
      </c>
      <c r="E4006" t="s">
        <v>94</v>
      </c>
      <c r="H4006" t="s">
        <v>588</v>
      </c>
      <c r="I4006">
        <v>4.9927376869023503E-7</v>
      </c>
      <c r="J4006">
        <v>1.0247973619913604</v>
      </c>
      <c r="N4006" t="s">
        <v>1602</v>
      </c>
      <c r="O4006" t="s">
        <v>798</v>
      </c>
      <c r="Q4006" t="s">
        <v>1601</v>
      </c>
    </row>
    <row r="4007" spans="2:17">
      <c r="B4007" t="s">
        <v>1599</v>
      </c>
      <c r="C4007" t="s">
        <v>787</v>
      </c>
      <c r="D4007">
        <v>3.84910729384891E-8</v>
      </c>
      <c r="E4007" t="s">
        <v>94</v>
      </c>
      <c r="H4007" t="s">
        <v>588</v>
      </c>
      <c r="I4007">
        <v>3.84910729384891E-8</v>
      </c>
      <c r="J4007">
        <v>1.0247973619913604</v>
      </c>
      <c r="N4007" t="s">
        <v>1600</v>
      </c>
      <c r="O4007" t="s">
        <v>798</v>
      </c>
      <c r="Q4007" t="s">
        <v>1601</v>
      </c>
    </row>
    <row r="4008" spans="2:17">
      <c r="B4008" t="s">
        <v>1599</v>
      </c>
      <c r="C4008" t="s">
        <v>787</v>
      </c>
      <c r="D4008">
        <v>2.9110172199365699E-9</v>
      </c>
      <c r="E4008" t="s">
        <v>94</v>
      </c>
      <c r="H4008" t="s">
        <v>588</v>
      </c>
      <c r="I4008">
        <v>2.9110172199365699E-9</v>
      </c>
      <c r="J4008">
        <v>1.0247973619913604</v>
      </c>
      <c r="N4008" t="s">
        <v>1600</v>
      </c>
      <c r="O4008" t="s">
        <v>798</v>
      </c>
      <c r="Q4008" t="s">
        <v>1601</v>
      </c>
    </row>
    <row r="4009" spans="2:17">
      <c r="B4009" t="s">
        <v>1599</v>
      </c>
      <c r="C4009" t="s">
        <v>787</v>
      </c>
      <c r="D4009">
        <v>4.0328396999291298E-6</v>
      </c>
      <c r="E4009" t="s">
        <v>94</v>
      </c>
      <c r="H4009" t="s">
        <v>588</v>
      </c>
      <c r="I4009">
        <v>4.0328396999291298E-6</v>
      </c>
      <c r="J4009">
        <v>1.0247973619913604</v>
      </c>
      <c r="N4009" t="s">
        <v>1600</v>
      </c>
      <c r="O4009" t="s">
        <v>798</v>
      </c>
      <c r="Q4009" t="s">
        <v>1601</v>
      </c>
    </row>
    <row r="4010" spans="2:17">
      <c r="B4010" t="s">
        <v>1603</v>
      </c>
      <c r="C4010" t="s">
        <v>787</v>
      </c>
      <c r="D4010">
        <v>8.8025667316370698E-5</v>
      </c>
      <c r="E4010" t="s">
        <v>94</v>
      </c>
      <c r="H4010" t="s">
        <v>588</v>
      </c>
      <c r="I4010">
        <v>8.8025667316370698E-5</v>
      </c>
      <c r="J4010">
        <v>1.0247973619913604</v>
      </c>
      <c r="N4010" t="s">
        <v>1604</v>
      </c>
      <c r="O4010" t="s">
        <v>798</v>
      </c>
      <c r="Q4010" t="s">
        <v>979</v>
      </c>
    </row>
    <row r="4011" spans="2:17">
      <c r="B4011" t="s">
        <v>1603</v>
      </c>
      <c r="C4011" t="s">
        <v>787</v>
      </c>
      <c r="D4011">
        <v>3.47013279544644E-7</v>
      </c>
      <c r="E4011" t="s">
        <v>94</v>
      </c>
      <c r="H4011" t="s">
        <v>588</v>
      </c>
      <c r="I4011">
        <v>3.47013279544644E-7</v>
      </c>
      <c r="J4011">
        <v>1.0247973619913604</v>
      </c>
      <c r="N4011" t="s">
        <v>1604</v>
      </c>
      <c r="O4011" t="s">
        <v>798</v>
      </c>
      <c r="Q4011" t="s">
        <v>979</v>
      </c>
    </row>
    <row r="4012" spans="2:17">
      <c r="B4012" t="s">
        <v>1603</v>
      </c>
      <c r="C4012" t="s">
        <v>787</v>
      </c>
      <c r="D4012">
        <v>1.08977568990132E-5</v>
      </c>
      <c r="E4012" t="s">
        <v>94</v>
      </c>
      <c r="H4012" t="s">
        <v>588</v>
      </c>
      <c r="I4012">
        <v>1.08977568990132E-5</v>
      </c>
      <c r="J4012">
        <v>1.0247973619913604</v>
      </c>
      <c r="N4012" t="s">
        <v>1605</v>
      </c>
      <c r="O4012" t="s">
        <v>798</v>
      </c>
      <c r="Q4012" t="s">
        <v>979</v>
      </c>
    </row>
    <row r="4013" spans="2:17">
      <c r="B4013" t="s">
        <v>1603</v>
      </c>
      <c r="C4013" t="s">
        <v>787</v>
      </c>
      <c r="D4013">
        <v>1.2574101653048701E-5</v>
      </c>
      <c r="E4013" t="s">
        <v>94</v>
      </c>
      <c r="H4013" t="s">
        <v>588</v>
      </c>
      <c r="I4013">
        <v>1.2574101653048701E-5</v>
      </c>
      <c r="J4013">
        <v>1.0247973619913604</v>
      </c>
      <c r="N4013" t="s">
        <v>1604</v>
      </c>
      <c r="O4013" t="s">
        <v>798</v>
      </c>
      <c r="Q4013" t="s">
        <v>979</v>
      </c>
    </row>
    <row r="4014" spans="2:17">
      <c r="B4014" t="s">
        <v>1603</v>
      </c>
      <c r="C4014" t="s">
        <v>787</v>
      </c>
      <c r="D4014">
        <v>1.4018940158875101E-7</v>
      </c>
      <c r="E4014" t="s">
        <v>94</v>
      </c>
      <c r="H4014" t="s">
        <v>588</v>
      </c>
      <c r="I4014">
        <v>1.4018940158875101E-7</v>
      </c>
      <c r="J4014">
        <v>1.0247973619913604</v>
      </c>
      <c r="N4014" t="s">
        <v>1604</v>
      </c>
      <c r="O4014" t="s">
        <v>798</v>
      </c>
      <c r="Q4014" t="s">
        <v>979</v>
      </c>
    </row>
    <row r="4015" spans="2:17">
      <c r="B4015" t="s">
        <v>1603</v>
      </c>
      <c r="C4015" t="s">
        <v>787</v>
      </c>
      <c r="D4015">
        <v>8.4015300216201104E-7</v>
      </c>
      <c r="E4015" t="s">
        <v>94</v>
      </c>
      <c r="H4015" t="s">
        <v>588</v>
      </c>
      <c r="I4015">
        <v>8.4015300216201104E-7</v>
      </c>
      <c r="J4015">
        <v>1.0247973619913604</v>
      </c>
      <c r="N4015" t="s">
        <v>1604</v>
      </c>
      <c r="O4015" t="s">
        <v>798</v>
      </c>
      <c r="Q4015" t="s">
        <v>979</v>
      </c>
    </row>
    <row r="4016" spans="2:17">
      <c r="B4016" t="s">
        <v>1603</v>
      </c>
      <c r="C4016" t="s">
        <v>787</v>
      </c>
      <c r="D4016">
        <v>3.2952155081407501E-7</v>
      </c>
      <c r="E4016" t="s">
        <v>94</v>
      </c>
      <c r="H4016" t="s">
        <v>588</v>
      </c>
      <c r="I4016">
        <v>3.2952155081407501E-7</v>
      </c>
      <c r="J4016">
        <v>1.0247973619913604</v>
      </c>
      <c r="N4016" t="s">
        <v>1604</v>
      </c>
      <c r="O4016" t="s">
        <v>798</v>
      </c>
      <c r="Q4016" t="s">
        <v>979</v>
      </c>
    </row>
    <row r="4017" spans="1:17">
      <c r="B4017" t="s">
        <v>1603</v>
      </c>
      <c r="C4017" t="s">
        <v>787</v>
      </c>
      <c r="D4017">
        <v>6.3539404593459401E-8</v>
      </c>
      <c r="E4017" t="s">
        <v>94</v>
      </c>
      <c r="H4017" t="s">
        <v>588</v>
      </c>
      <c r="I4017">
        <v>6.3539404593459401E-8</v>
      </c>
      <c r="J4017">
        <v>1.0247973619913604</v>
      </c>
      <c r="N4017" t="s">
        <v>1604</v>
      </c>
      <c r="O4017" t="s">
        <v>798</v>
      </c>
      <c r="Q4017" t="s">
        <v>979</v>
      </c>
    </row>
    <row r="4018" spans="1:17">
      <c r="B4018" t="s">
        <v>1606</v>
      </c>
      <c r="C4018" t="s">
        <v>787</v>
      </c>
      <c r="D4018">
        <v>3.9983555620974402E-6</v>
      </c>
      <c r="E4018" t="s">
        <v>94</v>
      </c>
      <c r="H4018" t="s">
        <v>588</v>
      </c>
      <c r="I4018">
        <v>3.9983555620974402E-6</v>
      </c>
      <c r="J4018">
        <v>1.0247973619913604</v>
      </c>
      <c r="N4018" t="s">
        <v>1607</v>
      </c>
      <c r="O4018" t="s">
        <v>1157</v>
      </c>
      <c r="Q4018" t="s">
        <v>1608</v>
      </c>
    </row>
    <row r="4019" spans="1:17">
      <c r="B4019" t="s">
        <v>1609</v>
      </c>
      <c r="C4019" t="s">
        <v>670</v>
      </c>
      <c r="D4019">
        <v>2.3233554730709899E-4</v>
      </c>
      <c r="E4019" t="s">
        <v>94</v>
      </c>
      <c r="H4019" t="s">
        <v>588</v>
      </c>
      <c r="I4019">
        <v>2.3233554730709899E-4</v>
      </c>
      <c r="J4019">
        <v>1.0247973619913604</v>
      </c>
      <c r="N4019" t="s">
        <v>1610</v>
      </c>
      <c r="O4019" t="s">
        <v>1140</v>
      </c>
      <c r="Q4019" t="s">
        <v>1611</v>
      </c>
    </row>
    <row r="4020" spans="1:17">
      <c r="B4020" t="s">
        <v>1612</v>
      </c>
      <c r="C4020" t="s">
        <v>1613</v>
      </c>
      <c r="D4020">
        <v>1.80308007148008E-3</v>
      </c>
      <c r="E4020" t="s">
        <v>640</v>
      </c>
      <c r="H4020" t="s">
        <v>588</v>
      </c>
      <c r="I4020">
        <v>1.80308007148008E-3</v>
      </c>
      <c r="J4020">
        <v>1</v>
      </c>
      <c r="N4020" t="s">
        <v>1614</v>
      </c>
      <c r="O4020" t="s">
        <v>1157</v>
      </c>
      <c r="Q4020" t="s">
        <v>1615</v>
      </c>
    </row>
    <row r="4021" spans="1:17">
      <c r="B4021" t="s">
        <v>251</v>
      </c>
      <c r="C4021" t="s">
        <v>654</v>
      </c>
      <c r="D4021">
        <v>2.7678588900002598E-4</v>
      </c>
      <c r="E4021" t="s">
        <v>640</v>
      </c>
      <c r="H4021" t="s">
        <v>588</v>
      </c>
      <c r="I4021">
        <v>2.7678588900002598E-4</v>
      </c>
      <c r="J4021">
        <v>1.2214027581601699</v>
      </c>
      <c r="O4021" t="s">
        <v>1028</v>
      </c>
      <c r="Q4021" t="s">
        <v>835</v>
      </c>
    </row>
    <row r="4022" spans="1:17">
      <c r="B4022" t="s">
        <v>251</v>
      </c>
      <c r="C4022" t="s">
        <v>887</v>
      </c>
      <c r="D4022">
        <v>2.0778532144183001E-4</v>
      </c>
      <c r="E4022" t="s">
        <v>640</v>
      </c>
      <c r="H4022" t="s">
        <v>588</v>
      </c>
      <c r="I4022">
        <v>2.0778532144183001E-4</v>
      </c>
      <c r="J4022">
        <v>1</v>
      </c>
      <c r="O4022" t="s">
        <v>1157</v>
      </c>
      <c r="Q4022" t="s">
        <v>1616</v>
      </c>
    </row>
    <row r="4023" spans="1:17">
      <c r="B4023" t="s">
        <v>789</v>
      </c>
      <c r="C4023" t="s">
        <v>712</v>
      </c>
      <c r="D4023">
        <v>1.8055269471724098E-5</v>
      </c>
      <c r="E4023" t="s">
        <v>640</v>
      </c>
      <c r="H4023" t="s">
        <v>588</v>
      </c>
      <c r="I4023">
        <v>1.8055269471724098E-5</v>
      </c>
      <c r="J4023">
        <v>1.0247973619913604</v>
      </c>
      <c r="O4023" t="s">
        <v>921</v>
      </c>
    </row>
    <row r="4024" spans="1:17">
      <c r="B4024" t="s">
        <v>789</v>
      </c>
      <c r="C4024" t="s">
        <v>661</v>
      </c>
      <c r="D4024">
        <v>1.9269233547567599E-2</v>
      </c>
      <c r="E4024" t="s">
        <v>640</v>
      </c>
      <c r="H4024" t="s">
        <v>588</v>
      </c>
      <c r="I4024">
        <v>1.9269233547567599E-2</v>
      </c>
      <c r="J4024">
        <v>1</v>
      </c>
      <c r="O4024" t="s">
        <v>1157</v>
      </c>
      <c r="Q4024" t="s">
        <v>1617</v>
      </c>
    </row>
    <row r="4025" spans="1:17">
      <c r="B4025" t="s">
        <v>791</v>
      </c>
      <c r="C4025" t="s">
        <v>658</v>
      </c>
      <c r="D4025">
        <v>7.6366392323744706E-6</v>
      </c>
      <c r="E4025" t="s">
        <v>94</v>
      </c>
      <c r="H4025" t="s">
        <v>588</v>
      </c>
      <c r="I4025">
        <v>7.6366392323744706E-6</v>
      </c>
      <c r="J4025">
        <v>2.2394398661220611</v>
      </c>
      <c r="O4025" t="s">
        <v>1157</v>
      </c>
      <c r="Q4025" t="s">
        <v>1166</v>
      </c>
    </row>
    <row r="4026" spans="1:17">
      <c r="B4026" t="s">
        <v>792</v>
      </c>
      <c r="C4026" t="s">
        <v>661</v>
      </c>
      <c r="D4026">
        <v>8.9404109933425396E-7</v>
      </c>
      <c r="E4026" t="s">
        <v>94</v>
      </c>
      <c r="H4026" t="s">
        <v>588</v>
      </c>
      <c r="I4026">
        <v>8.9404109933425396E-7</v>
      </c>
      <c r="J4026">
        <v>2.2394398661220611</v>
      </c>
      <c r="O4026" t="s">
        <v>1157</v>
      </c>
      <c r="Q4026" t="s">
        <v>1166</v>
      </c>
    </row>
    <row r="4028" spans="1:17" ht="21">
      <c r="A4028" s="426" t="s">
        <v>5125</v>
      </c>
    </row>
    <row r="4030" spans="1:17">
      <c r="A4030" s="421" t="s">
        <v>564</v>
      </c>
    </row>
    <row r="4031" spans="1:17">
      <c r="A4031" s="423" t="s">
        <v>565</v>
      </c>
      <c r="B4031" t="s">
        <v>5146</v>
      </c>
    </row>
    <row r="4032" spans="1:17">
      <c r="A4032" s="423" t="s">
        <v>567</v>
      </c>
      <c r="B4032" t="s">
        <v>5131</v>
      </c>
    </row>
    <row r="4033" spans="1:17">
      <c r="A4033" s="423" t="s">
        <v>568</v>
      </c>
      <c r="B4033" t="s">
        <v>667</v>
      </c>
    </row>
    <row r="4034" spans="1:17">
      <c r="A4034" s="423" t="s">
        <v>585</v>
      </c>
      <c r="B4034" t="s">
        <v>5147</v>
      </c>
    </row>
    <row r="4036" spans="1:17">
      <c r="A4036" s="423" t="s">
        <v>665</v>
      </c>
    </row>
    <row r="4037" spans="1:17">
      <c r="A4037" s="421" t="s">
        <v>570</v>
      </c>
      <c r="B4037" s="421" t="s">
        <v>571</v>
      </c>
      <c r="C4037" s="421" t="s">
        <v>568</v>
      </c>
      <c r="D4037" s="421" t="s">
        <v>572</v>
      </c>
      <c r="E4037" s="421" t="s">
        <v>573</v>
      </c>
      <c r="F4037" s="421" t="s">
        <v>574</v>
      </c>
      <c r="G4037" s="421" t="s">
        <v>575</v>
      </c>
      <c r="H4037" s="421" t="s">
        <v>576</v>
      </c>
      <c r="I4037" s="421" t="s">
        <v>577</v>
      </c>
      <c r="J4037" s="421" t="s">
        <v>578</v>
      </c>
      <c r="K4037" s="421" t="s">
        <v>579</v>
      </c>
      <c r="L4037" s="421" t="s">
        <v>580</v>
      </c>
      <c r="M4037" s="421" t="s">
        <v>581</v>
      </c>
      <c r="N4037" s="421" t="s">
        <v>582</v>
      </c>
      <c r="O4037" s="421" t="s">
        <v>583</v>
      </c>
      <c r="P4037" s="421" t="s">
        <v>584</v>
      </c>
      <c r="Q4037" s="421" t="s">
        <v>585</v>
      </c>
    </row>
    <row r="4038" spans="1:17">
      <c r="B4038" t="s">
        <v>1155</v>
      </c>
      <c r="C4038" t="s">
        <v>667</v>
      </c>
      <c r="D4038">
        <v>0.14108391489211899</v>
      </c>
      <c r="E4038" t="s">
        <v>94</v>
      </c>
      <c r="N4038" t="s">
        <v>1156</v>
      </c>
    </row>
    <row r="4039" spans="1:17">
      <c r="B4039" t="s">
        <v>1155</v>
      </c>
      <c r="C4039" t="s">
        <v>667</v>
      </c>
      <c r="D4039">
        <v>0.77699521045674003</v>
      </c>
      <c r="E4039" t="s">
        <v>94</v>
      </c>
      <c r="N4039" t="s">
        <v>1156</v>
      </c>
    </row>
    <row r="4040" spans="1:17">
      <c r="B4040" t="s">
        <v>1155</v>
      </c>
      <c r="C4040" t="s">
        <v>667</v>
      </c>
      <c r="D4040">
        <v>8.1920874651141604E-2</v>
      </c>
      <c r="E4040" t="s">
        <v>94</v>
      </c>
      <c r="N4040" t="s">
        <v>1156</v>
      </c>
    </row>
    <row r="4042" spans="1:17">
      <c r="A4042" t="s">
        <v>710</v>
      </c>
    </row>
    <row r="4043" spans="1:17">
      <c r="A4043" s="421" t="s">
        <v>570</v>
      </c>
      <c r="B4043" s="421" t="s">
        <v>571</v>
      </c>
      <c r="C4043" s="421" t="s">
        <v>568</v>
      </c>
      <c r="D4043" s="421" t="s">
        <v>572</v>
      </c>
      <c r="E4043" s="421" t="s">
        <v>573</v>
      </c>
      <c r="F4043" s="421" t="s">
        <v>574</v>
      </c>
      <c r="G4043" s="421" t="s">
        <v>575</v>
      </c>
      <c r="H4043" s="421" t="s">
        <v>576</v>
      </c>
      <c r="I4043" s="421" t="s">
        <v>577</v>
      </c>
      <c r="J4043" s="421" t="s">
        <v>578</v>
      </c>
      <c r="K4043" s="421" t="s">
        <v>579</v>
      </c>
      <c r="L4043" s="421" t="s">
        <v>580</v>
      </c>
      <c r="M4043" s="421" t="s">
        <v>581</v>
      </c>
      <c r="N4043" s="421" t="s">
        <v>582</v>
      </c>
      <c r="O4043" s="421" t="s">
        <v>583</v>
      </c>
      <c r="P4043" s="421" t="s">
        <v>584</v>
      </c>
      <c r="Q4043" s="421" t="s">
        <v>585</v>
      </c>
    </row>
    <row r="4044" spans="1:17">
      <c r="A4044" s="421" t="s">
        <v>645</v>
      </c>
      <c r="B4044" s="421" t="s">
        <v>1159</v>
      </c>
      <c r="C4044" s="421" t="s">
        <v>667</v>
      </c>
      <c r="D4044" s="421">
        <v>1</v>
      </c>
      <c r="E4044" s="421" t="s">
        <v>94</v>
      </c>
      <c r="F4044" s="421">
        <v>1.44</v>
      </c>
      <c r="G4044" s="421" t="s">
        <v>647</v>
      </c>
      <c r="M4044" s="421"/>
      <c r="O4044" s="421"/>
      <c r="P4044" s="421"/>
      <c r="Q4044" s="421"/>
    </row>
  </sheetData>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0E640-729E-454F-BAF3-42503BDE479D}">
  <sheetPr>
    <tabColor rgb="FF0070C0"/>
  </sheetPr>
  <dimension ref="A1:Q64"/>
  <sheetViews>
    <sheetView topLeftCell="A36" workbookViewId="0">
      <selection activeCell="F22" sqref="F22"/>
    </sheetView>
  </sheetViews>
  <sheetFormatPr defaultRowHeight="14.4"/>
  <cols>
    <col min="1" max="1" width="31.5546875" bestFit="1" customWidth="1"/>
    <col min="5" max="5" width="15.21875" bestFit="1" customWidth="1"/>
  </cols>
  <sheetData>
    <row r="1" spans="1:17">
      <c r="A1" s="421" t="s">
        <v>564</v>
      </c>
    </row>
    <row r="2" spans="1:17">
      <c r="A2" s="423" t="s">
        <v>565</v>
      </c>
      <c r="B2" t="s">
        <v>5179</v>
      </c>
    </row>
    <row r="3" spans="1:17">
      <c r="A3" s="423" t="s">
        <v>567</v>
      </c>
      <c r="B3" t="s">
        <v>5180</v>
      </c>
    </row>
    <row r="4" spans="1:17">
      <c r="A4" s="423" t="s">
        <v>568</v>
      </c>
      <c r="B4" t="s">
        <v>1482</v>
      </c>
    </row>
    <row r="5" spans="1:17">
      <c r="A5" s="423" t="s">
        <v>585</v>
      </c>
      <c r="B5" t="s">
        <v>5181</v>
      </c>
    </row>
    <row r="7" spans="1:17">
      <c r="A7" s="502"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1137</v>
      </c>
      <c r="C9" t="s">
        <v>1138</v>
      </c>
      <c r="D9">
        <v>9.6398756676839992E-3</v>
      </c>
      <c r="E9" t="s">
        <v>94</v>
      </c>
      <c r="H9" t="s">
        <v>588</v>
      </c>
      <c r="I9">
        <v>9.6398756676839992E-3</v>
      </c>
      <c r="J9">
        <v>1.0247973619913604</v>
      </c>
      <c r="N9" t="s">
        <v>1139</v>
      </c>
      <c r="O9" t="s">
        <v>1140</v>
      </c>
      <c r="Q9" t="s">
        <v>1141</v>
      </c>
    </row>
    <row r="10" spans="1:17">
      <c r="B10" t="s">
        <v>1147</v>
      </c>
      <c r="C10" t="s">
        <v>857</v>
      </c>
      <c r="D10">
        <v>4.7235390771651601E-11</v>
      </c>
      <c r="E10" t="s">
        <v>616</v>
      </c>
      <c r="H10" t="s">
        <v>588</v>
      </c>
      <c r="I10">
        <v>4.7235390771651601E-11</v>
      </c>
      <c r="J10">
        <v>1.7293101253499219</v>
      </c>
      <c r="N10" t="s">
        <v>1148</v>
      </c>
      <c r="O10" t="s">
        <v>952</v>
      </c>
      <c r="Q10" t="s">
        <v>1737</v>
      </c>
    </row>
    <row r="11" spans="1:17">
      <c r="B11" t="s">
        <v>666</v>
      </c>
      <c r="C11" t="s">
        <v>667</v>
      </c>
      <c r="D11">
        <v>1.3348335837042</v>
      </c>
      <c r="E11" t="s">
        <v>94</v>
      </c>
      <c r="H11" t="s">
        <v>588</v>
      </c>
      <c r="I11">
        <v>1.3348335837042</v>
      </c>
      <c r="J11">
        <v>1.0247973619913604</v>
      </c>
      <c r="N11" t="s">
        <v>668</v>
      </c>
      <c r="O11" t="s">
        <v>1140</v>
      </c>
      <c r="Q11" t="s">
        <v>1152</v>
      </c>
    </row>
    <row r="12" spans="1:17">
      <c r="B12" t="s">
        <v>1155</v>
      </c>
      <c r="C12" t="s">
        <v>667</v>
      </c>
      <c r="D12">
        <v>0.33208407687604602</v>
      </c>
      <c r="E12" t="s">
        <v>94</v>
      </c>
      <c r="H12" t="s">
        <v>588</v>
      </c>
      <c r="I12">
        <v>0.33208407687604602</v>
      </c>
      <c r="J12">
        <v>1</v>
      </c>
      <c r="N12" t="s">
        <v>1156</v>
      </c>
      <c r="O12" t="s">
        <v>1157</v>
      </c>
      <c r="Q12" t="s">
        <v>5182</v>
      </c>
    </row>
    <row r="13" spans="1:17">
      <c r="B13" t="s">
        <v>1161</v>
      </c>
      <c r="C13" t="s">
        <v>809</v>
      </c>
      <c r="D13">
        <v>2.5533138680994601E-2</v>
      </c>
      <c r="E13" t="s">
        <v>94</v>
      </c>
      <c r="H13" t="s">
        <v>588</v>
      </c>
      <c r="I13">
        <v>2.5533138680994601E-2</v>
      </c>
      <c r="J13">
        <v>1.0247973619913604</v>
      </c>
      <c r="N13" t="s">
        <v>1162</v>
      </c>
      <c r="O13" t="s">
        <v>1140</v>
      </c>
      <c r="Q13" t="s">
        <v>1163</v>
      </c>
    </row>
    <row r="14" spans="1:17">
      <c r="B14" t="s">
        <v>1197</v>
      </c>
      <c r="C14" t="s">
        <v>676</v>
      </c>
      <c r="D14">
        <v>5.0442503179247401E-2</v>
      </c>
      <c r="E14" t="s">
        <v>94</v>
      </c>
      <c r="H14" t="s">
        <v>588</v>
      </c>
      <c r="I14">
        <v>5.0442503179247401E-2</v>
      </c>
      <c r="J14">
        <v>1.0247973619913604</v>
      </c>
      <c r="N14" t="s">
        <v>1198</v>
      </c>
      <c r="O14" t="s">
        <v>1140</v>
      </c>
      <c r="Q14" t="s">
        <v>1199</v>
      </c>
    </row>
    <row r="15" spans="1:17">
      <c r="B15" t="s">
        <v>1210</v>
      </c>
      <c r="C15" t="s">
        <v>597</v>
      </c>
      <c r="D15">
        <v>0.239268530805885</v>
      </c>
      <c r="E15" t="s">
        <v>607</v>
      </c>
      <c r="H15" t="s">
        <v>588</v>
      </c>
      <c r="I15">
        <v>0.239268530805885</v>
      </c>
      <c r="J15">
        <v>1</v>
      </c>
      <c r="N15" t="s">
        <v>1211</v>
      </c>
      <c r="O15" t="s">
        <v>1157</v>
      </c>
      <c r="Q15" t="s">
        <v>1212</v>
      </c>
    </row>
    <row r="16" spans="1:17">
      <c r="B16" t="s">
        <v>596</v>
      </c>
      <c r="C16" t="s">
        <v>597</v>
      </c>
      <c r="D16">
        <v>89.384783141033097</v>
      </c>
      <c r="E16" t="s">
        <v>598</v>
      </c>
      <c r="H16" t="s">
        <v>588</v>
      </c>
      <c r="I16">
        <v>89.384783141033097</v>
      </c>
      <c r="J16">
        <v>1.0247973619913604</v>
      </c>
      <c r="N16" t="s">
        <v>797</v>
      </c>
      <c r="O16" t="s">
        <v>1140</v>
      </c>
      <c r="Q16" t="s">
        <v>5183</v>
      </c>
    </row>
    <row r="17" spans="2:17">
      <c r="B17" t="s">
        <v>1226</v>
      </c>
      <c r="C17" t="s">
        <v>708</v>
      </c>
      <c r="D17">
        <v>1.4913549917365499E-2</v>
      </c>
      <c r="E17" t="s">
        <v>94</v>
      </c>
      <c r="H17" t="s">
        <v>588</v>
      </c>
      <c r="I17">
        <v>1.4913549917365499E-2</v>
      </c>
      <c r="J17">
        <v>1.0247973619913604</v>
      </c>
      <c r="N17" t="s">
        <v>1227</v>
      </c>
      <c r="O17" t="s">
        <v>1140</v>
      </c>
      <c r="Q17" t="s">
        <v>1228</v>
      </c>
    </row>
    <row r="18" spans="2:17">
      <c r="B18" t="s">
        <v>845</v>
      </c>
      <c r="C18" t="s">
        <v>597</v>
      </c>
      <c r="D18">
        <v>144.10952463294899</v>
      </c>
      <c r="E18" t="s">
        <v>607</v>
      </c>
      <c r="H18" t="s">
        <v>588</v>
      </c>
      <c r="I18">
        <v>144.10952463294899</v>
      </c>
      <c r="J18">
        <v>1</v>
      </c>
      <c r="N18" t="s">
        <v>1258</v>
      </c>
      <c r="O18" t="s">
        <v>1157</v>
      </c>
      <c r="Q18" t="s">
        <v>1259</v>
      </c>
    </row>
    <row r="19" spans="2:17">
      <c r="B19" t="s">
        <v>1287</v>
      </c>
      <c r="C19" t="s">
        <v>673</v>
      </c>
      <c r="D19">
        <v>0.37691913860644399</v>
      </c>
      <c r="E19" t="s">
        <v>94</v>
      </c>
      <c r="H19" t="s">
        <v>588</v>
      </c>
      <c r="I19">
        <v>0.37691913860644399</v>
      </c>
      <c r="J19">
        <v>1.0247973619913604</v>
      </c>
      <c r="N19" t="s">
        <v>1288</v>
      </c>
      <c r="O19" t="s">
        <v>1140</v>
      </c>
      <c r="Q19" t="s">
        <v>1289</v>
      </c>
    </row>
    <row r="20" spans="2:17">
      <c r="B20" t="s">
        <v>675</v>
      </c>
      <c r="C20" t="s">
        <v>676</v>
      </c>
      <c r="D20">
        <v>1.1837174101247101</v>
      </c>
      <c r="E20" t="s">
        <v>94</v>
      </c>
      <c r="H20" t="s">
        <v>588</v>
      </c>
      <c r="I20">
        <v>1.1837174101247101</v>
      </c>
      <c r="J20">
        <v>1.0247973619913604</v>
      </c>
      <c r="N20" t="s">
        <v>677</v>
      </c>
      <c r="O20" t="s">
        <v>1140</v>
      </c>
      <c r="Q20" t="s">
        <v>1290</v>
      </c>
    </row>
    <row r="21" spans="2:17">
      <c r="B21" t="s">
        <v>1297</v>
      </c>
      <c r="C21" t="s">
        <v>664</v>
      </c>
      <c r="D21">
        <v>0.32533616390866699</v>
      </c>
      <c r="E21" t="s">
        <v>94</v>
      </c>
      <c r="H21" t="s">
        <v>588</v>
      </c>
      <c r="I21">
        <v>0.32533616390866699</v>
      </c>
      <c r="J21">
        <v>1.0247973619913604</v>
      </c>
      <c r="N21" t="s">
        <v>1298</v>
      </c>
      <c r="O21" t="s">
        <v>1140</v>
      </c>
      <c r="Q21" t="s">
        <v>5143</v>
      </c>
    </row>
    <row r="22" spans="2:17">
      <c r="B22" t="s">
        <v>1309</v>
      </c>
      <c r="C22" t="s">
        <v>664</v>
      </c>
      <c r="D22">
        <v>1.0196019374704001E-3</v>
      </c>
      <c r="E22" t="s">
        <v>94</v>
      </c>
      <c r="H22" t="s">
        <v>588</v>
      </c>
      <c r="I22">
        <v>1.0196019374704001E-3</v>
      </c>
      <c r="J22">
        <v>1.0247973619913604</v>
      </c>
      <c r="N22" t="s">
        <v>1310</v>
      </c>
      <c r="O22" t="s">
        <v>1140</v>
      </c>
      <c r="Q22" t="s">
        <v>1311</v>
      </c>
    </row>
    <row r="23" spans="2:17">
      <c r="B23" t="s">
        <v>1314</v>
      </c>
      <c r="C23" t="s">
        <v>809</v>
      </c>
      <c r="D23">
        <v>6.0827615463086002E-2</v>
      </c>
      <c r="E23" t="s">
        <v>94</v>
      </c>
      <c r="H23" t="s">
        <v>588</v>
      </c>
      <c r="I23">
        <v>6.0827615463086002E-2</v>
      </c>
      <c r="J23">
        <v>1.0247973619913604</v>
      </c>
      <c r="N23" t="s">
        <v>1315</v>
      </c>
      <c r="O23" t="s">
        <v>1140</v>
      </c>
      <c r="Q23" t="s">
        <v>1316</v>
      </c>
    </row>
    <row r="24" spans="2:17">
      <c r="B24" t="s">
        <v>1317</v>
      </c>
      <c r="C24" t="s">
        <v>673</v>
      </c>
      <c r="D24">
        <v>3.2464823048460101</v>
      </c>
      <c r="E24" t="s">
        <v>94</v>
      </c>
      <c r="H24" t="s">
        <v>588</v>
      </c>
      <c r="I24">
        <v>3.2464823048460101</v>
      </c>
      <c r="J24">
        <v>1</v>
      </c>
      <c r="N24" t="s">
        <v>1318</v>
      </c>
      <c r="O24" t="s">
        <v>1157</v>
      </c>
      <c r="Q24" t="s">
        <v>5184</v>
      </c>
    </row>
    <row r="25" spans="2:17">
      <c r="B25" t="s">
        <v>1339</v>
      </c>
      <c r="C25" t="s">
        <v>701</v>
      </c>
      <c r="D25">
        <v>6.9981789851203999E-2</v>
      </c>
      <c r="E25" t="s">
        <v>94</v>
      </c>
      <c r="H25" t="s">
        <v>588</v>
      </c>
      <c r="I25">
        <v>6.9981789851203999E-2</v>
      </c>
      <c r="J25">
        <v>1</v>
      </c>
      <c r="N25" t="s">
        <v>1340</v>
      </c>
      <c r="O25" t="s">
        <v>1157</v>
      </c>
      <c r="Q25" t="s">
        <v>1341</v>
      </c>
    </row>
    <row r="26" spans="2:17">
      <c r="B26" t="s">
        <v>1380</v>
      </c>
      <c r="C26" t="s">
        <v>592</v>
      </c>
      <c r="D26">
        <v>5.2581467105372104E-4</v>
      </c>
      <c r="E26" t="s">
        <v>607</v>
      </c>
      <c r="H26" t="s">
        <v>588</v>
      </c>
      <c r="I26">
        <v>5.2581467105372104E-4</v>
      </c>
      <c r="J26">
        <v>1</v>
      </c>
      <c r="N26" t="s">
        <v>1381</v>
      </c>
      <c r="O26" t="s">
        <v>1157</v>
      </c>
      <c r="Q26" t="s">
        <v>5185</v>
      </c>
    </row>
    <row r="27" spans="2:17">
      <c r="B27" t="s">
        <v>1383</v>
      </c>
      <c r="C27" t="s">
        <v>673</v>
      </c>
      <c r="D27">
        <v>1.10577066529118E-2</v>
      </c>
      <c r="E27" t="s">
        <v>94</v>
      </c>
      <c r="H27" t="s">
        <v>588</v>
      </c>
      <c r="I27">
        <v>1.10577066529118E-2</v>
      </c>
      <c r="J27">
        <v>1.0247973619913604</v>
      </c>
      <c r="N27" t="s">
        <v>1384</v>
      </c>
      <c r="O27" t="s">
        <v>1140</v>
      </c>
      <c r="Q27" t="s">
        <v>1385</v>
      </c>
    </row>
    <row r="28" spans="2:17">
      <c r="B28" t="s">
        <v>1425</v>
      </c>
      <c r="C28" t="s">
        <v>676</v>
      </c>
      <c r="D28">
        <v>1.53717457396889</v>
      </c>
      <c r="E28" t="s">
        <v>94</v>
      </c>
      <c r="H28" t="s">
        <v>588</v>
      </c>
      <c r="I28">
        <v>1.53717457396889</v>
      </c>
      <c r="J28">
        <v>1.0247973619913604</v>
      </c>
      <c r="N28" t="s">
        <v>1426</v>
      </c>
      <c r="O28" t="s">
        <v>1140</v>
      </c>
      <c r="Q28" t="s">
        <v>1427</v>
      </c>
    </row>
    <row r="29" spans="2:17">
      <c r="B29" t="s">
        <v>1428</v>
      </c>
      <c r="C29" t="s">
        <v>670</v>
      </c>
      <c r="D29">
        <v>3.87846805264574E-2</v>
      </c>
      <c r="E29" t="s">
        <v>94</v>
      </c>
      <c r="H29" t="s">
        <v>588</v>
      </c>
      <c r="I29">
        <v>3.87846805264574E-2</v>
      </c>
      <c r="J29">
        <v>1.0247973619913604</v>
      </c>
      <c r="N29" t="s">
        <v>1429</v>
      </c>
      <c r="O29" t="s">
        <v>1140</v>
      </c>
      <c r="Q29" t="s">
        <v>1430</v>
      </c>
    </row>
    <row r="30" spans="2:17">
      <c r="B30" t="s">
        <v>703</v>
      </c>
      <c r="C30" t="s">
        <v>673</v>
      </c>
      <c r="D30">
        <v>7.1529190405281204E-2</v>
      </c>
      <c r="E30" t="s">
        <v>94</v>
      </c>
      <c r="H30" t="s">
        <v>588</v>
      </c>
      <c r="I30">
        <v>7.1529190405281204E-2</v>
      </c>
      <c r="J30">
        <v>1.0247973619913604</v>
      </c>
      <c r="N30" t="s">
        <v>704</v>
      </c>
      <c r="O30" t="s">
        <v>4446</v>
      </c>
      <c r="Q30" t="s">
        <v>5144</v>
      </c>
    </row>
    <row r="31" spans="2:17">
      <c r="B31" t="s">
        <v>1446</v>
      </c>
      <c r="C31" t="s">
        <v>673</v>
      </c>
      <c r="D31">
        <v>4.42308343235478E-4</v>
      </c>
      <c r="E31" t="s">
        <v>94</v>
      </c>
      <c r="H31" t="s">
        <v>588</v>
      </c>
      <c r="I31">
        <v>4.42308343235478E-4</v>
      </c>
      <c r="J31">
        <v>1.0247973619913604</v>
      </c>
      <c r="N31" t="s">
        <v>1447</v>
      </c>
      <c r="O31" t="s">
        <v>1140</v>
      </c>
      <c r="Q31" t="s">
        <v>1448</v>
      </c>
    </row>
    <row r="32" spans="2:17">
      <c r="B32" t="s">
        <v>1462</v>
      </c>
      <c r="C32" t="s">
        <v>821</v>
      </c>
      <c r="D32">
        <v>5.0362171203345903E-3</v>
      </c>
      <c r="E32" t="s">
        <v>94</v>
      </c>
      <c r="H32" t="s">
        <v>588</v>
      </c>
      <c r="I32">
        <v>5.0362171203345903E-3</v>
      </c>
      <c r="J32">
        <v>1</v>
      </c>
      <c r="N32" t="s">
        <v>1463</v>
      </c>
      <c r="O32" t="s">
        <v>1157</v>
      </c>
      <c r="Q32" t="s">
        <v>1464</v>
      </c>
    </row>
    <row r="33" spans="1:17">
      <c r="B33" t="s">
        <v>865</v>
      </c>
      <c r="C33" t="s">
        <v>809</v>
      </c>
      <c r="D33">
        <v>5.21087173833966E-3</v>
      </c>
      <c r="E33" t="s">
        <v>94</v>
      </c>
      <c r="H33" t="s">
        <v>588</v>
      </c>
      <c r="I33">
        <v>5.21087173833966E-3</v>
      </c>
      <c r="J33">
        <v>1</v>
      </c>
      <c r="N33" t="s">
        <v>866</v>
      </c>
      <c r="O33" t="s">
        <v>1157</v>
      </c>
      <c r="Q33" t="s">
        <v>5145</v>
      </c>
    </row>
    <row r="34" spans="1:17">
      <c r="B34" t="s">
        <v>868</v>
      </c>
      <c r="C34" t="s">
        <v>813</v>
      </c>
      <c r="D34">
        <v>605.58193296494903</v>
      </c>
      <c r="E34" t="s">
        <v>94</v>
      </c>
      <c r="H34" t="s">
        <v>588</v>
      </c>
      <c r="I34">
        <v>605.58193296494903</v>
      </c>
      <c r="J34">
        <v>1.0247973619913604</v>
      </c>
      <c r="N34" t="s">
        <v>869</v>
      </c>
      <c r="O34" t="s">
        <v>1140</v>
      </c>
      <c r="Q34" t="s">
        <v>5186</v>
      </c>
    </row>
    <row r="35" spans="1:17">
      <c r="B35" t="s">
        <v>1478</v>
      </c>
      <c r="C35" t="s">
        <v>673</v>
      </c>
      <c r="D35">
        <v>0.97982881108463205</v>
      </c>
      <c r="E35" t="s">
        <v>94</v>
      </c>
      <c r="H35" t="s">
        <v>588</v>
      </c>
      <c r="I35">
        <v>0.97982881108463205</v>
      </c>
      <c r="J35">
        <v>1.0247973619913604</v>
      </c>
      <c r="N35" t="s">
        <v>1479</v>
      </c>
      <c r="O35" t="s">
        <v>1140</v>
      </c>
      <c r="Q35" t="s">
        <v>1480</v>
      </c>
    </row>
    <row r="36" spans="1:17">
      <c r="B36" t="s">
        <v>1484</v>
      </c>
      <c r="C36" t="s">
        <v>673</v>
      </c>
      <c r="D36">
        <v>3.2014175546463797E-2</v>
      </c>
      <c r="E36" t="s">
        <v>94</v>
      </c>
      <c r="H36" t="s">
        <v>588</v>
      </c>
      <c r="I36">
        <v>3.2014175546463797E-2</v>
      </c>
      <c r="J36">
        <v>1.0247973619913604</v>
      </c>
      <c r="N36" t="s">
        <v>1485</v>
      </c>
      <c r="O36" t="s">
        <v>1140</v>
      </c>
      <c r="Q36" t="s">
        <v>1486</v>
      </c>
    </row>
    <row r="37" spans="1:17">
      <c r="B37" t="s">
        <v>1508</v>
      </c>
      <c r="C37" t="s">
        <v>813</v>
      </c>
      <c r="D37">
        <v>9.9996648436277202E-2</v>
      </c>
      <c r="E37" t="s">
        <v>94</v>
      </c>
      <c r="H37" t="s">
        <v>588</v>
      </c>
      <c r="I37">
        <v>9.9996648436277202E-2</v>
      </c>
      <c r="J37">
        <v>1.0247973619913604</v>
      </c>
      <c r="N37" t="s">
        <v>1509</v>
      </c>
      <c r="O37" t="s">
        <v>1140</v>
      </c>
      <c r="Q37" t="s">
        <v>5187</v>
      </c>
    </row>
    <row r="38" spans="1:17">
      <c r="B38" t="s">
        <v>1512</v>
      </c>
      <c r="C38" t="s">
        <v>664</v>
      </c>
      <c r="D38">
        <v>0.53234776069322798</v>
      </c>
      <c r="E38" t="s">
        <v>94</v>
      </c>
      <c r="H38" t="s">
        <v>588</v>
      </c>
      <c r="I38">
        <v>0.53234776069322798</v>
      </c>
      <c r="J38">
        <v>1.0247973619913604</v>
      </c>
      <c r="N38" t="s">
        <v>1513</v>
      </c>
      <c r="O38" t="s">
        <v>1140</v>
      </c>
      <c r="Q38" t="s">
        <v>1514</v>
      </c>
    </row>
    <row r="39" spans="1:17">
      <c r="B39" t="s">
        <v>1523</v>
      </c>
      <c r="C39" t="s">
        <v>569</v>
      </c>
      <c r="D39">
        <v>0.330678632167064</v>
      </c>
      <c r="E39" t="s">
        <v>94</v>
      </c>
      <c r="H39" t="s">
        <v>588</v>
      </c>
      <c r="I39">
        <v>0.330678632167064</v>
      </c>
      <c r="J39">
        <v>1.0247973619913604</v>
      </c>
      <c r="N39" t="s">
        <v>1524</v>
      </c>
      <c r="O39" t="s">
        <v>1140</v>
      </c>
      <c r="Q39" t="s">
        <v>1525</v>
      </c>
    </row>
    <row r="41" spans="1:17">
      <c r="A41" s="502" t="s">
        <v>710</v>
      </c>
    </row>
    <row r="42" spans="1:17">
      <c r="A42" s="421" t="s">
        <v>570</v>
      </c>
      <c r="B42" s="421" t="s">
        <v>571</v>
      </c>
      <c r="C42" s="421" t="s">
        <v>568</v>
      </c>
      <c r="D42" s="421" t="s">
        <v>572</v>
      </c>
      <c r="E42" s="421" t="s">
        <v>573</v>
      </c>
      <c r="F42" s="421" t="s">
        <v>574</v>
      </c>
      <c r="G42" s="421" t="s">
        <v>575</v>
      </c>
      <c r="H42" s="421" t="s">
        <v>576</v>
      </c>
      <c r="I42" s="421" t="s">
        <v>577</v>
      </c>
      <c r="J42" s="421" t="s">
        <v>578</v>
      </c>
      <c r="K42" s="421" t="s">
        <v>579</v>
      </c>
      <c r="L42" s="421" t="s">
        <v>580</v>
      </c>
      <c r="M42" s="421" t="s">
        <v>581</v>
      </c>
      <c r="N42" s="421" t="s">
        <v>582</v>
      </c>
      <c r="O42" s="421" t="s">
        <v>583</v>
      </c>
      <c r="P42" s="421" t="s">
        <v>584</v>
      </c>
      <c r="Q42" s="421" t="s">
        <v>585</v>
      </c>
    </row>
    <row r="43" spans="1:17">
      <c r="B43" t="s">
        <v>1526</v>
      </c>
      <c r="C43" t="s">
        <v>667</v>
      </c>
      <c r="D43">
        <v>0.33208407687604602</v>
      </c>
      <c r="E43" t="s">
        <v>94</v>
      </c>
      <c r="F43">
        <v>-0.26765976596209312</v>
      </c>
      <c r="G43" t="s">
        <v>647</v>
      </c>
      <c r="H43" t="s">
        <v>588</v>
      </c>
      <c r="I43">
        <v>0.33208407687604602</v>
      </c>
      <c r="J43">
        <v>1.0247973619913604</v>
      </c>
      <c r="N43" t="s">
        <v>1527</v>
      </c>
      <c r="O43" t="s">
        <v>1140</v>
      </c>
      <c r="Q43" t="s">
        <v>5188</v>
      </c>
    </row>
    <row r="44" spans="1:17">
      <c r="A44" s="421" t="s">
        <v>645</v>
      </c>
      <c r="B44" s="421" t="s">
        <v>5189</v>
      </c>
      <c r="C44" s="421" t="s">
        <v>1482</v>
      </c>
      <c r="D44" s="421">
        <v>1</v>
      </c>
      <c r="E44" s="421" t="s">
        <v>94</v>
      </c>
      <c r="F44" s="421">
        <v>31.952232598789902</v>
      </c>
      <c r="G44" s="421" t="s">
        <v>647</v>
      </c>
      <c r="M44" s="421"/>
      <c r="O44" s="421"/>
      <c r="P44" s="421"/>
      <c r="Q44" s="421"/>
    </row>
    <row r="45" spans="1:17">
      <c r="B45" t="s">
        <v>973</v>
      </c>
      <c r="C45" t="s">
        <v>744</v>
      </c>
      <c r="D45">
        <v>0.124718981030813</v>
      </c>
      <c r="E45" t="s">
        <v>94</v>
      </c>
      <c r="H45" t="s">
        <v>588</v>
      </c>
      <c r="I45">
        <v>0.124718981030813</v>
      </c>
      <c r="J45">
        <v>1.0247973619913604</v>
      </c>
      <c r="N45" t="s">
        <v>974</v>
      </c>
      <c r="O45" t="s">
        <v>1140</v>
      </c>
      <c r="Q45" t="s">
        <v>1543</v>
      </c>
    </row>
    <row r="46" spans="1:17">
      <c r="B46" t="s">
        <v>743</v>
      </c>
      <c r="C46" t="s">
        <v>744</v>
      </c>
      <c r="D46">
        <v>0.54644500304709198</v>
      </c>
      <c r="E46" t="s">
        <v>94</v>
      </c>
      <c r="H46" t="s">
        <v>588</v>
      </c>
      <c r="I46">
        <v>0.54644500304709198</v>
      </c>
      <c r="J46">
        <v>1.0247973619913604</v>
      </c>
      <c r="N46" t="s">
        <v>745</v>
      </c>
      <c r="O46" t="s">
        <v>1140</v>
      </c>
      <c r="Q46" t="s">
        <v>1544</v>
      </c>
    </row>
    <row r="47" spans="1:17">
      <c r="B47" t="s">
        <v>746</v>
      </c>
      <c r="C47" t="s">
        <v>744</v>
      </c>
      <c r="D47">
        <v>9.8190784499785702E-2</v>
      </c>
      <c r="E47" t="s">
        <v>94</v>
      </c>
      <c r="H47" t="s">
        <v>588</v>
      </c>
      <c r="I47">
        <v>9.8190784499785702E-2</v>
      </c>
      <c r="J47">
        <v>1.0247973619913604</v>
      </c>
      <c r="N47" t="s">
        <v>747</v>
      </c>
      <c r="O47" t="s">
        <v>1140</v>
      </c>
      <c r="Q47" t="s">
        <v>5190</v>
      </c>
    </row>
    <row r="48" spans="1:17">
      <c r="B48" t="s">
        <v>977</v>
      </c>
      <c r="C48" t="s">
        <v>787</v>
      </c>
      <c r="D48">
        <v>5.7249582811511797</v>
      </c>
      <c r="E48" t="s">
        <v>94</v>
      </c>
      <c r="H48" t="s">
        <v>588</v>
      </c>
      <c r="I48">
        <v>5.7249582811511797</v>
      </c>
      <c r="J48">
        <v>1.0247973619913604</v>
      </c>
      <c r="N48" t="s">
        <v>978</v>
      </c>
      <c r="O48" t="s">
        <v>1140</v>
      </c>
      <c r="Q48" t="s">
        <v>1547</v>
      </c>
    </row>
    <row r="49" spans="1:17">
      <c r="B49" t="s">
        <v>260</v>
      </c>
      <c r="C49" t="s">
        <v>654</v>
      </c>
      <c r="D49">
        <v>3.2464823048460101</v>
      </c>
      <c r="E49" t="s">
        <v>94</v>
      </c>
      <c r="H49" t="s">
        <v>588</v>
      </c>
      <c r="I49">
        <v>3.2464823048460101</v>
      </c>
      <c r="J49">
        <v>1</v>
      </c>
      <c r="O49" t="s">
        <v>1157</v>
      </c>
      <c r="Q49" t="s">
        <v>1551</v>
      </c>
    </row>
    <row r="50" spans="1:17">
      <c r="B50" t="s">
        <v>1554</v>
      </c>
      <c r="C50" t="s">
        <v>887</v>
      </c>
      <c r="D50">
        <v>0.23790718815019901</v>
      </c>
      <c r="E50" t="s">
        <v>94</v>
      </c>
      <c r="H50" t="s">
        <v>588</v>
      </c>
      <c r="I50">
        <v>0.23790718815019901</v>
      </c>
      <c r="J50">
        <v>1.0247973619913604</v>
      </c>
      <c r="O50" t="s">
        <v>1140</v>
      </c>
      <c r="Q50" t="s">
        <v>1555</v>
      </c>
    </row>
    <row r="51" spans="1:17">
      <c r="B51" t="s">
        <v>983</v>
      </c>
      <c r="C51" t="s">
        <v>787</v>
      </c>
      <c r="D51">
        <v>1.23588122396299E-3</v>
      </c>
      <c r="E51" t="s">
        <v>94</v>
      </c>
      <c r="H51" t="s">
        <v>588</v>
      </c>
      <c r="I51">
        <v>1.23588122396299E-3</v>
      </c>
      <c r="J51">
        <v>1.0247973619913604</v>
      </c>
      <c r="N51" t="s">
        <v>984</v>
      </c>
      <c r="O51" t="s">
        <v>1140</v>
      </c>
      <c r="Q51" t="s">
        <v>1559</v>
      </c>
    </row>
    <row r="52" spans="1:17">
      <c r="B52" t="s">
        <v>1560</v>
      </c>
      <c r="C52" t="s">
        <v>744</v>
      </c>
      <c r="D52">
        <v>0.89516849437680401</v>
      </c>
      <c r="E52" t="s">
        <v>94</v>
      </c>
      <c r="H52" t="s">
        <v>588</v>
      </c>
      <c r="I52">
        <v>0.89516849437680401</v>
      </c>
      <c r="J52">
        <v>1.0247973619913604</v>
      </c>
      <c r="N52" t="s">
        <v>1561</v>
      </c>
      <c r="O52" t="s">
        <v>1140</v>
      </c>
      <c r="Q52" t="s">
        <v>1562</v>
      </c>
    </row>
    <row r="53" spans="1:17">
      <c r="B53" t="s">
        <v>1570</v>
      </c>
      <c r="C53" t="s">
        <v>787</v>
      </c>
      <c r="D53">
        <v>6.1794109397528003E-4</v>
      </c>
      <c r="E53" t="s">
        <v>94</v>
      </c>
      <c r="H53" t="s">
        <v>588</v>
      </c>
      <c r="I53">
        <v>6.1794109397528003E-4</v>
      </c>
      <c r="J53">
        <v>1.0247973619913604</v>
      </c>
      <c r="N53" t="s">
        <v>1571</v>
      </c>
      <c r="O53" t="s">
        <v>1140</v>
      </c>
      <c r="Q53" t="s">
        <v>1572</v>
      </c>
    </row>
    <row r="54" spans="1:17">
      <c r="B54" t="s">
        <v>1578</v>
      </c>
      <c r="C54" t="s">
        <v>650</v>
      </c>
      <c r="D54">
        <v>0.96833465616890302</v>
      </c>
      <c r="E54" t="s">
        <v>94</v>
      </c>
      <c r="H54" t="s">
        <v>588</v>
      </c>
      <c r="I54">
        <v>0.96833465616890302</v>
      </c>
      <c r="J54">
        <v>1</v>
      </c>
      <c r="N54" t="s">
        <v>1579</v>
      </c>
      <c r="O54" t="s">
        <v>1157</v>
      </c>
      <c r="Q54" t="s">
        <v>5191</v>
      </c>
    </row>
    <row r="55" spans="1:17">
      <c r="B55" t="s">
        <v>1583</v>
      </c>
      <c r="C55" t="s">
        <v>670</v>
      </c>
      <c r="D55">
        <v>3.8003358963715999E-3</v>
      </c>
      <c r="E55" t="s">
        <v>94</v>
      </c>
      <c r="H55" t="s">
        <v>588</v>
      </c>
      <c r="I55">
        <v>3.8003358963715999E-3</v>
      </c>
      <c r="J55">
        <v>1.0247973619913604</v>
      </c>
      <c r="N55" t="s">
        <v>1584</v>
      </c>
      <c r="O55" t="s">
        <v>1140</v>
      </c>
      <c r="Q55" t="s">
        <v>1585</v>
      </c>
    </row>
    <row r="56" spans="1:17">
      <c r="B56" t="s">
        <v>1609</v>
      </c>
      <c r="C56" t="s">
        <v>670</v>
      </c>
      <c r="D56">
        <v>6.9981789851203999E-2</v>
      </c>
      <c r="E56" t="s">
        <v>94</v>
      </c>
      <c r="H56" t="s">
        <v>588</v>
      </c>
      <c r="I56">
        <v>6.9981789851203999E-2</v>
      </c>
      <c r="J56">
        <v>1.0247973619913604</v>
      </c>
      <c r="N56" t="s">
        <v>1610</v>
      </c>
      <c r="O56" t="s">
        <v>1140</v>
      </c>
      <c r="Q56" t="s">
        <v>1611</v>
      </c>
    </row>
    <row r="57" spans="1:17">
      <c r="B57" t="s">
        <v>1612</v>
      </c>
      <c r="C57" t="s">
        <v>1613</v>
      </c>
      <c r="D57">
        <v>0.54299491660930399</v>
      </c>
      <c r="E57" t="s">
        <v>640</v>
      </c>
      <c r="H57" t="s">
        <v>588</v>
      </c>
      <c r="I57">
        <v>0.54299491660930399</v>
      </c>
      <c r="J57">
        <v>1.0247973619913604</v>
      </c>
      <c r="N57" t="s">
        <v>1614</v>
      </c>
      <c r="O57" t="s">
        <v>1140</v>
      </c>
      <c r="Q57" t="s">
        <v>5192</v>
      </c>
    </row>
    <row r="58" spans="1:17">
      <c r="B58" t="s">
        <v>251</v>
      </c>
      <c r="C58" t="s">
        <v>887</v>
      </c>
      <c r="D58">
        <v>6.2587016355644398E-2</v>
      </c>
      <c r="E58" t="s">
        <v>640</v>
      </c>
      <c r="H58" t="s">
        <v>588</v>
      </c>
      <c r="I58">
        <v>6.2587016355644398E-2</v>
      </c>
      <c r="J58">
        <v>1</v>
      </c>
      <c r="O58" t="s">
        <v>1157</v>
      </c>
      <c r="Q58" t="s">
        <v>1616</v>
      </c>
    </row>
    <row r="60" spans="1:17">
      <c r="A60" s="1043" t="s">
        <v>5218</v>
      </c>
      <c r="B60" s="1043"/>
      <c r="C60" s="1043"/>
      <c r="D60" s="1043"/>
      <c r="E60" s="1043"/>
    </row>
    <row r="61" spans="1:17">
      <c r="A61" s="430" t="str">
        <f>B16</f>
        <v>electricity, medium voltage</v>
      </c>
      <c r="B61" s="430">
        <f>SUMIFS($D$9:$D$22,$B$9:$B$22,A61)</f>
        <v>89.384783141033097</v>
      </c>
      <c r="C61" s="431" t="s">
        <v>598</v>
      </c>
      <c r="D61" s="433">
        <f>'FE - Aluminum'!CO46</f>
        <v>0</v>
      </c>
      <c r="E61" s="433" t="s">
        <v>5206</v>
      </c>
    </row>
    <row r="62" spans="1:17">
      <c r="A62" s="430" t="str">
        <f>B18</f>
        <v>heat, district or industrial, natural gas</v>
      </c>
      <c r="B62" s="430">
        <f>SUMIFS($D$9:$D$22,$B$9:$B$22,A62)</f>
        <v>144.10952463294899</v>
      </c>
      <c r="C62" s="431" t="s">
        <v>607</v>
      </c>
      <c r="D62" s="433">
        <f>'FE - Aluminum'!CO47</f>
        <v>0</v>
      </c>
      <c r="E62" s="433" t="s">
        <v>5288</v>
      </c>
    </row>
    <row r="64" spans="1:17">
      <c r="A64" s="5" t="s">
        <v>127</v>
      </c>
      <c r="B64" s="5">
        <f>3.6*B61+B62</f>
        <v>465.89474394066815</v>
      </c>
      <c r="C64" s="10" t="s">
        <v>607</v>
      </c>
    </row>
  </sheetData>
  <mergeCells count="1">
    <mergeCell ref="A60:E60"/>
  </mergeCells>
  <phoneticPr fontId="29" type="noConversion"/>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2D9AF-C079-4531-8B15-C46E9C5450E1}">
  <sheetPr>
    <tabColor rgb="FF0070C0"/>
  </sheetPr>
  <dimension ref="A1:Q44"/>
  <sheetViews>
    <sheetView topLeftCell="A27" workbookViewId="0">
      <selection activeCell="A53" sqref="A53"/>
    </sheetView>
  </sheetViews>
  <sheetFormatPr defaultRowHeight="14.4"/>
  <cols>
    <col min="1" max="1" width="40.77734375" bestFit="1" customWidth="1"/>
    <col min="5" max="5" width="26.6640625" bestFit="1" customWidth="1"/>
  </cols>
  <sheetData>
    <row r="1" spans="1:17">
      <c r="A1" s="421" t="s">
        <v>564</v>
      </c>
    </row>
    <row r="2" spans="1:17">
      <c r="A2" s="423" t="s">
        <v>565</v>
      </c>
      <c r="B2" t="s">
        <v>5257</v>
      </c>
    </row>
    <row r="3" spans="1:17">
      <c r="A3" s="423" t="s">
        <v>567</v>
      </c>
      <c r="B3" t="s">
        <v>3751</v>
      </c>
    </row>
    <row r="4" spans="1:17">
      <c r="A4" s="423" t="s">
        <v>568</v>
      </c>
      <c r="B4" t="s">
        <v>667</v>
      </c>
    </row>
    <row r="5" spans="1:17">
      <c r="A5" s="423" t="s">
        <v>585</v>
      </c>
      <c r="B5" t="s">
        <v>5289</v>
      </c>
    </row>
    <row r="7" spans="1:17">
      <c r="A7" s="503"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1159</v>
      </c>
      <c r="C9" t="s">
        <v>667</v>
      </c>
      <c r="D9">
        <v>1.1591578793864001E-2</v>
      </c>
      <c r="E9" t="s">
        <v>94</v>
      </c>
      <c r="H9" t="s">
        <v>588</v>
      </c>
      <c r="I9">
        <v>1.1591578793864001E-2</v>
      </c>
      <c r="J9">
        <v>1</v>
      </c>
      <c r="N9" t="s">
        <v>1160</v>
      </c>
      <c r="O9" t="s">
        <v>594</v>
      </c>
      <c r="Q9" t="s">
        <v>595</v>
      </c>
    </row>
    <row r="10" spans="1:17">
      <c r="B10" t="s">
        <v>2261</v>
      </c>
      <c r="C10" t="s">
        <v>2043</v>
      </c>
      <c r="D10">
        <v>9.6596489948866303E-5</v>
      </c>
      <c r="E10" t="s">
        <v>94</v>
      </c>
      <c r="H10" t="s">
        <v>588</v>
      </c>
      <c r="I10">
        <v>9.6596489948866303E-5</v>
      </c>
      <c r="J10">
        <v>1</v>
      </c>
      <c r="N10" t="s">
        <v>2262</v>
      </c>
      <c r="O10" t="s">
        <v>594</v>
      </c>
      <c r="Q10" t="s">
        <v>595</v>
      </c>
    </row>
    <row r="11" spans="1:17">
      <c r="B11" t="s">
        <v>596</v>
      </c>
      <c r="C11" t="s">
        <v>597</v>
      </c>
      <c r="D11">
        <v>0.52838280002029903</v>
      </c>
      <c r="E11" t="s">
        <v>598</v>
      </c>
      <c r="H11" t="s">
        <v>588</v>
      </c>
      <c r="I11">
        <v>0.52838280002029903</v>
      </c>
      <c r="J11">
        <v>1</v>
      </c>
      <c r="N11" t="s">
        <v>599</v>
      </c>
      <c r="O11" t="s">
        <v>594</v>
      </c>
      <c r="Q11" t="s">
        <v>600</v>
      </c>
    </row>
    <row r="12" spans="1:17">
      <c r="B12" t="s">
        <v>845</v>
      </c>
      <c r="C12" t="s">
        <v>597</v>
      </c>
      <c r="D12">
        <v>1.8343673441289701</v>
      </c>
      <c r="E12" t="s">
        <v>607</v>
      </c>
      <c r="H12" t="s">
        <v>588</v>
      </c>
      <c r="I12">
        <v>1.8343673441289701</v>
      </c>
      <c r="J12">
        <v>1</v>
      </c>
      <c r="N12" t="s">
        <v>1022</v>
      </c>
      <c r="O12" t="s">
        <v>594</v>
      </c>
      <c r="Q12" t="s">
        <v>595</v>
      </c>
    </row>
    <row r="13" spans="1:17">
      <c r="B13" t="s">
        <v>605</v>
      </c>
      <c r="C13" t="s">
        <v>606</v>
      </c>
      <c r="D13">
        <v>1.33061664904563E-2</v>
      </c>
      <c r="E13" t="s">
        <v>607</v>
      </c>
      <c r="H13" t="s">
        <v>588</v>
      </c>
      <c r="I13">
        <v>1.33061664904563E-2</v>
      </c>
      <c r="J13">
        <v>1</v>
      </c>
      <c r="N13" t="s">
        <v>1262</v>
      </c>
      <c r="O13" t="s">
        <v>594</v>
      </c>
      <c r="Q13" t="s">
        <v>595</v>
      </c>
    </row>
    <row r="14" spans="1:17">
      <c r="B14" t="s">
        <v>1297</v>
      </c>
      <c r="C14" t="s">
        <v>664</v>
      </c>
      <c r="D14">
        <v>3.6706666180569198E-3</v>
      </c>
      <c r="E14" t="s">
        <v>94</v>
      </c>
      <c r="H14" t="s">
        <v>588</v>
      </c>
      <c r="I14">
        <v>3.6706666180569198E-3</v>
      </c>
      <c r="J14">
        <v>1</v>
      </c>
      <c r="N14" t="s">
        <v>1298</v>
      </c>
      <c r="O14" t="s">
        <v>594</v>
      </c>
      <c r="Q14" t="s">
        <v>595</v>
      </c>
    </row>
    <row r="15" spans="1:17">
      <c r="B15" t="s">
        <v>3304</v>
      </c>
      <c r="C15" t="s">
        <v>1249</v>
      </c>
      <c r="D15">
        <v>3.86385959795465E-4</v>
      </c>
      <c r="E15" t="s">
        <v>94</v>
      </c>
      <c r="H15" t="s">
        <v>588</v>
      </c>
      <c r="I15">
        <v>3.86385959795465E-4</v>
      </c>
      <c r="J15">
        <v>1</v>
      </c>
      <c r="N15" t="s">
        <v>3305</v>
      </c>
      <c r="O15" t="s">
        <v>594</v>
      </c>
      <c r="Q15" t="s">
        <v>595</v>
      </c>
    </row>
    <row r="16" spans="1:17">
      <c r="B16" t="s">
        <v>1403</v>
      </c>
      <c r="C16" t="s">
        <v>1404</v>
      </c>
      <c r="D16">
        <v>4.5593543255864898E-9</v>
      </c>
      <c r="E16" t="s">
        <v>616</v>
      </c>
      <c r="H16" t="s">
        <v>588</v>
      </c>
      <c r="I16">
        <v>4.5593543255864898E-9</v>
      </c>
      <c r="J16">
        <v>1.8221188003905089</v>
      </c>
      <c r="N16" t="s">
        <v>3681</v>
      </c>
      <c r="O16" t="s">
        <v>2109</v>
      </c>
      <c r="Q16" t="s">
        <v>595</v>
      </c>
    </row>
    <row r="17" spans="1:17">
      <c r="B17" t="s">
        <v>1407</v>
      </c>
      <c r="C17" t="s">
        <v>1408</v>
      </c>
      <c r="D17">
        <v>1.7870350640540301E-7</v>
      </c>
      <c r="E17" t="s">
        <v>640</v>
      </c>
      <c r="H17" t="s">
        <v>588</v>
      </c>
      <c r="I17">
        <v>1.7870350640540301E-7</v>
      </c>
      <c r="J17">
        <v>1</v>
      </c>
      <c r="N17" t="s">
        <v>1409</v>
      </c>
      <c r="O17" t="s">
        <v>594</v>
      </c>
      <c r="Q17" t="s">
        <v>595</v>
      </c>
    </row>
    <row r="18" spans="1:17">
      <c r="B18" t="s">
        <v>1423</v>
      </c>
      <c r="C18" t="s">
        <v>821</v>
      </c>
      <c r="D18">
        <v>4.8298244974433202E-4</v>
      </c>
      <c r="E18" t="s">
        <v>94</v>
      </c>
      <c r="H18" t="s">
        <v>588</v>
      </c>
      <c r="I18">
        <v>4.8298244974433202E-4</v>
      </c>
      <c r="J18">
        <v>1</v>
      </c>
      <c r="N18" t="s">
        <v>3761</v>
      </c>
      <c r="O18" t="s">
        <v>594</v>
      </c>
      <c r="Q18" t="s">
        <v>595</v>
      </c>
    </row>
    <row r="19" spans="1:17">
      <c r="B19" t="s">
        <v>1465</v>
      </c>
      <c r="C19" t="s">
        <v>821</v>
      </c>
      <c r="D19">
        <v>4.8298244974433202E-4</v>
      </c>
      <c r="E19" t="s">
        <v>94</v>
      </c>
      <c r="H19" t="s">
        <v>588</v>
      </c>
      <c r="I19">
        <v>4.8298244974433202E-4</v>
      </c>
      <c r="J19">
        <v>1</v>
      </c>
      <c r="N19" t="s">
        <v>1466</v>
      </c>
      <c r="O19" t="s">
        <v>594</v>
      </c>
      <c r="Q19" t="s">
        <v>595</v>
      </c>
    </row>
    <row r="20" spans="1:17">
      <c r="B20" t="s">
        <v>4267</v>
      </c>
      <c r="C20" t="s">
        <v>639</v>
      </c>
      <c r="D20">
        <v>5.6991929069831098E-3</v>
      </c>
      <c r="E20" t="s">
        <v>640</v>
      </c>
      <c r="H20" t="s">
        <v>588</v>
      </c>
      <c r="I20">
        <v>5.6991929069831098E-3</v>
      </c>
      <c r="J20">
        <v>1.1051709180756477</v>
      </c>
      <c r="O20" t="s">
        <v>5166</v>
      </c>
      <c r="Q20" t="s">
        <v>5290</v>
      </c>
    </row>
    <row r="22" spans="1:17">
      <c r="A22" s="502" t="s">
        <v>710</v>
      </c>
    </row>
    <row r="23" spans="1:17">
      <c r="A23" s="421" t="s">
        <v>570</v>
      </c>
      <c r="B23" s="421" t="s">
        <v>571</v>
      </c>
      <c r="C23" s="421" t="s">
        <v>568</v>
      </c>
      <c r="D23" s="421" t="s">
        <v>572</v>
      </c>
      <c r="E23" s="421" t="s">
        <v>573</v>
      </c>
      <c r="F23" s="421" t="s">
        <v>574</v>
      </c>
      <c r="G23" s="421" t="s">
        <v>575</v>
      </c>
      <c r="H23" s="421" t="s">
        <v>576</v>
      </c>
      <c r="I23" s="421" t="s">
        <v>577</v>
      </c>
      <c r="J23" s="421" t="s">
        <v>578</v>
      </c>
      <c r="K23" s="421" t="s">
        <v>579</v>
      </c>
      <c r="L23" s="421" t="s">
        <v>580</v>
      </c>
      <c r="M23" s="421" t="s">
        <v>581</v>
      </c>
      <c r="N23" s="421" t="s">
        <v>582</v>
      </c>
      <c r="O23" s="421" t="s">
        <v>583</v>
      </c>
      <c r="P23" s="421" t="s">
        <v>584</v>
      </c>
      <c r="Q23" s="421" t="s">
        <v>585</v>
      </c>
    </row>
    <row r="24" spans="1:17">
      <c r="B24" t="s">
        <v>722</v>
      </c>
      <c r="C24" t="s">
        <v>712</v>
      </c>
      <c r="D24">
        <v>7.6311227059604403E-5</v>
      </c>
      <c r="E24" t="s">
        <v>94</v>
      </c>
      <c r="H24" t="s">
        <v>588</v>
      </c>
      <c r="I24">
        <v>7.6311227059604403E-5</v>
      </c>
      <c r="J24">
        <v>1.5813162494407733</v>
      </c>
      <c r="O24" t="s">
        <v>952</v>
      </c>
    </row>
    <row r="25" spans="1:17">
      <c r="B25" t="s">
        <v>734</v>
      </c>
      <c r="C25" t="s">
        <v>712</v>
      </c>
      <c r="D25">
        <v>7.6311227059604403E-5</v>
      </c>
      <c r="E25" t="s">
        <v>94</v>
      </c>
      <c r="H25" t="s">
        <v>588</v>
      </c>
      <c r="I25">
        <v>7.6311227059604403E-5</v>
      </c>
      <c r="J25">
        <v>1.2214027581601699</v>
      </c>
      <c r="O25" t="s">
        <v>594</v>
      </c>
    </row>
    <row r="26" spans="1:17">
      <c r="B26" t="s">
        <v>740</v>
      </c>
      <c r="C26" t="s">
        <v>712</v>
      </c>
      <c r="D26">
        <v>2.5115087386705202E-5</v>
      </c>
      <c r="E26" t="s">
        <v>94</v>
      </c>
      <c r="H26" t="s">
        <v>588</v>
      </c>
      <c r="I26">
        <v>2.5115087386705202E-5</v>
      </c>
      <c r="J26">
        <v>1.5813162494407733</v>
      </c>
      <c r="O26" t="s">
        <v>952</v>
      </c>
    </row>
    <row r="27" spans="1:17">
      <c r="B27" t="s">
        <v>746</v>
      </c>
      <c r="C27" t="s">
        <v>744</v>
      </c>
      <c r="D27">
        <v>4.6366315175455797E-3</v>
      </c>
      <c r="E27" t="s">
        <v>94</v>
      </c>
      <c r="H27" t="s">
        <v>588</v>
      </c>
      <c r="I27">
        <v>4.6366315175455797E-3</v>
      </c>
      <c r="J27">
        <v>1</v>
      </c>
      <c r="N27" t="s">
        <v>747</v>
      </c>
      <c r="O27" t="s">
        <v>594</v>
      </c>
      <c r="Q27" t="s">
        <v>1545</v>
      </c>
    </row>
    <row r="28" spans="1:17">
      <c r="B28" t="s">
        <v>1548</v>
      </c>
      <c r="C28" t="s">
        <v>787</v>
      </c>
      <c r="D28">
        <v>6.2787718466763096E-3</v>
      </c>
      <c r="E28" t="s">
        <v>94</v>
      </c>
      <c r="H28" t="s">
        <v>588</v>
      </c>
      <c r="I28">
        <v>6.2787718466763096E-3</v>
      </c>
      <c r="J28">
        <v>1</v>
      </c>
      <c r="N28" t="s">
        <v>4631</v>
      </c>
      <c r="O28" t="s">
        <v>594</v>
      </c>
      <c r="Q28" t="s">
        <v>979</v>
      </c>
    </row>
    <row r="29" spans="1:17">
      <c r="B29" t="s">
        <v>762</v>
      </c>
      <c r="C29" t="s">
        <v>654</v>
      </c>
      <c r="D29">
        <v>4.2502455577501198E-4</v>
      </c>
      <c r="E29" t="s">
        <v>94</v>
      </c>
      <c r="H29" t="s">
        <v>588</v>
      </c>
      <c r="I29">
        <v>4.2502455577501198E-4</v>
      </c>
      <c r="J29">
        <v>1.4139824580805163</v>
      </c>
      <c r="O29" t="s">
        <v>594</v>
      </c>
    </row>
    <row r="30" spans="1:17">
      <c r="B30" t="s">
        <v>4715</v>
      </c>
      <c r="C30" t="s">
        <v>787</v>
      </c>
      <c r="D30">
        <v>8.3225294384457593E-3</v>
      </c>
      <c r="E30" t="s">
        <v>94</v>
      </c>
      <c r="H30" t="s">
        <v>588</v>
      </c>
      <c r="I30">
        <v>8.3225294384457593E-3</v>
      </c>
      <c r="J30">
        <v>1</v>
      </c>
      <c r="N30" t="s">
        <v>4716</v>
      </c>
      <c r="O30" t="s">
        <v>834</v>
      </c>
      <c r="Q30" t="s">
        <v>979</v>
      </c>
    </row>
    <row r="31" spans="1:17">
      <c r="B31" t="s">
        <v>4715</v>
      </c>
      <c r="C31" t="s">
        <v>787</v>
      </c>
      <c r="D31">
        <v>3.9047395494198498E-4</v>
      </c>
      <c r="E31" t="s">
        <v>94</v>
      </c>
      <c r="H31" t="s">
        <v>588</v>
      </c>
      <c r="I31">
        <v>3.9047395494198498E-4</v>
      </c>
      <c r="J31">
        <v>1</v>
      </c>
      <c r="N31" t="s">
        <v>4716</v>
      </c>
      <c r="O31" t="s">
        <v>834</v>
      </c>
      <c r="Q31" t="s">
        <v>979</v>
      </c>
    </row>
    <row r="32" spans="1:17">
      <c r="A32" s="421" t="s">
        <v>645</v>
      </c>
      <c r="B32" s="421" t="s">
        <v>1419</v>
      </c>
      <c r="C32" s="421" t="s">
        <v>667</v>
      </c>
      <c r="D32" s="421">
        <v>1</v>
      </c>
      <c r="E32" s="421" t="s">
        <v>94</v>
      </c>
      <c r="F32" s="421">
        <v>0.112756219740046</v>
      </c>
      <c r="G32" s="421" t="s">
        <v>647</v>
      </c>
      <c r="M32" s="421"/>
      <c r="O32" s="421"/>
      <c r="P32" s="421"/>
      <c r="Q32" s="421" t="s">
        <v>595</v>
      </c>
    </row>
    <row r="33" spans="1:17">
      <c r="B33" t="s">
        <v>783</v>
      </c>
      <c r="C33" t="s">
        <v>712</v>
      </c>
      <c r="D33">
        <v>2.5115087386705202E-5</v>
      </c>
      <c r="E33" t="s">
        <v>94</v>
      </c>
      <c r="H33" t="s">
        <v>588</v>
      </c>
      <c r="I33">
        <v>2.5115087386705202E-5</v>
      </c>
      <c r="J33">
        <v>1.5813162494407733</v>
      </c>
      <c r="O33" t="s">
        <v>952</v>
      </c>
    </row>
    <row r="34" spans="1:17">
      <c r="B34" t="s">
        <v>1578</v>
      </c>
      <c r="C34" t="s">
        <v>650</v>
      </c>
      <c r="D34">
        <v>2.1680470479562902E-3</v>
      </c>
      <c r="E34" t="s">
        <v>94</v>
      </c>
      <c r="H34" t="s">
        <v>588</v>
      </c>
      <c r="I34">
        <v>2.1680470479562902E-3</v>
      </c>
      <c r="J34">
        <v>1</v>
      </c>
      <c r="N34" t="s">
        <v>1579</v>
      </c>
      <c r="O34" t="s">
        <v>594</v>
      </c>
      <c r="Q34" t="s">
        <v>979</v>
      </c>
    </row>
    <row r="35" spans="1:17">
      <c r="B35" t="s">
        <v>1578</v>
      </c>
      <c r="C35" t="s">
        <v>650</v>
      </c>
      <c r="D35">
        <v>5.36722208676356E-5</v>
      </c>
      <c r="E35" t="s">
        <v>94</v>
      </c>
      <c r="H35" t="s">
        <v>588</v>
      </c>
      <c r="I35">
        <v>5.36722208676356E-5</v>
      </c>
      <c r="J35">
        <v>1</v>
      </c>
      <c r="N35" t="s">
        <v>1579</v>
      </c>
      <c r="O35" t="s">
        <v>594</v>
      </c>
      <c r="Q35" t="s">
        <v>979</v>
      </c>
    </row>
    <row r="36" spans="1:17">
      <c r="B36" t="s">
        <v>251</v>
      </c>
      <c r="C36" t="s">
        <v>654</v>
      </c>
      <c r="D36">
        <v>1.1398385813966201E-3</v>
      </c>
      <c r="E36" t="s">
        <v>640</v>
      </c>
      <c r="H36" t="s">
        <v>588</v>
      </c>
      <c r="I36">
        <v>1.1398385813966201E-3</v>
      </c>
      <c r="J36">
        <v>1.2214027581601699</v>
      </c>
      <c r="O36" t="s">
        <v>834</v>
      </c>
      <c r="Q36" t="s">
        <v>835</v>
      </c>
    </row>
    <row r="37" spans="1:17">
      <c r="B37" t="s">
        <v>5103</v>
      </c>
      <c r="C37" t="s">
        <v>712</v>
      </c>
      <c r="D37">
        <v>4.5593543255864899E-3</v>
      </c>
      <c r="E37" t="s">
        <v>640</v>
      </c>
      <c r="H37" t="s">
        <v>588</v>
      </c>
      <c r="I37">
        <v>4.5593543255864899E-3</v>
      </c>
      <c r="J37">
        <v>1.2214027581601699</v>
      </c>
      <c r="O37" t="s">
        <v>834</v>
      </c>
      <c r="Q37" t="s">
        <v>835</v>
      </c>
    </row>
    <row r="39" spans="1:17">
      <c r="A39" s="1043" t="s">
        <v>5218</v>
      </c>
      <c r="B39" s="1043"/>
      <c r="C39" s="1043"/>
      <c r="D39" s="1043"/>
      <c r="E39" s="1043"/>
    </row>
    <row r="40" spans="1:17">
      <c r="A40" s="430" t="str">
        <f>B11</f>
        <v>electricity, medium voltage</v>
      </c>
      <c r="B40" s="430">
        <f>SUMIFS($D$9:$D$22,$B$9:$B$22,A40)</f>
        <v>0.52838280002029903</v>
      </c>
      <c r="C40" s="431" t="s">
        <v>598</v>
      </c>
      <c r="D40" s="433">
        <f>'FE - Aluminum'!CO16</f>
        <v>0</v>
      </c>
      <c r="E40" s="433" t="s">
        <v>5206</v>
      </c>
    </row>
    <row r="41" spans="1:17">
      <c r="A41" s="430" t="str">
        <f>B12</f>
        <v>heat, district or industrial, natural gas</v>
      </c>
      <c r="B41" s="430">
        <f>SUMIFS($D$9:$D$22,$B$9:$B$22,A41)</f>
        <v>1.8343673441289701</v>
      </c>
      <c r="C41" s="431" t="s">
        <v>607</v>
      </c>
      <c r="D41" s="433">
        <f>'FE - Aluminum'!CO17</f>
        <v>0</v>
      </c>
      <c r="E41" s="433" t="s">
        <v>5291</v>
      </c>
    </row>
    <row r="42" spans="1:17">
      <c r="A42" s="430" t="str">
        <f>B13</f>
        <v>heat, district or industrial, other than natural gas</v>
      </c>
      <c r="B42" s="430">
        <f>SUMIFS($D$9:$D$22,$B$9:$B$22,A42)</f>
        <v>1.33061664904563E-2</v>
      </c>
      <c r="C42" s="431" t="s">
        <v>607</v>
      </c>
      <c r="D42" s="433">
        <v>0</v>
      </c>
      <c r="E42" s="433" t="s">
        <v>5292</v>
      </c>
    </row>
    <row r="44" spans="1:17">
      <c r="A44" s="5" t="s">
        <v>127</v>
      </c>
      <c r="B44" s="5">
        <f>3.6*B40+B41+B42</f>
        <v>3.7498515906925025</v>
      </c>
      <c r="C44" s="10" t="s">
        <v>607</v>
      </c>
    </row>
  </sheetData>
  <mergeCells count="1">
    <mergeCell ref="A39:E3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43298-3AFE-4770-97E5-7C1E6875E2DA}">
  <sheetPr>
    <tabColor rgb="FF0070C0"/>
  </sheetPr>
  <dimension ref="A1:Q40"/>
  <sheetViews>
    <sheetView topLeftCell="A17" workbookViewId="0">
      <selection activeCell="A35" sqref="A35:E36"/>
    </sheetView>
  </sheetViews>
  <sheetFormatPr defaultRowHeight="14.4"/>
  <cols>
    <col min="1" max="1" width="40.77734375" bestFit="1" customWidth="1"/>
    <col min="5" max="5" width="26.6640625" bestFit="1" customWidth="1"/>
  </cols>
  <sheetData>
    <row r="1" spans="1:17">
      <c r="A1" s="421" t="s">
        <v>564</v>
      </c>
    </row>
    <row r="2" spans="1:17">
      <c r="A2" s="423" t="s">
        <v>565</v>
      </c>
      <c r="B2" t="s">
        <v>5259</v>
      </c>
    </row>
    <row r="3" spans="1:17">
      <c r="A3" s="423" t="s">
        <v>567</v>
      </c>
      <c r="B3" t="s">
        <v>3739</v>
      </c>
    </row>
    <row r="4" spans="1:17">
      <c r="A4" s="423" t="s">
        <v>568</v>
      </c>
      <c r="B4" t="s">
        <v>667</v>
      </c>
    </row>
    <row r="5" spans="1:17">
      <c r="A5" s="423" t="s">
        <v>585</v>
      </c>
      <c r="B5" t="s">
        <v>5293</v>
      </c>
    </row>
    <row r="7" spans="1:17">
      <c r="A7" s="503"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1159</v>
      </c>
      <c r="C9" t="s">
        <v>667</v>
      </c>
      <c r="D9">
        <v>1.2925402105515399E-2</v>
      </c>
      <c r="E9" t="s">
        <v>94</v>
      </c>
      <c r="H9" t="s">
        <v>588</v>
      </c>
      <c r="I9">
        <v>1.2925402105515399E-2</v>
      </c>
      <c r="J9">
        <v>1</v>
      </c>
      <c r="N9" t="s">
        <v>1160</v>
      </c>
      <c r="O9" t="s">
        <v>1002</v>
      </c>
      <c r="Q9" t="s">
        <v>595</v>
      </c>
    </row>
    <row r="10" spans="1:17">
      <c r="B10" t="s">
        <v>2261</v>
      </c>
      <c r="C10" t="s">
        <v>2043</v>
      </c>
      <c r="D10">
        <v>2.9827851012727701E-3</v>
      </c>
      <c r="E10" t="s">
        <v>94</v>
      </c>
      <c r="H10" t="s">
        <v>588</v>
      </c>
      <c r="I10">
        <v>2.9827851012727701E-3</v>
      </c>
      <c r="J10">
        <v>1</v>
      </c>
      <c r="N10" t="s">
        <v>2262</v>
      </c>
      <c r="O10" t="s">
        <v>1002</v>
      </c>
      <c r="Q10" t="s">
        <v>595</v>
      </c>
    </row>
    <row r="11" spans="1:17">
      <c r="B11" t="s">
        <v>596</v>
      </c>
      <c r="C11" t="s">
        <v>597</v>
      </c>
      <c r="D11">
        <v>1.1334583384836501</v>
      </c>
      <c r="E11" t="s">
        <v>598</v>
      </c>
      <c r="H11" t="s">
        <v>588</v>
      </c>
      <c r="I11">
        <v>1.1334583384836501</v>
      </c>
      <c r="J11">
        <v>1</v>
      </c>
      <c r="N11" t="s">
        <v>599</v>
      </c>
      <c r="O11" t="s">
        <v>1002</v>
      </c>
      <c r="Q11" t="s">
        <v>600</v>
      </c>
    </row>
    <row r="12" spans="1:17">
      <c r="B12" t="s">
        <v>845</v>
      </c>
      <c r="C12" t="s">
        <v>597</v>
      </c>
      <c r="D12">
        <v>2.6845065911454999</v>
      </c>
      <c r="E12" t="s">
        <v>607</v>
      </c>
      <c r="H12" t="s">
        <v>588</v>
      </c>
      <c r="I12">
        <v>2.6845065911454999</v>
      </c>
      <c r="J12">
        <v>1</v>
      </c>
      <c r="N12" t="s">
        <v>1022</v>
      </c>
      <c r="O12" t="s">
        <v>1002</v>
      </c>
      <c r="Q12" t="s">
        <v>595</v>
      </c>
    </row>
    <row r="13" spans="1:17">
      <c r="B13" t="s">
        <v>605</v>
      </c>
      <c r="C13" t="s">
        <v>606</v>
      </c>
      <c r="D13">
        <v>2.6163996646664401E-2</v>
      </c>
      <c r="E13" t="s">
        <v>607</v>
      </c>
      <c r="H13" t="s">
        <v>588</v>
      </c>
      <c r="I13">
        <v>2.6163996646664401E-2</v>
      </c>
      <c r="J13">
        <v>1</v>
      </c>
      <c r="N13" t="s">
        <v>1262</v>
      </c>
      <c r="O13" t="s">
        <v>1002</v>
      </c>
      <c r="Q13" t="s">
        <v>595</v>
      </c>
    </row>
    <row r="14" spans="1:17">
      <c r="B14" t="s">
        <v>3304</v>
      </c>
      <c r="C14" t="s">
        <v>1249</v>
      </c>
      <c r="D14">
        <v>2.08794957089094E-3</v>
      </c>
      <c r="E14" t="s">
        <v>94</v>
      </c>
      <c r="H14" t="s">
        <v>588</v>
      </c>
      <c r="I14">
        <v>2.08794957089094E-3</v>
      </c>
      <c r="J14">
        <v>1</v>
      </c>
      <c r="N14" t="s">
        <v>3305</v>
      </c>
      <c r="O14" t="s">
        <v>1002</v>
      </c>
      <c r="Q14" t="s">
        <v>595</v>
      </c>
    </row>
    <row r="15" spans="1:17">
      <c r="B15" t="s">
        <v>1403</v>
      </c>
      <c r="C15" t="s">
        <v>1404</v>
      </c>
      <c r="D15">
        <v>4.6929152260025E-9</v>
      </c>
      <c r="E15" t="s">
        <v>616</v>
      </c>
      <c r="H15" t="s">
        <v>588</v>
      </c>
      <c r="I15">
        <v>4.6929152260025E-9</v>
      </c>
      <c r="J15">
        <v>1.8221188003905089</v>
      </c>
      <c r="N15" t="s">
        <v>3681</v>
      </c>
      <c r="O15" t="s">
        <v>2109</v>
      </c>
      <c r="Q15" t="s">
        <v>595</v>
      </c>
    </row>
    <row r="16" spans="1:17">
      <c r="B16" t="s">
        <v>1407</v>
      </c>
      <c r="C16" t="s">
        <v>1408</v>
      </c>
      <c r="D16">
        <v>5.1602182252019003E-5</v>
      </c>
      <c r="E16" t="s">
        <v>640</v>
      </c>
      <c r="H16" t="s">
        <v>588</v>
      </c>
      <c r="I16">
        <v>5.1602182252019003E-5</v>
      </c>
      <c r="J16">
        <v>1</v>
      </c>
      <c r="N16" t="s">
        <v>1409</v>
      </c>
      <c r="O16" t="s">
        <v>1002</v>
      </c>
      <c r="Q16" t="s">
        <v>595</v>
      </c>
    </row>
    <row r="17" spans="1:17">
      <c r="B17" t="s">
        <v>1423</v>
      </c>
      <c r="C17" t="s">
        <v>821</v>
      </c>
      <c r="D17">
        <v>8.9483553038183195E-4</v>
      </c>
      <c r="E17" t="s">
        <v>94</v>
      </c>
      <c r="H17" t="s">
        <v>588</v>
      </c>
      <c r="I17">
        <v>8.9483553038183195E-4</v>
      </c>
      <c r="J17">
        <v>1</v>
      </c>
      <c r="N17" t="s">
        <v>3761</v>
      </c>
      <c r="O17" t="s">
        <v>1002</v>
      </c>
      <c r="Q17" t="s">
        <v>595</v>
      </c>
    </row>
    <row r="18" spans="1:17">
      <c r="B18" t="s">
        <v>928</v>
      </c>
      <c r="C18" t="s">
        <v>673</v>
      </c>
      <c r="D18">
        <v>2.7839327611879201E-2</v>
      </c>
      <c r="E18" t="s">
        <v>94</v>
      </c>
      <c r="H18" t="s">
        <v>588</v>
      </c>
      <c r="I18">
        <v>2.7839327611879201E-2</v>
      </c>
      <c r="J18">
        <v>1</v>
      </c>
      <c r="N18" t="s">
        <v>929</v>
      </c>
      <c r="O18" t="s">
        <v>1002</v>
      </c>
      <c r="Q18" t="s">
        <v>595</v>
      </c>
    </row>
    <row r="19" spans="1:17">
      <c r="B19" t="s">
        <v>1465</v>
      </c>
      <c r="C19" t="s">
        <v>821</v>
      </c>
      <c r="D19">
        <v>8.9483553038183195E-4</v>
      </c>
      <c r="E19" t="s">
        <v>94</v>
      </c>
      <c r="H19" t="s">
        <v>588</v>
      </c>
      <c r="I19">
        <v>8.9483553038183195E-4</v>
      </c>
      <c r="J19">
        <v>1</v>
      </c>
      <c r="N19" t="s">
        <v>1466</v>
      </c>
      <c r="O19" t="s">
        <v>1002</v>
      </c>
      <c r="Q19" t="s">
        <v>595</v>
      </c>
    </row>
    <row r="20" spans="1:17">
      <c r="B20" t="s">
        <v>4251</v>
      </c>
      <c r="C20" t="s">
        <v>639</v>
      </c>
      <c r="D20">
        <v>1.6902448907212399E-2</v>
      </c>
      <c r="E20" t="s">
        <v>640</v>
      </c>
      <c r="H20" t="s">
        <v>588</v>
      </c>
      <c r="I20">
        <v>1.6902448907212399E-2</v>
      </c>
      <c r="J20">
        <v>1</v>
      </c>
      <c r="O20" t="s">
        <v>1002</v>
      </c>
    </row>
    <row r="22" spans="1:17">
      <c r="A22" s="502" t="s">
        <v>710</v>
      </c>
    </row>
    <row r="23" spans="1:17">
      <c r="A23" s="421" t="s">
        <v>570</v>
      </c>
      <c r="B23" s="421" t="s">
        <v>571</v>
      </c>
      <c r="C23" s="421" t="s">
        <v>568</v>
      </c>
      <c r="D23" s="421" t="s">
        <v>572</v>
      </c>
      <c r="E23" s="421" t="s">
        <v>573</v>
      </c>
      <c r="F23" s="421" t="s">
        <v>574</v>
      </c>
      <c r="G23" s="421" t="s">
        <v>575</v>
      </c>
      <c r="H23" s="421" t="s">
        <v>576</v>
      </c>
      <c r="I23" s="421" t="s">
        <v>577</v>
      </c>
      <c r="J23" s="421" t="s">
        <v>578</v>
      </c>
      <c r="K23" s="421" t="s">
        <v>579</v>
      </c>
      <c r="L23" s="421" t="s">
        <v>580</v>
      </c>
      <c r="M23" s="421" t="s">
        <v>581</v>
      </c>
      <c r="N23" s="421" t="s">
        <v>582</v>
      </c>
      <c r="O23" s="421" t="s">
        <v>583</v>
      </c>
      <c r="P23" s="421" t="s">
        <v>584</v>
      </c>
      <c r="Q23" s="421" t="s">
        <v>585</v>
      </c>
    </row>
    <row r="24" spans="1:17">
      <c r="B24" t="s">
        <v>1085</v>
      </c>
      <c r="C24" t="s">
        <v>744</v>
      </c>
      <c r="D24">
        <v>2.01835125186124E-2</v>
      </c>
      <c r="E24" t="s">
        <v>94</v>
      </c>
      <c r="H24" t="s">
        <v>588</v>
      </c>
      <c r="I24">
        <v>2.01835125186124E-2</v>
      </c>
      <c r="J24">
        <v>1</v>
      </c>
      <c r="N24" t="s">
        <v>1086</v>
      </c>
      <c r="O24" t="s">
        <v>1002</v>
      </c>
      <c r="Q24" t="s">
        <v>979</v>
      </c>
    </row>
    <row r="25" spans="1:17">
      <c r="B25" t="s">
        <v>746</v>
      </c>
      <c r="C25" t="s">
        <v>744</v>
      </c>
      <c r="D25">
        <v>1.59081872067881E-3</v>
      </c>
      <c r="E25" t="s">
        <v>94</v>
      </c>
      <c r="H25" t="s">
        <v>588</v>
      </c>
      <c r="I25">
        <v>1.59081872067881E-3</v>
      </c>
      <c r="J25">
        <v>1</v>
      </c>
      <c r="N25" t="s">
        <v>747</v>
      </c>
      <c r="O25" t="s">
        <v>1002</v>
      </c>
      <c r="Q25" t="s">
        <v>1545</v>
      </c>
    </row>
    <row r="26" spans="1:17">
      <c r="B26" t="s">
        <v>1548</v>
      </c>
      <c r="C26" t="s">
        <v>787</v>
      </c>
      <c r="D26">
        <v>2.2172035919461E-2</v>
      </c>
      <c r="E26" t="s">
        <v>94</v>
      </c>
      <c r="H26" t="s">
        <v>588</v>
      </c>
      <c r="I26">
        <v>2.2172035919461E-2</v>
      </c>
      <c r="J26">
        <v>1</v>
      </c>
      <c r="N26" t="s">
        <v>4631</v>
      </c>
      <c r="O26" t="s">
        <v>1002</v>
      </c>
      <c r="Q26" t="s">
        <v>979</v>
      </c>
    </row>
    <row r="27" spans="1:17">
      <c r="B27" t="s">
        <v>4715</v>
      </c>
      <c r="C27" t="s">
        <v>787</v>
      </c>
      <c r="D27">
        <v>9.1741385297083704E-4</v>
      </c>
      <c r="E27" t="s">
        <v>94</v>
      </c>
      <c r="H27" t="s">
        <v>588</v>
      </c>
      <c r="I27">
        <v>9.1741385297083704E-4</v>
      </c>
      <c r="J27">
        <v>1</v>
      </c>
      <c r="N27" t="s">
        <v>4716</v>
      </c>
      <c r="O27" t="s">
        <v>834</v>
      </c>
      <c r="Q27" t="s">
        <v>979</v>
      </c>
    </row>
    <row r="28" spans="1:17">
      <c r="B28" t="s">
        <v>4715</v>
      </c>
      <c r="C28" t="s">
        <v>787</v>
      </c>
      <c r="D28">
        <v>4.3042949638996602E-5</v>
      </c>
      <c r="E28" t="s">
        <v>94</v>
      </c>
      <c r="H28" t="s">
        <v>588</v>
      </c>
      <c r="I28">
        <v>4.3042949638996602E-5</v>
      </c>
      <c r="J28">
        <v>1</v>
      </c>
      <c r="N28" t="s">
        <v>4716</v>
      </c>
      <c r="O28" t="s">
        <v>834</v>
      </c>
      <c r="Q28" t="s">
        <v>979</v>
      </c>
    </row>
    <row r="29" spans="1:17">
      <c r="A29" s="421" t="s">
        <v>645</v>
      </c>
      <c r="B29" s="421" t="s">
        <v>1411</v>
      </c>
      <c r="C29" s="421" t="s">
        <v>667</v>
      </c>
      <c r="D29" s="421">
        <v>1</v>
      </c>
      <c r="E29" s="421" t="s">
        <v>94</v>
      </c>
      <c r="F29" s="421">
        <v>0.108</v>
      </c>
      <c r="G29" s="421" t="s">
        <v>647</v>
      </c>
      <c r="M29" s="421"/>
      <c r="O29" s="421"/>
      <c r="P29" s="421"/>
      <c r="Q29" s="421" t="s">
        <v>595</v>
      </c>
    </row>
    <row r="30" spans="1:17">
      <c r="B30" t="s">
        <v>1578</v>
      </c>
      <c r="C30" t="s">
        <v>650</v>
      </c>
      <c r="D30">
        <v>1.64941201036223E-3</v>
      </c>
      <c r="E30" t="s">
        <v>94</v>
      </c>
      <c r="H30" t="s">
        <v>588</v>
      </c>
      <c r="I30">
        <v>1.64941201036223E-3</v>
      </c>
      <c r="J30">
        <v>1</v>
      </c>
      <c r="N30" t="s">
        <v>1579</v>
      </c>
      <c r="O30" t="s">
        <v>1002</v>
      </c>
      <c r="Q30" t="s">
        <v>979</v>
      </c>
    </row>
    <row r="31" spans="1:17">
      <c r="B31" t="s">
        <v>1578</v>
      </c>
      <c r="C31" t="s">
        <v>650</v>
      </c>
      <c r="D31">
        <v>4.0832880359004803E-5</v>
      </c>
      <c r="E31" t="s">
        <v>94</v>
      </c>
      <c r="H31" t="s">
        <v>588</v>
      </c>
      <c r="I31">
        <v>4.0832880359004803E-5</v>
      </c>
      <c r="J31">
        <v>1</v>
      </c>
      <c r="N31" t="s">
        <v>1579</v>
      </c>
      <c r="O31" t="s">
        <v>1002</v>
      </c>
      <c r="Q31" t="s">
        <v>979</v>
      </c>
    </row>
    <row r="32" spans="1:17">
      <c r="B32" t="s">
        <v>251</v>
      </c>
      <c r="C32" t="s">
        <v>654</v>
      </c>
      <c r="D32">
        <v>6.5496989515448001E-3</v>
      </c>
      <c r="E32" t="s">
        <v>640</v>
      </c>
      <c r="H32" t="s">
        <v>588</v>
      </c>
      <c r="I32">
        <v>6.5496989515448001E-3</v>
      </c>
      <c r="J32">
        <v>1.2214027581601699</v>
      </c>
      <c r="O32" t="s">
        <v>834</v>
      </c>
      <c r="Q32" t="s">
        <v>835</v>
      </c>
    </row>
    <row r="33" spans="1:17">
      <c r="B33" t="s">
        <v>5103</v>
      </c>
      <c r="C33" t="s">
        <v>712</v>
      </c>
      <c r="D33">
        <v>1.03527499556676E-2</v>
      </c>
      <c r="E33" t="s">
        <v>640</v>
      </c>
      <c r="H33" t="s">
        <v>588</v>
      </c>
      <c r="I33">
        <v>1.03527499556676E-2</v>
      </c>
      <c r="J33">
        <v>1.2214027581601699</v>
      </c>
      <c r="O33" t="s">
        <v>834</v>
      </c>
      <c r="Q33" t="s">
        <v>835</v>
      </c>
    </row>
    <row r="35" spans="1:17">
      <c r="A35" s="1043" t="s">
        <v>5218</v>
      </c>
      <c r="B35" s="1043"/>
      <c r="C35" s="1043"/>
      <c r="D35" s="1043"/>
      <c r="E35" s="1043"/>
    </row>
    <row r="36" spans="1:17">
      <c r="A36" s="430" t="str">
        <f>B11</f>
        <v>electricity, medium voltage</v>
      </c>
      <c r="B36" s="430">
        <f>SUMIFS($D$9:$D$22,$B$9:$B$22,A36)</f>
        <v>1.1334583384836501</v>
      </c>
      <c r="C36" s="431" t="s">
        <v>598</v>
      </c>
      <c r="D36" s="433">
        <f>'FE - Aluminum'!CO14</f>
        <v>0</v>
      </c>
      <c r="E36" s="433" t="s">
        <v>5206</v>
      </c>
    </row>
    <row r="37" spans="1:17">
      <c r="A37" s="430" t="str">
        <f t="shared" ref="A37:A38" si="0">B12</f>
        <v>heat, district or industrial, natural gas</v>
      </c>
      <c r="B37" s="430">
        <f>SUMIFS($D$9:$D$22,$B$9:$B$22,A37)</f>
        <v>2.6845065911454999</v>
      </c>
      <c r="C37" s="431" t="s">
        <v>607</v>
      </c>
      <c r="D37" s="433" t="e">
        <f>'FE - Aluminum'!#REF!</f>
        <v>#REF!</v>
      </c>
      <c r="E37" s="433" t="s">
        <v>5291</v>
      </c>
    </row>
    <row r="38" spans="1:17">
      <c r="A38" s="430" t="str">
        <f t="shared" si="0"/>
        <v>heat, district or industrial, other than natural gas</v>
      </c>
      <c r="B38" s="430">
        <f>SUMIFS($D$9:$D$22,$B$9:$B$22,A38)</f>
        <v>2.6163996646664401E-2</v>
      </c>
      <c r="C38" s="431" t="s">
        <v>607</v>
      </c>
      <c r="D38" s="433">
        <v>0</v>
      </c>
      <c r="E38" s="433" t="s">
        <v>5292</v>
      </c>
    </row>
    <row r="40" spans="1:17">
      <c r="A40" s="5" t="s">
        <v>127</v>
      </c>
      <c r="B40" s="5">
        <f>3.6*B36+B37+B38</f>
        <v>6.7911206063333047</v>
      </c>
      <c r="C40" s="10" t="s">
        <v>607</v>
      </c>
    </row>
  </sheetData>
  <mergeCells count="1">
    <mergeCell ref="A35:E35"/>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95C15-EC79-4FF4-94FA-B07B1EB3372E}">
  <sheetPr>
    <tabColor rgb="FF0070C0"/>
  </sheetPr>
  <dimension ref="A1:Q18"/>
  <sheetViews>
    <sheetView workbookViewId="0">
      <selection activeCell="B17" sqref="B17"/>
    </sheetView>
  </sheetViews>
  <sheetFormatPr defaultRowHeight="14.4"/>
  <cols>
    <col min="1" max="1" width="19.5546875" bestFit="1" customWidth="1"/>
    <col min="5" max="5" width="10.5546875" bestFit="1" customWidth="1"/>
  </cols>
  <sheetData>
    <row r="1" spans="1:17">
      <c r="A1" s="421" t="s">
        <v>564</v>
      </c>
    </row>
    <row r="2" spans="1:17">
      <c r="A2" s="423" t="s">
        <v>565</v>
      </c>
      <c r="B2" t="s">
        <v>5294</v>
      </c>
    </row>
    <row r="3" spans="1:17">
      <c r="A3" s="423" t="s">
        <v>567</v>
      </c>
      <c r="B3" t="s">
        <v>5295</v>
      </c>
    </row>
    <row r="4" spans="1:17">
      <c r="A4" s="423" t="s">
        <v>568</v>
      </c>
      <c r="B4" t="s">
        <v>5296</v>
      </c>
    </row>
    <row r="5" spans="1:17">
      <c r="A5" s="423" t="s">
        <v>585</v>
      </c>
      <c r="B5" t="s">
        <v>5297</v>
      </c>
    </row>
    <row r="7" spans="1:17">
      <c r="A7" s="502"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839</v>
      </c>
      <c r="C9" t="s">
        <v>597</v>
      </c>
      <c r="D9">
        <v>0.52700000000000002</v>
      </c>
      <c r="E9" t="s">
        <v>598</v>
      </c>
      <c r="H9" t="s">
        <v>588</v>
      </c>
      <c r="I9">
        <v>0.52700000000000002</v>
      </c>
      <c r="J9">
        <v>1.2214027581601699</v>
      </c>
      <c r="N9" t="s">
        <v>840</v>
      </c>
      <c r="O9" t="s">
        <v>1054</v>
      </c>
      <c r="Q9" t="s">
        <v>600</v>
      </c>
    </row>
    <row r="11" spans="1:17">
      <c r="A11" s="502" t="s">
        <v>710</v>
      </c>
    </row>
    <row r="12" spans="1:17">
      <c r="A12" s="421" t="s">
        <v>570</v>
      </c>
      <c r="B12" s="421" t="s">
        <v>571</v>
      </c>
      <c r="C12" s="421" t="s">
        <v>568</v>
      </c>
      <c r="D12" s="421" t="s">
        <v>572</v>
      </c>
      <c r="E12" s="421" t="s">
        <v>573</v>
      </c>
      <c r="F12" s="421" t="s">
        <v>574</v>
      </c>
      <c r="G12" s="421" t="s">
        <v>575</v>
      </c>
      <c r="H12" s="421" t="s">
        <v>576</v>
      </c>
      <c r="I12" s="421" t="s">
        <v>577</v>
      </c>
      <c r="J12" s="421" t="s">
        <v>578</v>
      </c>
      <c r="K12" s="421" t="s">
        <v>579</v>
      </c>
      <c r="L12" s="421" t="s">
        <v>580</v>
      </c>
      <c r="M12" s="421" t="s">
        <v>581</v>
      </c>
      <c r="N12" s="421" t="s">
        <v>582</v>
      </c>
      <c r="O12" s="421" t="s">
        <v>583</v>
      </c>
      <c r="P12" s="421" t="s">
        <v>584</v>
      </c>
      <c r="Q12" s="421" t="s">
        <v>585</v>
      </c>
    </row>
    <row r="13" spans="1:17">
      <c r="A13" s="421" t="s">
        <v>645</v>
      </c>
      <c r="B13" s="421" t="s">
        <v>5298</v>
      </c>
      <c r="C13" s="421" t="s">
        <v>5296</v>
      </c>
      <c r="D13" s="421">
        <v>1</v>
      </c>
      <c r="E13" s="421" t="s">
        <v>94</v>
      </c>
      <c r="F13" s="421">
        <v>5.6389000000000002E-2</v>
      </c>
      <c r="G13" s="421" t="s">
        <v>647</v>
      </c>
      <c r="M13" s="421"/>
      <c r="O13" s="421"/>
      <c r="P13" s="421"/>
      <c r="Q13" s="421" t="s">
        <v>595</v>
      </c>
    </row>
    <row r="15" spans="1:17">
      <c r="A15" s="1043" t="s">
        <v>5218</v>
      </c>
      <c r="B15" s="1043"/>
      <c r="C15" s="1043"/>
      <c r="D15" s="1043"/>
      <c r="E15" s="1043"/>
    </row>
    <row r="16" spans="1:17">
      <c r="A16" s="430" t="str">
        <f>B9</f>
        <v>electricity, low voltage</v>
      </c>
      <c r="B16" s="430">
        <f>SUMIFS($D$9,$B$9,A16)</f>
        <v>0.52700000000000002</v>
      </c>
      <c r="C16" s="431" t="s">
        <v>598</v>
      </c>
      <c r="D16" s="433">
        <v>0</v>
      </c>
      <c r="E16" s="433" t="s">
        <v>5206</v>
      </c>
    </row>
    <row r="18" spans="1:3">
      <c r="A18" s="5" t="s">
        <v>127</v>
      </c>
      <c r="B18" s="5">
        <f>3.6*B16</f>
        <v>1.8972000000000002</v>
      </c>
      <c r="C18" s="10" t="s">
        <v>607</v>
      </c>
    </row>
  </sheetData>
  <mergeCells count="1">
    <mergeCell ref="A15:E15"/>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B4A0B-6641-4FAC-8664-03A27B44518B}">
  <sheetPr>
    <tabColor rgb="FF0070C0"/>
  </sheetPr>
  <dimension ref="A1:Q27"/>
  <sheetViews>
    <sheetView topLeftCell="A4" workbookViewId="0">
      <selection activeCell="A24" sqref="A24:E27"/>
    </sheetView>
  </sheetViews>
  <sheetFormatPr defaultRowHeight="14.4"/>
  <cols>
    <col min="1" max="1" width="19.5546875" bestFit="1" customWidth="1"/>
    <col min="5" max="5" width="10.5546875" bestFit="1" customWidth="1"/>
  </cols>
  <sheetData>
    <row r="1" spans="1:17">
      <c r="A1" s="421" t="s">
        <v>564</v>
      </c>
    </row>
    <row r="2" spans="1:17">
      <c r="A2" s="423" t="s">
        <v>565</v>
      </c>
      <c r="B2" t="s">
        <v>5153</v>
      </c>
    </row>
    <row r="3" spans="1:17">
      <c r="A3" s="423" t="s">
        <v>567</v>
      </c>
      <c r="B3" t="s">
        <v>5154</v>
      </c>
    </row>
    <row r="4" spans="1:17">
      <c r="A4" s="423" t="s">
        <v>568</v>
      </c>
      <c r="B4" t="s">
        <v>1417</v>
      </c>
    </row>
    <row r="5" spans="1:17">
      <c r="A5" s="423" t="s">
        <v>585</v>
      </c>
      <c r="B5" t="s">
        <v>5155</v>
      </c>
    </row>
    <row r="7" spans="1:17">
      <c r="A7" s="423"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1109</v>
      </c>
      <c r="C9" t="s">
        <v>667</v>
      </c>
      <c r="D9">
        <v>0.31990000209541503</v>
      </c>
      <c r="E9" t="s">
        <v>94</v>
      </c>
      <c r="H9" t="s">
        <v>588</v>
      </c>
      <c r="I9">
        <v>0.31990000209541503</v>
      </c>
      <c r="J9">
        <v>1</v>
      </c>
      <c r="N9" t="s">
        <v>1107</v>
      </c>
      <c r="O9" t="s">
        <v>798</v>
      </c>
      <c r="Q9" t="s">
        <v>5156</v>
      </c>
    </row>
    <row r="10" spans="1:17">
      <c r="B10" t="s">
        <v>1159</v>
      </c>
      <c r="C10" t="s">
        <v>667</v>
      </c>
      <c r="D10">
        <v>0.67978750445275704</v>
      </c>
      <c r="E10" t="s">
        <v>94</v>
      </c>
      <c r="H10" t="s">
        <v>588</v>
      </c>
      <c r="I10">
        <v>0.67978750445275704</v>
      </c>
      <c r="J10">
        <v>1</v>
      </c>
      <c r="N10" t="s">
        <v>1160</v>
      </c>
      <c r="O10" t="s">
        <v>798</v>
      </c>
      <c r="Q10" t="s">
        <v>5156</v>
      </c>
    </row>
    <row r="11" spans="1:17">
      <c r="B11" t="s">
        <v>5148</v>
      </c>
      <c r="C11" t="s">
        <v>673</v>
      </c>
      <c r="D11">
        <v>1.2796000083816601</v>
      </c>
      <c r="E11" t="s">
        <v>640</v>
      </c>
      <c r="H11" t="s">
        <v>588</v>
      </c>
      <c r="I11">
        <v>1.2796000083816601</v>
      </c>
      <c r="J11">
        <v>1.1891099436471448</v>
      </c>
      <c r="N11" t="s">
        <v>5149</v>
      </c>
      <c r="O11" t="s">
        <v>2440</v>
      </c>
      <c r="Q11" t="s">
        <v>5157</v>
      </c>
    </row>
    <row r="12" spans="1:17">
      <c r="B12" t="s">
        <v>839</v>
      </c>
      <c r="C12" t="s">
        <v>597</v>
      </c>
      <c r="D12">
        <v>0.228928438999532</v>
      </c>
      <c r="E12" t="s">
        <v>598</v>
      </c>
      <c r="H12" t="s">
        <v>588</v>
      </c>
      <c r="I12">
        <v>0.228928438999532</v>
      </c>
      <c r="J12">
        <v>1.1051709180756477</v>
      </c>
      <c r="N12" t="s">
        <v>840</v>
      </c>
      <c r="O12" t="s">
        <v>5158</v>
      </c>
      <c r="Q12" t="s">
        <v>600</v>
      </c>
    </row>
    <row r="13" spans="1:17">
      <c r="B13" t="s">
        <v>2469</v>
      </c>
      <c r="C13" t="s">
        <v>1305</v>
      </c>
      <c r="D13">
        <v>4.4086219038774397</v>
      </c>
      <c r="E13" t="s">
        <v>94</v>
      </c>
      <c r="H13" t="s">
        <v>588</v>
      </c>
      <c r="I13">
        <v>4.4086219038774397</v>
      </c>
      <c r="J13">
        <v>1.1891099436471448</v>
      </c>
      <c r="N13" t="s">
        <v>2470</v>
      </c>
      <c r="O13" t="s">
        <v>2440</v>
      </c>
      <c r="Q13" t="s">
        <v>595</v>
      </c>
    </row>
    <row r="14" spans="1:17">
      <c r="B14" t="s">
        <v>1297</v>
      </c>
      <c r="C14" t="s">
        <v>664</v>
      </c>
      <c r="D14">
        <v>3.8188062750140199E-3</v>
      </c>
      <c r="E14" t="s">
        <v>94</v>
      </c>
      <c r="H14" t="s">
        <v>588</v>
      </c>
      <c r="I14">
        <v>3.8188062750140199E-3</v>
      </c>
      <c r="J14">
        <v>1.1891099436471448</v>
      </c>
      <c r="N14" t="s">
        <v>1298</v>
      </c>
      <c r="O14" t="s">
        <v>2440</v>
      </c>
      <c r="Q14" t="s">
        <v>5157</v>
      </c>
    </row>
    <row r="15" spans="1:17">
      <c r="B15" t="s">
        <v>3079</v>
      </c>
      <c r="C15" t="s">
        <v>857</v>
      </c>
      <c r="D15">
        <v>2.0193687632273102E-9</v>
      </c>
      <c r="E15" t="s">
        <v>616</v>
      </c>
      <c r="H15" t="s">
        <v>588</v>
      </c>
      <c r="I15">
        <v>2.0193687632273102E-9</v>
      </c>
      <c r="J15">
        <v>1.7761645008867977</v>
      </c>
      <c r="N15" t="s">
        <v>3082</v>
      </c>
      <c r="O15" t="s">
        <v>2440</v>
      </c>
      <c r="Q15" t="s">
        <v>595</v>
      </c>
    </row>
    <row r="16" spans="1:17">
      <c r="B16" t="s">
        <v>5150</v>
      </c>
      <c r="C16" t="s">
        <v>5151</v>
      </c>
      <c r="D16">
        <v>3.9487656508652803E-5</v>
      </c>
      <c r="E16" t="s">
        <v>94</v>
      </c>
      <c r="H16" t="s">
        <v>588</v>
      </c>
      <c r="I16">
        <v>3.9487656508652803E-5</v>
      </c>
      <c r="J16">
        <v>1.7761645008867977</v>
      </c>
      <c r="N16" t="s">
        <v>5152</v>
      </c>
      <c r="O16" t="s">
        <v>2440</v>
      </c>
      <c r="Q16" t="s">
        <v>595</v>
      </c>
    </row>
    <row r="18" spans="1:17">
      <c r="A18" t="s">
        <v>710</v>
      </c>
    </row>
    <row r="19" spans="1:17">
      <c r="A19" s="421" t="s">
        <v>570</v>
      </c>
      <c r="B19" s="421" t="s">
        <v>571</v>
      </c>
      <c r="C19" s="421" t="s">
        <v>568</v>
      </c>
      <c r="D19" s="421" t="s">
        <v>572</v>
      </c>
      <c r="E19" s="421" t="s">
        <v>573</v>
      </c>
      <c r="F19" s="421" t="s">
        <v>574</v>
      </c>
      <c r="G19" s="421" t="s">
        <v>575</v>
      </c>
      <c r="H19" s="421" t="s">
        <v>576</v>
      </c>
      <c r="I19" s="421" t="s">
        <v>577</v>
      </c>
      <c r="J19" s="421" t="s">
        <v>578</v>
      </c>
      <c r="K19" s="421" t="s">
        <v>579</v>
      </c>
      <c r="L19" s="421" t="s">
        <v>580</v>
      </c>
      <c r="M19" s="421" t="s">
        <v>581</v>
      </c>
      <c r="N19" s="421" t="s">
        <v>582</v>
      </c>
      <c r="O19" s="421" t="s">
        <v>583</v>
      </c>
      <c r="P19" s="421" t="s">
        <v>584</v>
      </c>
      <c r="Q19" s="421" t="s">
        <v>585</v>
      </c>
    </row>
    <row r="20" spans="1:17">
      <c r="A20" s="421" t="s">
        <v>645</v>
      </c>
      <c r="B20" s="421" t="s">
        <v>5159</v>
      </c>
      <c r="C20" s="421" t="s">
        <v>1417</v>
      </c>
      <c r="D20" s="421">
        <v>1</v>
      </c>
      <c r="E20" s="421" t="s">
        <v>94</v>
      </c>
      <c r="F20" s="421">
        <v>1.66311293606455</v>
      </c>
      <c r="G20" s="421" t="s">
        <v>647</v>
      </c>
      <c r="M20" s="421"/>
      <c r="O20" s="421"/>
      <c r="P20" s="421"/>
      <c r="Q20" s="421" t="s">
        <v>595</v>
      </c>
    </row>
    <row r="21" spans="1:17">
      <c r="B21" t="s">
        <v>1578</v>
      </c>
      <c r="C21" t="s">
        <v>650</v>
      </c>
      <c r="D21">
        <v>3.72655167889137E-3</v>
      </c>
      <c r="E21" t="s">
        <v>94</v>
      </c>
      <c r="H21" t="s">
        <v>588</v>
      </c>
      <c r="I21">
        <v>3.72655167889137E-3</v>
      </c>
      <c r="J21">
        <v>1.1891099436471448</v>
      </c>
      <c r="N21" t="s">
        <v>1579</v>
      </c>
      <c r="O21" t="s">
        <v>2440</v>
      </c>
      <c r="Q21" t="s">
        <v>979</v>
      </c>
    </row>
    <row r="22" spans="1:17">
      <c r="B22" t="s">
        <v>1578</v>
      </c>
      <c r="C22" t="s">
        <v>650</v>
      </c>
      <c r="D22">
        <v>9.2254596122652002E-5</v>
      </c>
      <c r="E22" t="s">
        <v>94</v>
      </c>
      <c r="H22" t="s">
        <v>588</v>
      </c>
      <c r="I22">
        <v>9.2254596122652002E-5</v>
      </c>
      <c r="J22">
        <v>1.1891099436471448</v>
      </c>
      <c r="N22" t="s">
        <v>1579</v>
      </c>
      <c r="O22" t="s">
        <v>2440</v>
      </c>
      <c r="Q22" t="s">
        <v>979</v>
      </c>
    </row>
    <row r="24" spans="1:17">
      <c r="A24" s="1043" t="s">
        <v>5218</v>
      </c>
      <c r="B24" s="1043"/>
      <c r="C24" s="1043"/>
      <c r="D24" s="1043"/>
      <c r="E24" s="1043"/>
    </row>
    <row r="25" spans="1:17">
      <c r="A25" s="430" t="str">
        <f>B12</f>
        <v>electricity, low voltage</v>
      </c>
      <c r="B25" s="430">
        <f>SUMIFS($D$9:$D$22,$B$9:$B$22,A25)</f>
        <v>0.228928438999532</v>
      </c>
      <c r="C25" s="431" t="s">
        <v>598</v>
      </c>
      <c r="D25" s="433">
        <v>0</v>
      </c>
      <c r="E25" s="433" t="s">
        <v>5206</v>
      </c>
    </row>
    <row r="27" spans="1:17">
      <c r="A27" s="5" t="s">
        <v>127</v>
      </c>
      <c r="B27" s="5">
        <f>3.6*B25</f>
        <v>0.82414238039831522</v>
      </c>
      <c r="C27" s="10" t="s">
        <v>607</v>
      </c>
    </row>
  </sheetData>
  <mergeCells count="1">
    <mergeCell ref="A24:E24"/>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5B12A-1A9E-45B8-8852-0DCFAFFFB06A}">
  <sheetPr>
    <tabColor rgb="FF0070C0"/>
  </sheetPr>
  <dimension ref="A1:Q31"/>
  <sheetViews>
    <sheetView topLeftCell="A7" workbookViewId="0">
      <selection activeCell="A28" sqref="A28:E31"/>
    </sheetView>
  </sheetViews>
  <sheetFormatPr defaultRowHeight="14.4"/>
  <cols>
    <col min="1" max="1" width="19.5546875" bestFit="1" customWidth="1"/>
    <col min="5" max="5" width="10.5546875" bestFit="1" customWidth="1"/>
  </cols>
  <sheetData>
    <row r="1" spans="1:17">
      <c r="A1" s="421" t="s">
        <v>564</v>
      </c>
    </row>
    <row r="2" spans="1:17">
      <c r="A2" s="423" t="s">
        <v>565</v>
      </c>
      <c r="B2" t="s">
        <v>5160</v>
      </c>
    </row>
    <row r="3" spans="1:17">
      <c r="A3" s="423" t="s">
        <v>567</v>
      </c>
      <c r="B3" t="s">
        <v>5161</v>
      </c>
    </row>
    <row r="4" spans="1:17">
      <c r="A4" s="423" t="s">
        <v>568</v>
      </c>
      <c r="B4" t="s">
        <v>1417</v>
      </c>
    </row>
    <row r="5" spans="1:17">
      <c r="A5" s="423" t="s">
        <v>585</v>
      </c>
      <c r="B5" t="s">
        <v>5162</v>
      </c>
    </row>
    <row r="7" spans="1:17">
      <c r="A7" s="423"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1109</v>
      </c>
      <c r="C9" t="s">
        <v>667</v>
      </c>
      <c r="D9">
        <v>0.31990082564835998</v>
      </c>
      <c r="E9" t="s">
        <v>94</v>
      </c>
      <c r="H9" t="s">
        <v>588</v>
      </c>
      <c r="I9">
        <v>0.31990082564835998</v>
      </c>
      <c r="J9">
        <v>1</v>
      </c>
      <c r="N9" t="s">
        <v>1107</v>
      </c>
      <c r="O9" t="s">
        <v>798</v>
      </c>
      <c r="Q9" t="s">
        <v>595</v>
      </c>
    </row>
    <row r="10" spans="1:17">
      <c r="B10" t="s">
        <v>1159</v>
      </c>
      <c r="C10" t="s">
        <v>667</v>
      </c>
      <c r="D10">
        <v>0.67978925450276595</v>
      </c>
      <c r="E10" t="s">
        <v>94</v>
      </c>
      <c r="H10" t="s">
        <v>588</v>
      </c>
      <c r="I10">
        <v>0.67978925450276595</v>
      </c>
      <c r="J10">
        <v>1</v>
      </c>
      <c r="N10" t="s">
        <v>1160</v>
      </c>
      <c r="O10" t="s">
        <v>798</v>
      </c>
      <c r="Q10" t="s">
        <v>595</v>
      </c>
    </row>
    <row r="11" spans="1:17">
      <c r="B11" t="s">
        <v>5148</v>
      </c>
      <c r="C11" t="s">
        <v>673</v>
      </c>
      <c r="D11">
        <v>1.2796033025934399</v>
      </c>
      <c r="E11" t="s">
        <v>640</v>
      </c>
      <c r="H11" t="s">
        <v>588</v>
      </c>
      <c r="I11">
        <v>1.2796033025934399</v>
      </c>
      <c r="J11">
        <v>1.2505791921887124</v>
      </c>
      <c r="N11" t="s">
        <v>5149</v>
      </c>
      <c r="O11" t="s">
        <v>5163</v>
      </c>
      <c r="Q11" t="s">
        <v>595</v>
      </c>
    </row>
    <row r="12" spans="1:17">
      <c r="B12" t="s">
        <v>839</v>
      </c>
      <c r="C12" t="s">
        <v>597</v>
      </c>
      <c r="D12">
        <v>0.355889668533801</v>
      </c>
      <c r="E12" t="s">
        <v>598</v>
      </c>
      <c r="H12" t="s">
        <v>588</v>
      </c>
      <c r="I12">
        <v>0.355889668533801</v>
      </c>
      <c r="J12">
        <v>1.1051709180756477</v>
      </c>
      <c r="N12" t="s">
        <v>840</v>
      </c>
      <c r="O12" t="s">
        <v>5158</v>
      </c>
      <c r="Q12" t="s">
        <v>600</v>
      </c>
    </row>
    <row r="13" spans="1:17">
      <c r="B13" t="s">
        <v>2469</v>
      </c>
      <c r="C13" t="s">
        <v>1305</v>
      </c>
      <c r="D13">
        <v>4.4086332534664701</v>
      </c>
      <c r="E13" t="s">
        <v>94</v>
      </c>
      <c r="H13" t="s">
        <v>588</v>
      </c>
      <c r="I13">
        <v>4.4086332534664701</v>
      </c>
      <c r="J13">
        <v>1.2505791921887124</v>
      </c>
      <c r="N13" t="s">
        <v>2470</v>
      </c>
      <c r="O13" t="s">
        <v>5163</v>
      </c>
      <c r="Q13" t="s">
        <v>5157</v>
      </c>
    </row>
    <row r="14" spans="1:17">
      <c r="B14" t="s">
        <v>1297</v>
      </c>
      <c r="C14" t="s">
        <v>664</v>
      </c>
      <c r="D14">
        <v>3.8188161061773001E-3</v>
      </c>
      <c r="E14" t="s">
        <v>94</v>
      </c>
      <c r="H14" t="s">
        <v>588</v>
      </c>
      <c r="I14">
        <v>3.8188161061773001E-3</v>
      </c>
      <c r="J14">
        <v>1.2505791921887124</v>
      </c>
      <c r="N14" t="s">
        <v>1298</v>
      </c>
      <c r="O14" t="s">
        <v>5163</v>
      </c>
      <c r="Q14" t="s">
        <v>595</v>
      </c>
    </row>
    <row r="15" spans="1:17">
      <c r="B15" t="s">
        <v>3079</v>
      </c>
      <c r="C15" t="s">
        <v>857</v>
      </c>
      <c r="D15">
        <v>2.0193739619052799E-9</v>
      </c>
      <c r="E15" t="s">
        <v>616</v>
      </c>
      <c r="H15" t="s">
        <v>588</v>
      </c>
      <c r="I15">
        <v>2.0193739619052799E-9</v>
      </c>
      <c r="J15">
        <v>1.8068915230828115</v>
      </c>
      <c r="N15" t="s">
        <v>3082</v>
      </c>
      <c r="O15" t="s">
        <v>5163</v>
      </c>
      <c r="Q15" t="s">
        <v>5157</v>
      </c>
    </row>
    <row r="16" spans="1:17">
      <c r="B16" t="s">
        <v>5150</v>
      </c>
      <c r="C16" t="s">
        <v>5151</v>
      </c>
      <c r="D16">
        <v>1.7394607394629599E-4</v>
      </c>
      <c r="E16" t="s">
        <v>94</v>
      </c>
      <c r="H16" t="s">
        <v>588</v>
      </c>
      <c r="I16">
        <v>1.7394607394629599E-4</v>
      </c>
      <c r="J16">
        <v>1.8068915230828115</v>
      </c>
      <c r="N16" t="s">
        <v>5152</v>
      </c>
      <c r="O16" t="s">
        <v>5163</v>
      </c>
      <c r="Q16" t="s">
        <v>5157</v>
      </c>
    </row>
    <row r="17" spans="1:17">
      <c r="B17" t="s">
        <v>4251</v>
      </c>
      <c r="C17" t="s">
        <v>639</v>
      </c>
      <c r="D17">
        <v>1.47751419991098E-2</v>
      </c>
      <c r="E17" t="s">
        <v>640</v>
      </c>
      <c r="H17" t="s">
        <v>588</v>
      </c>
      <c r="I17">
        <v>1.47751419991098E-2</v>
      </c>
      <c r="J17">
        <v>1.1051709180756477</v>
      </c>
      <c r="O17" t="s">
        <v>5164</v>
      </c>
      <c r="Q17" t="s">
        <v>5165</v>
      </c>
    </row>
    <row r="18" spans="1:17">
      <c r="B18" t="s">
        <v>4267</v>
      </c>
      <c r="C18" t="s">
        <v>639</v>
      </c>
      <c r="D18">
        <v>1.91207719988479E-3</v>
      </c>
      <c r="E18" t="s">
        <v>640</v>
      </c>
      <c r="H18" t="s">
        <v>588</v>
      </c>
      <c r="I18">
        <v>1.91207719988479E-3</v>
      </c>
      <c r="J18">
        <v>1.1051709180756477</v>
      </c>
      <c r="O18" t="s">
        <v>5166</v>
      </c>
      <c r="Q18" t="s">
        <v>5165</v>
      </c>
    </row>
    <row r="20" spans="1:17">
      <c r="A20" t="s">
        <v>710</v>
      </c>
    </row>
    <row r="21" spans="1:17">
      <c r="A21" s="421" t="s">
        <v>570</v>
      </c>
      <c r="B21" s="421" t="s">
        <v>571</v>
      </c>
      <c r="C21" s="421" t="s">
        <v>568</v>
      </c>
      <c r="D21" s="421" t="s">
        <v>572</v>
      </c>
      <c r="E21" s="421" t="s">
        <v>573</v>
      </c>
      <c r="F21" s="421" t="s">
        <v>574</v>
      </c>
      <c r="G21" s="421" t="s">
        <v>575</v>
      </c>
      <c r="H21" s="421" t="s">
        <v>576</v>
      </c>
      <c r="I21" s="421" t="s">
        <v>577</v>
      </c>
      <c r="J21" s="421" t="s">
        <v>578</v>
      </c>
      <c r="K21" s="421" t="s">
        <v>579</v>
      </c>
      <c r="L21" s="421" t="s">
        <v>580</v>
      </c>
      <c r="M21" s="421" t="s">
        <v>581</v>
      </c>
      <c r="N21" s="421" t="s">
        <v>582</v>
      </c>
      <c r="O21" s="421" t="s">
        <v>583</v>
      </c>
      <c r="P21" s="421" t="s">
        <v>584</v>
      </c>
      <c r="Q21" s="421" t="s">
        <v>585</v>
      </c>
    </row>
    <row r="22" spans="1:17">
      <c r="A22" s="421" t="s">
        <v>645</v>
      </c>
      <c r="B22" s="421" t="s">
        <v>5167</v>
      </c>
      <c r="C22" s="421" t="s">
        <v>1417</v>
      </c>
      <c r="D22" s="421">
        <v>1</v>
      </c>
      <c r="E22" s="421" t="s">
        <v>94</v>
      </c>
      <c r="F22" s="421">
        <v>1.6769278960645499</v>
      </c>
      <c r="G22" s="421" t="s">
        <v>647</v>
      </c>
      <c r="M22" s="421"/>
      <c r="O22" s="421"/>
      <c r="P22" s="421"/>
      <c r="Q22" s="421" t="s">
        <v>595</v>
      </c>
    </row>
    <row r="23" spans="1:17">
      <c r="B23" t="s">
        <v>1578</v>
      </c>
      <c r="C23" t="s">
        <v>650</v>
      </c>
      <c r="D23">
        <v>9.2254833623570606E-5</v>
      </c>
      <c r="E23" t="s">
        <v>94</v>
      </c>
      <c r="H23" t="s">
        <v>588</v>
      </c>
      <c r="I23">
        <v>9.2254833623570606E-5</v>
      </c>
      <c r="J23">
        <v>1.2505791921887124</v>
      </c>
      <c r="N23" t="s">
        <v>1579</v>
      </c>
      <c r="O23" t="s">
        <v>5163</v>
      </c>
      <c r="Q23" t="s">
        <v>5168</v>
      </c>
    </row>
    <row r="24" spans="1:17">
      <c r="B24" t="s">
        <v>1578</v>
      </c>
      <c r="C24" t="s">
        <v>650</v>
      </c>
      <c r="D24">
        <v>3.7265612725537302E-3</v>
      </c>
      <c r="E24" t="s">
        <v>94</v>
      </c>
      <c r="H24" t="s">
        <v>588</v>
      </c>
      <c r="I24">
        <v>3.7265612725537302E-3</v>
      </c>
      <c r="J24">
        <v>1.2505791921887124</v>
      </c>
      <c r="N24" t="s">
        <v>1579</v>
      </c>
      <c r="O24" t="s">
        <v>5163</v>
      </c>
      <c r="Q24" t="s">
        <v>5168</v>
      </c>
    </row>
    <row r="25" spans="1:17">
      <c r="B25" t="s">
        <v>251</v>
      </c>
      <c r="C25" t="s">
        <v>654</v>
      </c>
      <c r="D25">
        <v>6.2989906846204801E-3</v>
      </c>
      <c r="E25" t="s">
        <v>640</v>
      </c>
      <c r="H25" t="s">
        <v>588</v>
      </c>
      <c r="I25">
        <v>6.2989906846204801E-3</v>
      </c>
      <c r="J25">
        <v>1.2214027581601699</v>
      </c>
      <c r="O25" t="s">
        <v>834</v>
      </c>
      <c r="Q25" t="s">
        <v>835</v>
      </c>
    </row>
    <row r="26" spans="1:17">
      <c r="B26" t="s">
        <v>5103</v>
      </c>
      <c r="C26" t="s">
        <v>712</v>
      </c>
      <c r="D26">
        <v>1.03882285143741E-2</v>
      </c>
      <c r="E26" t="s">
        <v>640</v>
      </c>
      <c r="H26" t="s">
        <v>588</v>
      </c>
      <c r="I26">
        <v>1.03882285143741E-2</v>
      </c>
      <c r="J26">
        <v>1.2214027581601699</v>
      </c>
      <c r="O26" t="s">
        <v>834</v>
      </c>
      <c r="Q26" t="s">
        <v>835</v>
      </c>
    </row>
    <row r="28" spans="1:17">
      <c r="A28" s="1043" t="s">
        <v>5218</v>
      </c>
      <c r="B28" s="1043"/>
      <c r="C28" s="1043"/>
      <c r="D28" s="1043"/>
      <c r="E28" s="1043"/>
    </row>
    <row r="29" spans="1:17">
      <c r="A29" s="430" t="str">
        <f>B12</f>
        <v>electricity, low voltage</v>
      </c>
      <c r="B29" s="430">
        <f>SUMIFS($D$9:$D$22,$B$9:$B$22,A29)</f>
        <v>0.355889668533801</v>
      </c>
      <c r="C29" s="431" t="s">
        <v>598</v>
      </c>
      <c r="D29" s="433">
        <v>0</v>
      </c>
      <c r="E29" s="433" t="s">
        <v>5206</v>
      </c>
    </row>
    <row r="31" spans="1:17">
      <c r="A31" s="5" t="s">
        <v>127</v>
      </c>
      <c r="B31" s="5">
        <f>3.6*B29</f>
        <v>1.2812028067216836</v>
      </c>
      <c r="C31" s="10" t="s">
        <v>607</v>
      </c>
    </row>
  </sheetData>
  <mergeCells count="1">
    <mergeCell ref="A28:E2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A7634-D5B8-45CD-991A-B3FA85153259}">
  <sheetPr>
    <tabColor rgb="FF0070C0"/>
  </sheetPr>
  <dimension ref="A1:Q27"/>
  <sheetViews>
    <sheetView topLeftCell="A4" workbookViewId="0">
      <selection activeCell="A24" sqref="A24:E27"/>
    </sheetView>
  </sheetViews>
  <sheetFormatPr defaultRowHeight="14.4"/>
  <cols>
    <col min="1" max="1" width="19.5546875" bestFit="1" customWidth="1"/>
    <col min="5" max="5" width="10.5546875" bestFit="1" customWidth="1"/>
  </cols>
  <sheetData>
    <row r="1" spans="1:17">
      <c r="A1" s="421" t="s">
        <v>564</v>
      </c>
    </row>
    <row r="2" spans="1:17">
      <c r="A2" s="423" t="s">
        <v>565</v>
      </c>
      <c r="B2" t="s">
        <v>5169</v>
      </c>
    </row>
    <row r="3" spans="1:17">
      <c r="A3" s="423" t="s">
        <v>567</v>
      </c>
      <c r="B3" t="s">
        <v>5170</v>
      </c>
    </row>
    <row r="4" spans="1:17">
      <c r="A4" s="423" t="s">
        <v>568</v>
      </c>
      <c r="B4" t="s">
        <v>1417</v>
      </c>
    </row>
    <row r="5" spans="1:17">
      <c r="A5" s="423" t="s">
        <v>585</v>
      </c>
      <c r="B5" t="s">
        <v>5171</v>
      </c>
    </row>
    <row r="7" spans="1:17">
      <c r="A7" s="423"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1109</v>
      </c>
      <c r="C9" t="s">
        <v>667</v>
      </c>
      <c r="D9">
        <v>0.31990934890039802</v>
      </c>
      <c r="E9" t="s">
        <v>94</v>
      </c>
      <c r="H9" t="s">
        <v>588</v>
      </c>
      <c r="I9">
        <v>0.31990934890039802</v>
      </c>
      <c r="J9">
        <v>1</v>
      </c>
      <c r="N9" t="s">
        <v>1107</v>
      </c>
      <c r="O9" t="s">
        <v>798</v>
      </c>
      <c r="Q9" t="s">
        <v>595</v>
      </c>
    </row>
    <row r="10" spans="1:17">
      <c r="B10" t="s">
        <v>1159</v>
      </c>
      <c r="C10" t="s">
        <v>667</v>
      </c>
      <c r="D10">
        <v>0.67980736641334605</v>
      </c>
      <c r="E10" t="s">
        <v>94</v>
      </c>
      <c r="H10" t="s">
        <v>588</v>
      </c>
      <c r="I10">
        <v>0.67980736641334605</v>
      </c>
      <c r="J10">
        <v>1</v>
      </c>
      <c r="N10" t="s">
        <v>1160</v>
      </c>
      <c r="O10" t="s">
        <v>798</v>
      </c>
      <c r="Q10" t="s">
        <v>595</v>
      </c>
    </row>
    <row r="11" spans="1:17">
      <c r="B11" t="s">
        <v>5148</v>
      </c>
      <c r="C11" t="s">
        <v>673</v>
      </c>
      <c r="D11">
        <v>1.2796373956015901</v>
      </c>
      <c r="E11" t="s">
        <v>640</v>
      </c>
      <c r="H11" t="s">
        <v>588</v>
      </c>
      <c r="I11">
        <v>1.2796373956015901</v>
      </c>
      <c r="J11">
        <v>1.2505791921887124</v>
      </c>
      <c r="N11" t="s">
        <v>5149</v>
      </c>
      <c r="O11" t="s">
        <v>5163</v>
      </c>
      <c r="Q11" t="s">
        <v>595</v>
      </c>
    </row>
    <row r="12" spans="1:17">
      <c r="B12" t="s">
        <v>839</v>
      </c>
      <c r="C12" t="s">
        <v>597</v>
      </c>
      <c r="D12">
        <v>1.82948158902415</v>
      </c>
      <c r="E12" t="s">
        <v>598</v>
      </c>
      <c r="H12" t="s">
        <v>588</v>
      </c>
      <c r="I12">
        <v>1.82948158902415</v>
      </c>
      <c r="J12">
        <v>1.1051709180756477</v>
      </c>
      <c r="N12" t="s">
        <v>840</v>
      </c>
      <c r="O12" t="s">
        <v>5158</v>
      </c>
      <c r="Q12" t="s">
        <v>600</v>
      </c>
    </row>
    <row r="13" spans="1:17">
      <c r="B13" t="s">
        <v>2469</v>
      </c>
      <c r="C13" t="s">
        <v>1305</v>
      </c>
      <c r="D13">
        <v>4.4087507145336096</v>
      </c>
      <c r="E13" t="s">
        <v>94</v>
      </c>
      <c r="H13" t="s">
        <v>588</v>
      </c>
      <c r="I13">
        <v>4.4087507145336096</v>
      </c>
      <c r="J13">
        <v>1.2505791921887124</v>
      </c>
      <c r="N13" t="s">
        <v>2470</v>
      </c>
      <c r="O13" t="s">
        <v>5163</v>
      </c>
      <c r="Q13" t="s">
        <v>595</v>
      </c>
    </row>
    <row r="14" spans="1:17">
      <c r="B14" t="s">
        <v>1297</v>
      </c>
      <c r="C14" t="s">
        <v>664</v>
      </c>
      <c r="D14">
        <v>3.8189178524985E-3</v>
      </c>
      <c r="E14" t="s">
        <v>94</v>
      </c>
      <c r="H14" t="s">
        <v>588</v>
      </c>
      <c r="I14">
        <v>3.8189178524985E-3</v>
      </c>
      <c r="J14">
        <v>1.2505791921887124</v>
      </c>
      <c r="N14" t="s">
        <v>1298</v>
      </c>
      <c r="O14" t="s">
        <v>5163</v>
      </c>
      <c r="Q14" t="s">
        <v>595</v>
      </c>
    </row>
    <row r="15" spans="1:17">
      <c r="B15" t="s">
        <v>3079</v>
      </c>
      <c r="C15" t="s">
        <v>857</v>
      </c>
      <c r="D15">
        <v>2.01942776493376E-9</v>
      </c>
      <c r="E15" t="s">
        <v>616</v>
      </c>
      <c r="H15" t="s">
        <v>588</v>
      </c>
      <c r="I15">
        <v>2.01942776493376E-9</v>
      </c>
      <c r="J15">
        <v>1.8068915230828115</v>
      </c>
      <c r="N15" t="s">
        <v>3082</v>
      </c>
      <c r="O15" t="s">
        <v>5163</v>
      </c>
      <c r="Q15" t="s">
        <v>595</v>
      </c>
    </row>
    <row r="16" spans="1:17">
      <c r="B16" t="s">
        <v>5150</v>
      </c>
      <c r="C16" t="s">
        <v>5151</v>
      </c>
      <c r="D16">
        <v>1.73950708464591E-4</v>
      </c>
      <c r="E16" t="s">
        <v>94</v>
      </c>
      <c r="H16" t="s">
        <v>588</v>
      </c>
      <c r="I16">
        <v>1.73950708464591E-4</v>
      </c>
      <c r="J16">
        <v>1.8068915230828115</v>
      </c>
      <c r="N16" t="s">
        <v>5152</v>
      </c>
      <c r="O16" t="s">
        <v>5163</v>
      </c>
      <c r="Q16" t="s">
        <v>595</v>
      </c>
    </row>
    <row r="18" spans="1:17">
      <c r="A18" t="s">
        <v>710</v>
      </c>
    </row>
    <row r="19" spans="1:17">
      <c r="A19" s="421" t="s">
        <v>570</v>
      </c>
      <c r="B19" s="421" t="s">
        <v>571</v>
      </c>
      <c r="C19" s="421" t="s">
        <v>568</v>
      </c>
      <c r="D19" s="421" t="s">
        <v>572</v>
      </c>
      <c r="E19" s="421" t="s">
        <v>573</v>
      </c>
      <c r="F19" s="421" t="s">
        <v>574</v>
      </c>
      <c r="G19" s="421" t="s">
        <v>575</v>
      </c>
      <c r="H19" s="421" t="s">
        <v>576</v>
      </c>
      <c r="I19" s="421" t="s">
        <v>577</v>
      </c>
      <c r="J19" s="421" t="s">
        <v>578</v>
      </c>
      <c r="K19" s="421" t="s">
        <v>579</v>
      </c>
      <c r="L19" s="421" t="s">
        <v>580</v>
      </c>
      <c r="M19" s="421" t="s">
        <v>581</v>
      </c>
      <c r="N19" s="421" t="s">
        <v>582</v>
      </c>
      <c r="O19" s="421" t="s">
        <v>583</v>
      </c>
      <c r="P19" s="421" t="s">
        <v>584</v>
      </c>
      <c r="Q19" s="421" t="s">
        <v>585</v>
      </c>
    </row>
    <row r="20" spans="1:17">
      <c r="A20" s="421" t="s">
        <v>645</v>
      </c>
      <c r="B20" s="421" t="s">
        <v>5172</v>
      </c>
      <c r="C20" s="421" t="s">
        <v>1417</v>
      </c>
      <c r="D20" s="421">
        <v>1</v>
      </c>
      <c r="E20" s="421" t="s">
        <v>94</v>
      </c>
      <c r="F20" s="421">
        <v>1.83464589606455</v>
      </c>
      <c r="G20" s="421" t="s">
        <v>647</v>
      </c>
      <c r="M20" s="421"/>
      <c r="O20" s="421"/>
      <c r="P20" s="421"/>
      <c r="Q20" s="421" t="s">
        <v>595</v>
      </c>
    </row>
    <row r="21" spans="1:17">
      <c r="B21" t="s">
        <v>1578</v>
      </c>
      <c r="C21" t="s">
        <v>650</v>
      </c>
      <c r="D21">
        <v>3.72666056089066E-3</v>
      </c>
      <c r="E21" t="s">
        <v>94</v>
      </c>
      <c r="H21" t="s">
        <v>588</v>
      </c>
      <c r="I21">
        <v>3.72666056089066E-3</v>
      </c>
      <c r="J21">
        <v>1.2505791921887124</v>
      </c>
      <c r="N21" t="s">
        <v>1579</v>
      </c>
      <c r="O21" t="s">
        <v>5163</v>
      </c>
      <c r="Q21" t="s">
        <v>979</v>
      </c>
    </row>
    <row r="22" spans="1:17">
      <c r="B22" t="s">
        <v>1578</v>
      </c>
      <c r="C22" t="s">
        <v>650</v>
      </c>
      <c r="D22">
        <v>9.2257291607844501E-5</v>
      </c>
      <c r="E22" t="s">
        <v>94</v>
      </c>
      <c r="H22" t="s">
        <v>588</v>
      </c>
      <c r="I22">
        <v>9.2257291607844501E-5</v>
      </c>
      <c r="J22">
        <v>1.2505791921887124</v>
      </c>
      <c r="N22" t="s">
        <v>1579</v>
      </c>
      <c r="O22" t="s">
        <v>5163</v>
      </c>
      <c r="Q22" t="s">
        <v>979</v>
      </c>
    </row>
    <row r="24" spans="1:17">
      <c r="A24" s="1043" t="s">
        <v>5218</v>
      </c>
      <c r="B24" s="1043"/>
      <c r="C24" s="1043"/>
      <c r="D24" s="1043"/>
      <c r="E24" s="1043"/>
    </row>
    <row r="25" spans="1:17">
      <c r="A25" s="430" t="str">
        <f>B12</f>
        <v>electricity, low voltage</v>
      </c>
      <c r="B25" s="430">
        <f>SUMIFS($D$9:$D$22,$B$9:$B$22,A25)</f>
        <v>1.82948158902415</v>
      </c>
      <c r="C25" s="431" t="s">
        <v>598</v>
      </c>
      <c r="D25" s="433">
        <v>0</v>
      </c>
      <c r="E25" s="433" t="s">
        <v>5206</v>
      </c>
    </row>
    <row r="27" spans="1:17">
      <c r="A27" s="5" t="s">
        <v>127</v>
      </c>
      <c r="B27" s="5">
        <f>3.6*B25</f>
        <v>6.5861337204869406</v>
      </c>
      <c r="C27" s="10" t="s">
        <v>607</v>
      </c>
    </row>
  </sheetData>
  <mergeCells count="1">
    <mergeCell ref="A24:E24"/>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1163E-9491-4F5C-A816-D16EE82B07D3}">
  <sheetPr>
    <tabColor rgb="FF0070C0"/>
  </sheetPr>
  <dimension ref="A1:Q29"/>
  <sheetViews>
    <sheetView topLeftCell="A4" workbookViewId="0">
      <selection activeCell="F29" sqref="F29"/>
    </sheetView>
  </sheetViews>
  <sheetFormatPr defaultRowHeight="14.4"/>
  <cols>
    <col min="1" max="1" width="23.21875" bestFit="1" customWidth="1"/>
    <col min="5" max="5" width="10.5546875" bestFit="1" customWidth="1"/>
  </cols>
  <sheetData>
    <row r="1" spans="1:17">
      <c r="A1" s="421" t="s">
        <v>564</v>
      </c>
    </row>
    <row r="2" spans="1:17">
      <c r="A2" s="423" t="s">
        <v>565</v>
      </c>
      <c r="B2" t="s">
        <v>5173</v>
      </c>
    </row>
    <row r="3" spans="1:17">
      <c r="A3" s="423" t="s">
        <v>567</v>
      </c>
      <c r="B3" t="s">
        <v>5174</v>
      </c>
    </row>
    <row r="4" spans="1:17">
      <c r="A4" s="423" t="s">
        <v>568</v>
      </c>
      <c r="B4" t="s">
        <v>1417</v>
      </c>
    </row>
    <row r="5" spans="1:17">
      <c r="A5" s="423" t="s">
        <v>585</v>
      </c>
      <c r="B5" t="s">
        <v>5175</v>
      </c>
    </row>
    <row r="7" spans="1:17">
      <c r="A7" s="423"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1159</v>
      </c>
      <c r="C9" t="s">
        <v>667</v>
      </c>
      <c r="D9">
        <v>1.83E-2</v>
      </c>
      <c r="E9" t="s">
        <v>94</v>
      </c>
      <c r="H9" t="s">
        <v>588</v>
      </c>
      <c r="I9">
        <v>1.83E-2</v>
      </c>
      <c r="J9">
        <v>1.3268964411453439</v>
      </c>
      <c r="N9" t="s">
        <v>1160</v>
      </c>
      <c r="O9" t="s">
        <v>3081</v>
      </c>
    </row>
    <row r="10" spans="1:17">
      <c r="B10" t="s">
        <v>5176</v>
      </c>
      <c r="C10" t="s">
        <v>673</v>
      </c>
      <c r="D10">
        <v>3.5699999999999998E-3</v>
      </c>
      <c r="E10" t="s">
        <v>94</v>
      </c>
      <c r="H10" t="s">
        <v>588</v>
      </c>
      <c r="I10">
        <v>3.5699999999999998E-3</v>
      </c>
      <c r="J10">
        <v>1.3268964411453439</v>
      </c>
      <c r="N10" t="s">
        <v>5177</v>
      </c>
      <c r="O10" t="s">
        <v>3081</v>
      </c>
      <c r="Q10" t="s">
        <v>595</v>
      </c>
    </row>
    <row r="11" spans="1:17">
      <c r="B11" t="s">
        <v>596</v>
      </c>
      <c r="C11" t="s">
        <v>597</v>
      </c>
      <c r="D11">
        <v>7.4999999999999997E-2</v>
      </c>
      <c r="E11" t="s">
        <v>598</v>
      </c>
      <c r="H11" t="s">
        <v>588</v>
      </c>
      <c r="I11">
        <v>7.4999999999999997E-2</v>
      </c>
      <c r="J11">
        <v>1.3268964411453439</v>
      </c>
      <c r="N11" t="s">
        <v>599</v>
      </c>
      <c r="O11" t="s">
        <v>3081</v>
      </c>
      <c r="Q11" t="s">
        <v>600</v>
      </c>
    </row>
    <row r="12" spans="1:17">
      <c r="B12" t="s">
        <v>2463</v>
      </c>
      <c r="C12" t="s">
        <v>1489</v>
      </c>
      <c r="D12">
        <v>1.0000000000000001E-5</v>
      </c>
      <c r="E12" t="s">
        <v>94</v>
      </c>
      <c r="H12" t="s">
        <v>588</v>
      </c>
      <c r="I12">
        <v>1.0000000000000001E-5</v>
      </c>
      <c r="J12">
        <v>1.8673116941838888</v>
      </c>
      <c r="N12" t="s">
        <v>2464</v>
      </c>
      <c r="O12" t="s">
        <v>3081</v>
      </c>
      <c r="Q12" t="s">
        <v>595</v>
      </c>
    </row>
    <row r="14" spans="1:17">
      <c r="A14" t="s">
        <v>710</v>
      </c>
    </row>
    <row r="15" spans="1:17">
      <c r="A15" s="421" t="s">
        <v>570</v>
      </c>
      <c r="B15" s="421" t="s">
        <v>571</v>
      </c>
      <c r="C15" s="421" t="s">
        <v>568</v>
      </c>
      <c r="D15" s="421" t="s">
        <v>572</v>
      </c>
      <c r="E15" s="421" t="s">
        <v>573</v>
      </c>
      <c r="F15" s="421" t="s">
        <v>574</v>
      </c>
      <c r="G15" s="421" t="s">
        <v>575</v>
      </c>
      <c r="H15" s="421" t="s">
        <v>576</v>
      </c>
      <c r="I15" s="421" t="s">
        <v>577</v>
      </c>
      <c r="J15" s="421" t="s">
        <v>578</v>
      </c>
      <c r="K15" s="421" t="s">
        <v>579</v>
      </c>
      <c r="L15" s="421" t="s">
        <v>580</v>
      </c>
      <c r="M15" s="421" t="s">
        <v>581</v>
      </c>
      <c r="N15" s="421" t="s">
        <v>582</v>
      </c>
      <c r="O15" s="421" t="s">
        <v>583</v>
      </c>
      <c r="P15" s="421" t="s">
        <v>584</v>
      </c>
      <c r="Q15" s="421" t="s">
        <v>585</v>
      </c>
    </row>
    <row r="16" spans="1:17">
      <c r="B16" t="s">
        <v>711</v>
      </c>
      <c r="C16" t="s">
        <v>654</v>
      </c>
      <c r="D16">
        <v>8.4499999999999994E-5</v>
      </c>
      <c r="E16" t="s">
        <v>94</v>
      </c>
      <c r="H16" t="s">
        <v>588</v>
      </c>
      <c r="I16">
        <v>8.4499999999999994E-5</v>
      </c>
      <c r="J16">
        <v>1.4341253160944203</v>
      </c>
      <c r="O16" t="s">
        <v>3081</v>
      </c>
    </row>
    <row r="17" spans="1:17">
      <c r="B17" t="s">
        <v>728</v>
      </c>
      <c r="C17" t="s">
        <v>654</v>
      </c>
      <c r="D17">
        <v>6.6699999999999995E-5</v>
      </c>
      <c r="E17" t="s">
        <v>94</v>
      </c>
      <c r="H17" t="s">
        <v>588</v>
      </c>
      <c r="I17">
        <v>6.6699999999999995E-5</v>
      </c>
      <c r="J17">
        <v>1.4341253160944203</v>
      </c>
      <c r="O17" t="s">
        <v>3081</v>
      </c>
    </row>
    <row r="18" spans="1:17">
      <c r="B18" t="s">
        <v>4553</v>
      </c>
      <c r="C18" t="s">
        <v>654</v>
      </c>
      <c r="D18">
        <v>3.5700000000000001E-6</v>
      </c>
      <c r="E18" t="s">
        <v>94</v>
      </c>
      <c r="H18" t="s">
        <v>588</v>
      </c>
      <c r="I18">
        <v>3.5700000000000001E-6</v>
      </c>
      <c r="J18">
        <v>1.4341253160944203</v>
      </c>
      <c r="O18" t="s">
        <v>3081</v>
      </c>
    </row>
    <row r="19" spans="1:17">
      <c r="B19" t="s">
        <v>761</v>
      </c>
      <c r="C19" t="s">
        <v>654</v>
      </c>
      <c r="D19">
        <v>1.9999999999999999E-6</v>
      </c>
      <c r="E19" t="s">
        <v>94</v>
      </c>
      <c r="H19" t="s">
        <v>588</v>
      </c>
      <c r="I19">
        <v>1.9999999999999999E-6</v>
      </c>
      <c r="J19">
        <v>1.4341253160944203</v>
      </c>
      <c r="O19" t="s">
        <v>3081</v>
      </c>
    </row>
    <row r="20" spans="1:17">
      <c r="B20" t="s">
        <v>5178</v>
      </c>
      <c r="C20" t="s">
        <v>654</v>
      </c>
      <c r="D20">
        <v>9.0599999999999997E-6</v>
      </c>
      <c r="E20" t="s">
        <v>94</v>
      </c>
      <c r="H20" t="s">
        <v>588</v>
      </c>
      <c r="I20">
        <v>9.0599999999999997E-6</v>
      </c>
      <c r="J20">
        <v>1.4341253160944203</v>
      </c>
      <c r="O20" t="s">
        <v>3081</v>
      </c>
    </row>
    <row r="21" spans="1:17">
      <c r="B21" t="s">
        <v>653</v>
      </c>
      <c r="C21" t="s">
        <v>654</v>
      </c>
      <c r="D21">
        <v>1.4100000000000001E-4</v>
      </c>
      <c r="E21" t="s">
        <v>94</v>
      </c>
      <c r="H21" t="s">
        <v>588</v>
      </c>
      <c r="I21">
        <v>1.4100000000000001E-4</v>
      </c>
      <c r="J21">
        <v>1.8673116941838888</v>
      </c>
      <c r="O21" t="s">
        <v>3081</v>
      </c>
    </row>
    <row r="22" spans="1:17">
      <c r="B22" t="s">
        <v>4723</v>
      </c>
      <c r="C22" t="s">
        <v>654</v>
      </c>
      <c r="D22">
        <v>1.4100000000000001E-5</v>
      </c>
      <c r="E22" t="s">
        <v>94</v>
      </c>
      <c r="H22" t="s">
        <v>588</v>
      </c>
      <c r="I22">
        <v>1.4100000000000001E-5</v>
      </c>
      <c r="J22">
        <v>1.4341253160944203</v>
      </c>
      <c r="O22" t="s">
        <v>3081</v>
      </c>
    </row>
    <row r="23" spans="1:17">
      <c r="A23" s="421" t="s">
        <v>645</v>
      </c>
      <c r="B23" s="421" t="s">
        <v>4271</v>
      </c>
      <c r="C23" s="421" t="s">
        <v>1417</v>
      </c>
      <c r="D23" s="421">
        <v>1</v>
      </c>
      <c r="E23" s="421" t="s">
        <v>1171</v>
      </c>
      <c r="F23" s="421">
        <v>3.55800268904976E-2</v>
      </c>
      <c r="G23" s="421" t="s">
        <v>647</v>
      </c>
      <c r="M23" s="421"/>
      <c r="O23" s="421"/>
      <c r="P23" s="421"/>
      <c r="Q23" s="421" t="s">
        <v>595</v>
      </c>
    </row>
    <row r="24" spans="1:17">
      <c r="B24" t="s">
        <v>791</v>
      </c>
      <c r="C24" t="s">
        <v>654</v>
      </c>
      <c r="D24">
        <v>4.2299999999999998E-5</v>
      </c>
      <c r="E24" t="s">
        <v>94</v>
      </c>
      <c r="H24" t="s">
        <v>588</v>
      </c>
      <c r="I24">
        <v>4.2299999999999998E-5</v>
      </c>
      <c r="J24">
        <v>1.4341253160944203</v>
      </c>
      <c r="O24" t="s">
        <v>3081</v>
      </c>
    </row>
    <row r="26" spans="1:17">
      <c r="A26" s="1043" t="s">
        <v>5218</v>
      </c>
      <c r="B26" s="1043"/>
      <c r="C26" s="1043"/>
      <c r="D26" s="1043"/>
      <c r="E26" s="1043"/>
    </row>
    <row r="27" spans="1:17">
      <c r="A27" s="430" t="str">
        <f>B11</f>
        <v>electricity, medium voltage</v>
      </c>
      <c r="B27" s="430">
        <f>SUMIFS($D$9:$D$22,$B$9:$B$22,A27)</f>
        <v>7.4999999999999997E-2</v>
      </c>
      <c r="C27" s="431" t="s">
        <v>598</v>
      </c>
      <c r="D27" s="433">
        <v>0</v>
      </c>
      <c r="E27" s="433" t="s">
        <v>5206</v>
      </c>
    </row>
    <row r="29" spans="1:17">
      <c r="A29" s="5" t="s">
        <v>127</v>
      </c>
      <c r="B29" s="5">
        <f>3.6*B27</f>
        <v>0.27</v>
      </c>
      <c r="C29" s="10" t="s">
        <v>607</v>
      </c>
    </row>
  </sheetData>
  <mergeCells count="1">
    <mergeCell ref="A26:E26"/>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9E10-845F-40BA-9526-A923F5DEBF38}">
  <sheetPr>
    <tabColor rgb="FF0070C0"/>
  </sheetPr>
  <dimension ref="A1:Q48"/>
  <sheetViews>
    <sheetView topLeftCell="A26" workbookViewId="0">
      <selection activeCell="B45" sqref="B45"/>
    </sheetView>
  </sheetViews>
  <sheetFormatPr defaultRowHeight="14.4"/>
  <cols>
    <col min="1" max="1" width="31.5546875" bestFit="1" customWidth="1"/>
    <col min="5" max="5" width="15.21875" bestFit="1" customWidth="1"/>
  </cols>
  <sheetData>
    <row r="1" spans="1:17">
      <c r="A1" s="421" t="s">
        <v>564</v>
      </c>
    </row>
    <row r="2" spans="1:17">
      <c r="A2" s="423" t="s">
        <v>565</v>
      </c>
      <c r="B2" t="s">
        <v>5265</v>
      </c>
    </row>
    <row r="3" spans="1:17">
      <c r="A3" s="423" t="s">
        <v>567</v>
      </c>
      <c r="B3" t="s">
        <v>3545</v>
      </c>
    </row>
    <row r="4" spans="1:17">
      <c r="A4" s="423" t="s">
        <v>568</v>
      </c>
      <c r="B4" t="s">
        <v>1417</v>
      </c>
    </row>
    <row r="5" spans="1:17">
      <c r="A5" s="423" t="s">
        <v>585</v>
      </c>
      <c r="B5" t="s">
        <v>5299</v>
      </c>
    </row>
    <row r="7" spans="1:17">
      <c r="A7" s="502" t="s">
        <v>665</v>
      </c>
    </row>
    <row r="8" spans="1:17">
      <c r="A8" s="421" t="s">
        <v>570</v>
      </c>
      <c r="B8" s="421" t="s">
        <v>571</v>
      </c>
      <c r="C8" s="421" t="s">
        <v>568</v>
      </c>
      <c r="D8" s="421" t="s">
        <v>572</v>
      </c>
      <c r="E8" s="421" t="s">
        <v>573</v>
      </c>
      <c r="F8" s="421" t="s">
        <v>574</v>
      </c>
      <c r="G8" s="421" t="s">
        <v>575</v>
      </c>
      <c r="H8" s="421" t="s">
        <v>576</v>
      </c>
      <c r="I8" s="421" t="s">
        <v>577</v>
      </c>
      <c r="J8" s="421" t="s">
        <v>578</v>
      </c>
      <c r="K8" s="421" t="s">
        <v>579</v>
      </c>
      <c r="L8" s="421" t="s">
        <v>580</v>
      </c>
      <c r="M8" s="421" t="s">
        <v>581</v>
      </c>
      <c r="N8" s="421" t="s">
        <v>582</v>
      </c>
      <c r="O8" s="421" t="s">
        <v>583</v>
      </c>
      <c r="P8" s="421" t="s">
        <v>584</v>
      </c>
      <c r="Q8" s="421" t="s">
        <v>585</v>
      </c>
    </row>
    <row r="9" spans="1:17">
      <c r="B9" t="s">
        <v>903</v>
      </c>
      <c r="C9" t="s">
        <v>615</v>
      </c>
      <c r="D9">
        <v>3.9876727870464601E-10</v>
      </c>
      <c r="E9" t="s">
        <v>616</v>
      </c>
      <c r="H9" t="s">
        <v>588</v>
      </c>
      <c r="I9">
        <v>3.9876727870464601E-10</v>
      </c>
      <c r="J9">
        <v>1.9848938964492473</v>
      </c>
      <c r="N9" t="s">
        <v>2101</v>
      </c>
      <c r="O9" t="s">
        <v>952</v>
      </c>
      <c r="Q9" t="s">
        <v>695</v>
      </c>
    </row>
    <row r="10" spans="1:17">
      <c r="B10" t="s">
        <v>2102</v>
      </c>
      <c r="C10" t="s">
        <v>2103</v>
      </c>
      <c r="D10">
        <v>8.9722637708545393E-3</v>
      </c>
      <c r="E10" t="s">
        <v>94</v>
      </c>
      <c r="H10" t="s">
        <v>588</v>
      </c>
      <c r="I10">
        <v>8.9722637708545393E-3</v>
      </c>
      <c r="J10">
        <v>1.1051709180756477</v>
      </c>
      <c r="N10" t="s">
        <v>2104</v>
      </c>
      <c r="O10" t="s">
        <v>1918</v>
      </c>
      <c r="Q10" t="s">
        <v>811</v>
      </c>
    </row>
    <row r="11" spans="1:17">
      <c r="B11" t="s">
        <v>5300</v>
      </c>
      <c r="C11" t="s">
        <v>673</v>
      </c>
      <c r="D11">
        <v>6.97842737733131E-3</v>
      </c>
      <c r="E11" t="s">
        <v>94</v>
      </c>
      <c r="H11" t="s">
        <v>588</v>
      </c>
      <c r="I11">
        <v>6.97842737733131E-3</v>
      </c>
      <c r="J11">
        <v>1.1051709180756477</v>
      </c>
      <c r="N11" t="s">
        <v>5301</v>
      </c>
      <c r="O11" t="s">
        <v>1918</v>
      </c>
      <c r="Q11" t="s">
        <v>595</v>
      </c>
    </row>
    <row r="12" spans="1:17">
      <c r="B12" t="s">
        <v>1200</v>
      </c>
      <c r="C12" t="s">
        <v>1143</v>
      </c>
      <c r="D12">
        <v>9.6202605987495998E-2</v>
      </c>
      <c r="E12" t="s">
        <v>94</v>
      </c>
      <c r="H12" t="s">
        <v>588</v>
      </c>
      <c r="I12">
        <v>9.6202605987495998E-2</v>
      </c>
      <c r="J12">
        <v>1.4537780777466462</v>
      </c>
      <c r="N12" t="s">
        <v>1201</v>
      </c>
      <c r="O12" t="s">
        <v>873</v>
      </c>
      <c r="Q12" t="s">
        <v>595</v>
      </c>
    </row>
    <row r="13" spans="1:17">
      <c r="B13" t="s">
        <v>596</v>
      </c>
      <c r="C13" t="s">
        <v>597</v>
      </c>
      <c r="D13">
        <v>1.2959936557901</v>
      </c>
      <c r="E13" t="s">
        <v>598</v>
      </c>
      <c r="H13" t="s">
        <v>588</v>
      </c>
      <c r="I13">
        <v>1.2959936557901</v>
      </c>
      <c r="J13">
        <v>1.5103034071977617</v>
      </c>
      <c r="N13" t="s">
        <v>599</v>
      </c>
      <c r="O13" t="s">
        <v>952</v>
      </c>
      <c r="Q13" t="s">
        <v>600</v>
      </c>
    </row>
    <row r="14" spans="1:17">
      <c r="B14" t="s">
        <v>845</v>
      </c>
      <c r="C14" t="s">
        <v>597</v>
      </c>
      <c r="D14">
        <v>24.1254203616311</v>
      </c>
      <c r="E14" t="s">
        <v>607</v>
      </c>
      <c r="H14" t="s">
        <v>588</v>
      </c>
      <c r="I14">
        <v>24.1254203616311</v>
      </c>
      <c r="J14">
        <v>1.3268964411453439</v>
      </c>
      <c r="N14" t="s">
        <v>1022</v>
      </c>
      <c r="O14" t="s">
        <v>859</v>
      </c>
      <c r="Q14" t="s">
        <v>595</v>
      </c>
    </row>
    <row r="15" spans="1:17">
      <c r="B15" t="s">
        <v>672</v>
      </c>
      <c r="C15" t="s">
        <v>673</v>
      </c>
      <c r="D15">
        <v>2.7913709509325299E-2</v>
      </c>
      <c r="E15" t="s">
        <v>94</v>
      </c>
      <c r="H15" t="s">
        <v>588</v>
      </c>
      <c r="I15">
        <v>2.7913709509325299E-2</v>
      </c>
      <c r="J15">
        <v>1.1051709180756477</v>
      </c>
      <c r="N15" t="s">
        <v>674</v>
      </c>
      <c r="O15" t="s">
        <v>1918</v>
      </c>
      <c r="Q15" t="s">
        <v>595</v>
      </c>
    </row>
    <row r="16" spans="1:17">
      <c r="B16" t="s">
        <v>680</v>
      </c>
      <c r="C16" t="s">
        <v>650</v>
      </c>
      <c r="D16">
        <v>1.8941445738470699E-2</v>
      </c>
      <c r="E16" t="s">
        <v>94</v>
      </c>
      <c r="H16" t="s">
        <v>588</v>
      </c>
      <c r="I16">
        <v>1.8941445738470699E-2</v>
      </c>
      <c r="J16">
        <v>1.1051709180756477</v>
      </c>
      <c r="N16" t="s">
        <v>681</v>
      </c>
      <c r="O16" t="s">
        <v>1918</v>
      </c>
      <c r="Q16" t="s">
        <v>979</v>
      </c>
    </row>
    <row r="17" spans="1:17">
      <c r="B17" t="s">
        <v>703</v>
      </c>
      <c r="C17" t="s">
        <v>673</v>
      </c>
      <c r="D17">
        <v>1.5950691148185901E-2</v>
      </c>
      <c r="E17" t="s">
        <v>94</v>
      </c>
      <c r="H17" t="s">
        <v>588</v>
      </c>
      <c r="I17">
        <v>1.5950691148185901E-2</v>
      </c>
      <c r="J17">
        <v>1.1051709180756477</v>
      </c>
      <c r="N17" t="s">
        <v>704</v>
      </c>
      <c r="O17" t="s">
        <v>1918</v>
      </c>
      <c r="Q17" t="s">
        <v>595</v>
      </c>
    </row>
    <row r="18" spans="1:17">
      <c r="B18" t="s">
        <v>812</v>
      </c>
      <c r="C18" t="s">
        <v>813</v>
      </c>
      <c r="D18">
        <v>2.2726390797652299E-6</v>
      </c>
      <c r="E18" t="s">
        <v>94</v>
      </c>
      <c r="H18" t="s">
        <v>588</v>
      </c>
      <c r="I18">
        <v>2.2726390797652299E-6</v>
      </c>
      <c r="J18">
        <v>1.1051709180756477</v>
      </c>
      <c r="N18" t="s">
        <v>814</v>
      </c>
      <c r="O18" t="s">
        <v>1918</v>
      </c>
      <c r="Q18" t="s">
        <v>595</v>
      </c>
    </row>
    <row r="19" spans="1:17">
      <c r="B19" t="s">
        <v>812</v>
      </c>
      <c r="C19" t="s">
        <v>813</v>
      </c>
      <c r="D19">
        <v>6.91151505424205E-7</v>
      </c>
      <c r="E19" t="s">
        <v>94</v>
      </c>
      <c r="H19" t="s">
        <v>588</v>
      </c>
      <c r="I19">
        <v>6.91151505424205E-7</v>
      </c>
      <c r="J19">
        <v>1.1051709180756477</v>
      </c>
      <c r="N19" t="s">
        <v>814</v>
      </c>
      <c r="O19" t="s">
        <v>1918</v>
      </c>
      <c r="Q19" t="s">
        <v>595</v>
      </c>
    </row>
    <row r="20" spans="1:17">
      <c r="B20" t="s">
        <v>812</v>
      </c>
      <c r="C20" t="s">
        <v>813</v>
      </c>
      <c r="D20">
        <v>2.1769379431346701E-9</v>
      </c>
      <c r="E20" t="s">
        <v>94</v>
      </c>
      <c r="H20" t="s">
        <v>588</v>
      </c>
      <c r="I20">
        <v>2.1769379431346701E-9</v>
      </c>
      <c r="J20">
        <v>1.1051709180756477</v>
      </c>
      <c r="N20" t="s">
        <v>814</v>
      </c>
      <c r="O20" t="s">
        <v>1918</v>
      </c>
      <c r="Q20" t="s">
        <v>595</v>
      </c>
    </row>
    <row r="21" spans="1:17">
      <c r="B21" t="s">
        <v>812</v>
      </c>
      <c r="C21" t="s">
        <v>813</v>
      </c>
      <c r="D21">
        <v>1.25463138461819E-7</v>
      </c>
      <c r="E21" t="s">
        <v>94</v>
      </c>
      <c r="H21" t="s">
        <v>588</v>
      </c>
      <c r="I21">
        <v>1.25463138461819E-7</v>
      </c>
      <c r="J21">
        <v>1.1051709180756477</v>
      </c>
      <c r="N21" t="s">
        <v>814</v>
      </c>
      <c r="O21" t="s">
        <v>1918</v>
      </c>
      <c r="Q21" t="s">
        <v>595</v>
      </c>
    </row>
    <row r="22" spans="1:17">
      <c r="B22" t="s">
        <v>812</v>
      </c>
      <c r="C22" t="s">
        <v>813</v>
      </c>
      <c r="D22">
        <v>3.42841434522658E-6</v>
      </c>
      <c r="E22" t="s">
        <v>94</v>
      </c>
      <c r="H22" t="s">
        <v>588</v>
      </c>
      <c r="I22">
        <v>3.42841434522658E-6</v>
      </c>
      <c r="J22">
        <v>1.1051709180756477</v>
      </c>
      <c r="N22" t="s">
        <v>814</v>
      </c>
      <c r="O22" t="s">
        <v>1918</v>
      </c>
      <c r="Q22" t="s">
        <v>595</v>
      </c>
    </row>
    <row r="23" spans="1:17">
      <c r="B23" t="s">
        <v>4267</v>
      </c>
      <c r="C23" t="s">
        <v>639</v>
      </c>
      <c r="D23">
        <v>8.4738046724737396E-3</v>
      </c>
      <c r="E23" t="s">
        <v>640</v>
      </c>
      <c r="H23" t="s">
        <v>588</v>
      </c>
      <c r="I23">
        <v>8.4738046724737396E-3</v>
      </c>
      <c r="J23">
        <v>1.1051709180756477</v>
      </c>
      <c r="O23" t="s">
        <v>5166</v>
      </c>
      <c r="Q23" t="s">
        <v>5302</v>
      </c>
    </row>
    <row r="25" spans="1:17">
      <c r="A25" s="502" t="s">
        <v>710</v>
      </c>
    </row>
    <row r="26" spans="1:17">
      <c r="A26" s="421" t="s">
        <v>570</v>
      </c>
      <c r="B26" s="421" t="s">
        <v>571</v>
      </c>
      <c r="C26" s="421" t="s">
        <v>568</v>
      </c>
      <c r="D26" s="421" t="s">
        <v>572</v>
      </c>
      <c r="E26" s="421" t="s">
        <v>573</v>
      </c>
      <c r="F26" s="421" t="s">
        <v>574</v>
      </c>
      <c r="G26" s="421" t="s">
        <v>575</v>
      </c>
      <c r="H26" s="421" t="s">
        <v>576</v>
      </c>
      <c r="I26" s="421" t="s">
        <v>577</v>
      </c>
      <c r="J26" s="421" t="s">
        <v>578</v>
      </c>
      <c r="K26" s="421" t="s">
        <v>579</v>
      </c>
      <c r="L26" s="421" t="s">
        <v>580</v>
      </c>
      <c r="M26" s="421" t="s">
        <v>581</v>
      </c>
      <c r="N26" s="421" t="s">
        <v>582</v>
      </c>
      <c r="O26" s="421" t="s">
        <v>583</v>
      </c>
      <c r="P26" s="421" t="s">
        <v>584</v>
      </c>
      <c r="Q26" s="421" t="s">
        <v>585</v>
      </c>
    </row>
    <row r="27" spans="1:17">
      <c r="B27" t="s">
        <v>722</v>
      </c>
      <c r="C27" t="s">
        <v>712</v>
      </c>
      <c r="D27">
        <v>4.1471796985283199E-4</v>
      </c>
      <c r="E27" t="s">
        <v>94</v>
      </c>
      <c r="H27" t="s">
        <v>588</v>
      </c>
      <c r="I27">
        <v>4.1471796985283199E-4</v>
      </c>
      <c r="J27">
        <v>3.3201169227365472</v>
      </c>
      <c r="O27" t="s">
        <v>798</v>
      </c>
      <c r="Q27" t="s">
        <v>5303</v>
      </c>
    </row>
    <row r="28" spans="1:17">
      <c r="B28" t="s">
        <v>731</v>
      </c>
      <c r="C28" t="s">
        <v>712</v>
      </c>
      <c r="D28">
        <v>6.5198450068209701E-8</v>
      </c>
      <c r="E28" t="s">
        <v>94</v>
      </c>
      <c r="H28" t="s">
        <v>588</v>
      </c>
      <c r="I28">
        <v>6.5198450068209701E-8</v>
      </c>
      <c r="J28">
        <v>1.4139824580805163</v>
      </c>
      <c r="O28" t="s">
        <v>798</v>
      </c>
      <c r="Q28" t="s">
        <v>2961</v>
      </c>
    </row>
    <row r="29" spans="1:17">
      <c r="B29" t="s">
        <v>732</v>
      </c>
      <c r="C29" t="s">
        <v>712</v>
      </c>
      <c r="D29">
        <v>1.40565465743388E-6</v>
      </c>
      <c r="E29" t="s">
        <v>94</v>
      </c>
      <c r="H29" t="s">
        <v>588</v>
      </c>
      <c r="I29">
        <v>1.40565465743388E-6</v>
      </c>
      <c r="J29">
        <v>1.4139824580805163</v>
      </c>
      <c r="O29" t="s">
        <v>798</v>
      </c>
      <c r="Q29" t="s">
        <v>2961</v>
      </c>
    </row>
    <row r="30" spans="1:17">
      <c r="B30" t="s">
        <v>734</v>
      </c>
      <c r="C30" t="s">
        <v>712</v>
      </c>
      <c r="D30">
        <v>4.1471796985283199E-4</v>
      </c>
      <c r="E30" t="s">
        <v>94</v>
      </c>
      <c r="H30" t="s">
        <v>588</v>
      </c>
      <c r="I30">
        <v>4.1471796985283199E-4</v>
      </c>
      <c r="J30">
        <v>2.3362057463217583</v>
      </c>
      <c r="O30" t="s">
        <v>798</v>
      </c>
      <c r="Q30" t="s">
        <v>2961</v>
      </c>
    </row>
    <row r="31" spans="1:17">
      <c r="B31" t="s">
        <v>740</v>
      </c>
      <c r="C31" t="s">
        <v>712</v>
      </c>
      <c r="D31">
        <v>1.92405211974992E-5</v>
      </c>
      <c r="E31" t="s">
        <v>94</v>
      </c>
      <c r="H31" t="s">
        <v>588</v>
      </c>
      <c r="I31">
        <v>1.92405211974992E-5</v>
      </c>
      <c r="J31">
        <v>3.6551902348342629</v>
      </c>
      <c r="O31" t="s">
        <v>798</v>
      </c>
      <c r="Q31" t="s">
        <v>5304</v>
      </c>
    </row>
    <row r="32" spans="1:17">
      <c r="B32" t="s">
        <v>743</v>
      </c>
      <c r="C32" t="s">
        <v>744</v>
      </c>
      <c r="D32">
        <v>3.22516867670508E-3</v>
      </c>
      <c r="E32" t="s">
        <v>94</v>
      </c>
      <c r="H32" t="s">
        <v>588</v>
      </c>
      <c r="I32">
        <v>3.22516867670508E-3</v>
      </c>
      <c r="J32">
        <v>1.1051709180756477</v>
      </c>
      <c r="N32" t="s">
        <v>745</v>
      </c>
      <c r="O32" t="s">
        <v>1918</v>
      </c>
      <c r="Q32" t="s">
        <v>979</v>
      </c>
    </row>
    <row r="33" spans="1:17">
      <c r="B33" t="s">
        <v>743</v>
      </c>
      <c r="C33" t="s">
        <v>744</v>
      </c>
      <c r="D33">
        <v>0.12338344231202</v>
      </c>
      <c r="E33" t="s">
        <v>94</v>
      </c>
      <c r="H33" t="s">
        <v>588</v>
      </c>
      <c r="I33">
        <v>0.12338344231202</v>
      </c>
      <c r="J33">
        <v>1.1051709180756477</v>
      </c>
      <c r="N33" t="s">
        <v>745</v>
      </c>
      <c r="O33" t="s">
        <v>1918</v>
      </c>
      <c r="Q33" t="s">
        <v>979</v>
      </c>
    </row>
    <row r="34" spans="1:17">
      <c r="B34" t="s">
        <v>749</v>
      </c>
      <c r="C34" t="s">
        <v>712</v>
      </c>
      <c r="D34">
        <v>1.11654838037301E-6</v>
      </c>
      <c r="E34" t="s">
        <v>94</v>
      </c>
      <c r="H34" t="s">
        <v>588</v>
      </c>
      <c r="I34">
        <v>1.11654838037301E-6</v>
      </c>
      <c r="J34">
        <v>1.1051709180756477</v>
      </c>
      <c r="O34" t="s">
        <v>1918</v>
      </c>
    </row>
    <row r="35" spans="1:17">
      <c r="B35" t="s">
        <v>762</v>
      </c>
      <c r="C35" t="s">
        <v>654</v>
      </c>
      <c r="D35">
        <v>4.80514570839099E-4</v>
      </c>
      <c r="E35" t="s">
        <v>94</v>
      </c>
      <c r="H35" t="s">
        <v>588</v>
      </c>
      <c r="I35">
        <v>4.80514570839099E-4</v>
      </c>
      <c r="J35">
        <v>1.7134630202947554</v>
      </c>
      <c r="O35" t="s">
        <v>952</v>
      </c>
    </row>
    <row r="36" spans="1:17">
      <c r="B36" t="s">
        <v>980</v>
      </c>
      <c r="C36" t="s">
        <v>712</v>
      </c>
      <c r="D36">
        <v>6.7291978281409099E-6</v>
      </c>
      <c r="E36" t="s">
        <v>94</v>
      </c>
      <c r="H36" t="s">
        <v>588</v>
      </c>
      <c r="I36">
        <v>6.7291978281409099E-6</v>
      </c>
      <c r="J36">
        <v>2.4596031111569499</v>
      </c>
      <c r="O36" t="s">
        <v>798</v>
      </c>
      <c r="Q36" t="s">
        <v>2961</v>
      </c>
    </row>
    <row r="37" spans="1:17">
      <c r="A37" s="421" t="s">
        <v>645</v>
      </c>
      <c r="B37" s="421" t="s">
        <v>3544</v>
      </c>
      <c r="C37" s="421" t="s">
        <v>1417</v>
      </c>
      <c r="D37" s="421">
        <v>1</v>
      </c>
      <c r="E37" s="421" t="s">
        <v>626</v>
      </c>
      <c r="F37" s="421">
        <v>4.4501490948818399</v>
      </c>
      <c r="G37" s="421" t="s">
        <v>647</v>
      </c>
      <c r="M37" s="421"/>
      <c r="O37" s="421"/>
      <c r="P37" s="421"/>
      <c r="Q37" s="421" t="s">
        <v>595</v>
      </c>
    </row>
    <row r="38" spans="1:17">
      <c r="B38" t="s">
        <v>4728</v>
      </c>
      <c r="C38" t="s">
        <v>744</v>
      </c>
      <c r="D38">
        <v>9.2214933200449496E-3</v>
      </c>
      <c r="E38" t="s">
        <v>94</v>
      </c>
      <c r="H38" t="s">
        <v>588</v>
      </c>
      <c r="I38">
        <v>9.2214933200449496E-3</v>
      </c>
      <c r="J38">
        <v>1.9703929666467694</v>
      </c>
      <c r="N38" t="s">
        <v>4729</v>
      </c>
      <c r="O38" t="s">
        <v>798</v>
      </c>
      <c r="Q38" t="s">
        <v>2961</v>
      </c>
    </row>
    <row r="39" spans="1:17">
      <c r="B39" t="s">
        <v>783</v>
      </c>
      <c r="C39" t="s">
        <v>712</v>
      </c>
      <c r="D39">
        <v>1.92405211974992E-5</v>
      </c>
      <c r="E39" t="s">
        <v>94</v>
      </c>
      <c r="H39" t="s">
        <v>588</v>
      </c>
      <c r="I39">
        <v>1.92405211974992E-5</v>
      </c>
      <c r="J39">
        <v>2.5823072908107996</v>
      </c>
      <c r="O39" t="s">
        <v>798</v>
      </c>
      <c r="Q39" t="s">
        <v>2961</v>
      </c>
    </row>
    <row r="40" spans="1:17">
      <c r="B40" t="s">
        <v>1596</v>
      </c>
      <c r="C40" t="s">
        <v>787</v>
      </c>
      <c r="D40">
        <v>1.2860244738224799E-3</v>
      </c>
      <c r="E40" t="s">
        <v>94</v>
      </c>
      <c r="H40" t="s">
        <v>588</v>
      </c>
      <c r="I40">
        <v>1.2860244738224799E-3</v>
      </c>
      <c r="J40">
        <v>1.5103034071977617</v>
      </c>
      <c r="N40" t="s">
        <v>1598</v>
      </c>
      <c r="O40" t="s">
        <v>952</v>
      </c>
      <c r="Q40" t="s">
        <v>979</v>
      </c>
    </row>
    <row r="41" spans="1:17">
      <c r="B41" t="s">
        <v>251</v>
      </c>
      <c r="C41" t="s">
        <v>654</v>
      </c>
      <c r="D41">
        <v>1.2710732273110001E-3</v>
      </c>
      <c r="E41" t="s">
        <v>640</v>
      </c>
      <c r="H41" t="s">
        <v>588</v>
      </c>
      <c r="I41">
        <v>1.2710732273110001E-3</v>
      </c>
      <c r="J41">
        <v>1.2214027581601699</v>
      </c>
      <c r="O41" t="s">
        <v>834</v>
      </c>
      <c r="Q41" t="s">
        <v>835</v>
      </c>
    </row>
    <row r="42" spans="1:17">
      <c r="B42" t="s">
        <v>5103</v>
      </c>
      <c r="C42" t="s">
        <v>712</v>
      </c>
      <c r="D42">
        <v>7.2027379650077402E-3</v>
      </c>
      <c r="E42" t="s">
        <v>640</v>
      </c>
      <c r="H42" t="s">
        <v>588</v>
      </c>
      <c r="I42">
        <v>7.2027379650077402E-3</v>
      </c>
      <c r="J42">
        <v>1.2214027581601699</v>
      </c>
      <c r="O42" t="s">
        <v>834</v>
      </c>
      <c r="Q42" t="s">
        <v>835</v>
      </c>
    </row>
    <row r="44" spans="1:17">
      <c r="A44" s="1043" t="s">
        <v>5218</v>
      </c>
      <c r="B44" s="1043"/>
      <c r="C44" s="1043"/>
      <c r="D44" s="1043"/>
      <c r="E44" s="1043"/>
    </row>
    <row r="45" spans="1:17">
      <c r="A45" s="430" t="str">
        <f>B13</f>
        <v>electricity, medium voltage</v>
      </c>
      <c r="B45" s="430">
        <f>SUMIFS($D$9:$D$22,$B$9:$B$22,A45)</f>
        <v>1.2959936557901</v>
      </c>
      <c r="C45" s="431" t="s">
        <v>598</v>
      </c>
      <c r="D45" s="433">
        <v>0</v>
      </c>
      <c r="E45" s="433" t="s">
        <v>5206</v>
      </c>
    </row>
    <row r="46" spans="1:17">
      <c r="A46" s="430" t="str">
        <f>B14</f>
        <v>heat, district or industrial, natural gas</v>
      </c>
      <c r="B46" s="430">
        <f>SUMIFS($D$9:$D$22,$B$9:$B$22,A46)</f>
        <v>24.1254203616311</v>
      </c>
      <c r="C46" s="10" t="s">
        <v>607</v>
      </c>
      <c r="D46" s="504">
        <v>0</v>
      </c>
      <c r="E46" s="504" t="s">
        <v>5288</v>
      </c>
    </row>
    <row r="48" spans="1:17">
      <c r="A48" s="5" t="s">
        <v>127</v>
      </c>
      <c r="B48" s="5">
        <f>3.6*B45+B46</f>
        <v>28.790997522475461</v>
      </c>
      <c r="C48" s="10" t="s">
        <v>607</v>
      </c>
    </row>
  </sheetData>
  <mergeCells count="1">
    <mergeCell ref="A44:E44"/>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C3AAF-5609-452A-A758-A976F34EAF2E}">
  <sheetPr>
    <tabColor theme="9"/>
  </sheetPr>
  <dimension ref="A1:BX42"/>
  <sheetViews>
    <sheetView showGridLines="0" topLeftCell="B3" zoomScale="70" zoomScaleNormal="70" workbookViewId="0">
      <pane xSplit="4" ySplit="1" topLeftCell="AM25" activePane="bottomRight" state="frozen"/>
      <selection activeCell="B3" sqref="B3"/>
      <selection pane="topRight" activeCell="F3" sqref="F3"/>
      <selection pane="bottomLeft" activeCell="B4" sqref="B4"/>
      <selection pane="bottomRight" activeCell="BA40" sqref="BA40"/>
    </sheetView>
  </sheetViews>
  <sheetFormatPr defaultRowHeight="14.4"/>
  <cols>
    <col min="3" max="3" width="8.21875" bestFit="1" customWidth="1"/>
    <col min="4" max="4" width="22.88671875" customWidth="1"/>
    <col min="5" max="5" width="13.5546875" customWidth="1"/>
    <col min="6" max="29" width="16.77734375" customWidth="1"/>
    <col min="30" max="30" width="20.33203125" bestFit="1" customWidth="1"/>
    <col min="31" max="44" width="16.77734375" customWidth="1"/>
    <col min="45" max="45" width="10.33203125" bestFit="1" customWidth="1"/>
    <col min="46" max="46" width="8.109375" bestFit="1" customWidth="1"/>
    <col min="47" max="47" width="12.33203125" bestFit="1" customWidth="1"/>
    <col min="48" max="48" width="11.33203125" bestFit="1" customWidth="1"/>
    <col min="49" max="49" width="16.33203125" bestFit="1" customWidth="1"/>
    <col min="50" max="50" width="16.88671875" bestFit="1" customWidth="1"/>
    <col min="51" max="51" width="20.88671875" bestFit="1" customWidth="1"/>
    <col min="52" max="53" width="18.33203125" bestFit="1" customWidth="1"/>
    <col min="54" max="54" width="16.44140625" bestFit="1" customWidth="1"/>
    <col min="55" max="55" width="8.6640625" bestFit="1" customWidth="1"/>
    <col min="56" max="56" width="15.6640625" bestFit="1" customWidth="1"/>
    <col min="57" max="57" width="8.6640625" bestFit="1" customWidth="1"/>
    <col min="58" max="58" width="15.33203125" bestFit="1" customWidth="1"/>
    <col min="59" max="59" width="16.88671875" bestFit="1" customWidth="1"/>
    <col min="61" max="61" width="10.33203125" bestFit="1" customWidth="1"/>
    <col min="62" max="62" width="8.109375" bestFit="1" customWidth="1"/>
    <col min="63" max="63" width="12.33203125" bestFit="1" customWidth="1"/>
    <col min="64" max="64" width="11.33203125" bestFit="1" customWidth="1"/>
    <col min="65" max="65" width="16.33203125" bestFit="1" customWidth="1"/>
    <col min="66" max="66" width="16.88671875" bestFit="1" customWidth="1"/>
    <col min="67" max="67" width="20.88671875" bestFit="1" customWidth="1"/>
    <col min="68" max="69" width="18.33203125" bestFit="1" customWidth="1"/>
    <col min="70" max="70" width="16.44140625" bestFit="1" customWidth="1"/>
    <col min="71" max="71" width="8.6640625" bestFit="1" customWidth="1"/>
    <col min="72" max="72" width="15.6640625" bestFit="1" customWidth="1"/>
    <col min="73" max="73" width="8.6640625" bestFit="1" customWidth="1"/>
    <col min="74" max="74" width="15.33203125" bestFit="1" customWidth="1"/>
    <col min="75" max="75" width="16.88671875" bestFit="1" customWidth="1"/>
    <col min="76" max="76" width="5.44140625" bestFit="1" customWidth="1"/>
  </cols>
  <sheetData>
    <row r="1" spans="1:75">
      <c r="AS1" s="894" t="str">
        <f>CONCATENATE($AS$2,AS3)</f>
        <v>MODELOMineração da bauxita</v>
      </c>
      <c r="AT1" s="894" t="str">
        <f t="shared" ref="AT1:BG1" si="0">CONCATENATE($AS$2,AT3)</f>
        <v>MODELOBauxita, market</v>
      </c>
      <c r="AU1" s="894" t="str">
        <f t="shared" si="0"/>
        <v>MODELOHidróxido de alumínio</v>
      </c>
      <c r="AV1" s="894" t="str">
        <f t="shared" si="0"/>
        <v>MODELOÓxido de aluminio ou alumina</v>
      </c>
      <c r="AW1" s="894" t="str">
        <f t="shared" si="0"/>
        <v>MODELOAlumínio primário líquido, soderberg</v>
      </c>
      <c r="AX1" s="894" t="str">
        <f t="shared" si="0"/>
        <v>MODELOAlumínio primário líquido, prebake</v>
      </c>
      <c r="AY1" s="894" t="str">
        <f t="shared" si="0"/>
        <v>MODELOLingote de alumínio primário, mix de rotas (Prebake e Soderberg)</v>
      </c>
      <c r="AZ1" s="894" t="str">
        <f t="shared" si="0"/>
        <v>MODELOLingote de alumínio primário, fundido (cast alloy)</v>
      </c>
      <c r="BA1" s="894" t="str">
        <f t="shared" si="0"/>
        <v>MODELOLingote de alumínio primário forjado (wrought alloy)</v>
      </c>
      <c r="BB1" s="894" t="str">
        <f t="shared" si="0"/>
        <v>MODELOalumínio fundido, inserção de reciclagem</v>
      </c>
      <c r="BC1" s="894" t="str">
        <f t="shared" si="0"/>
        <v>MODELOalumínio fundido, market</v>
      </c>
      <c r="BD1" s="894" t="str">
        <f t="shared" si="0"/>
        <v>MODELOalumínio forjado, inserção de reciclagem</v>
      </c>
      <c r="BE1" s="894" t="str">
        <f t="shared" si="0"/>
        <v>MODELOalumínio forjado, market</v>
      </c>
      <c r="BF1" s="894" t="str">
        <f t="shared" si="0"/>
        <v>MODELOMix de alumínio forjado e fundido</v>
      </c>
      <c r="BG1" s="894" t="str">
        <f t="shared" si="0"/>
        <v>MODELOMIX 3 - Sheet rolling + extrusion + casting</v>
      </c>
      <c r="BI1" s="895" t="str">
        <f>CONCATENATE($BI$2,BI3)</f>
        <v>SIMAPROMineração da bauxita</v>
      </c>
      <c r="BJ1" s="895" t="str">
        <f t="shared" ref="BJ1:BW1" si="1">CONCATENATE($BI$2,BJ3)</f>
        <v>SIMAPROBauxita, market</v>
      </c>
      <c r="BK1" s="895" t="str">
        <f t="shared" si="1"/>
        <v>SIMAPROHidróxido de alumínio</v>
      </c>
      <c r="BL1" s="895" t="str">
        <f t="shared" si="1"/>
        <v>SIMAPROÓxido de aluminio ou alumina</v>
      </c>
      <c r="BM1" s="895" t="str">
        <f t="shared" si="1"/>
        <v>SIMAPROAlumínio primário líquido, soderberg</v>
      </c>
      <c r="BN1" s="895" t="str">
        <f t="shared" si="1"/>
        <v>SIMAPROAlumínio primário líquido, prebake</v>
      </c>
      <c r="BO1" s="895" t="str">
        <f t="shared" si="1"/>
        <v>SIMAPROLingote de alumínio primário, mix de rotas (Prebake e Soderberg)</v>
      </c>
      <c r="BP1" s="895" t="str">
        <f t="shared" si="1"/>
        <v>SIMAPROLingote de alumínio primário, fundido (cast alloy)</v>
      </c>
      <c r="BQ1" s="895" t="str">
        <f t="shared" si="1"/>
        <v>SIMAPROLingote de alumínio primário forjado (wrought alloy)</v>
      </c>
      <c r="BR1" s="895" t="str">
        <f t="shared" si="1"/>
        <v>SIMAPROalumínio fundido, inserção de reciclagem</v>
      </c>
      <c r="BS1" s="895" t="str">
        <f t="shared" si="1"/>
        <v>SIMAPROalumínio fundido, market</v>
      </c>
      <c r="BT1" s="895" t="str">
        <f t="shared" si="1"/>
        <v>SIMAPROalumínio forjado, inserção de reciclagem</v>
      </c>
      <c r="BU1" s="895" t="str">
        <f t="shared" si="1"/>
        <v>SIMAPROalumínio forjado, market</v>
      </c>
      <c r="BV1" s="895" t="str">
        <f t="shared" si="1"/>
        <v>SIMAPROMix de alumínio forjado e fundido</v>
      </c>
      <c r="BW1" s="895" t="str">
        <f t="shared" si="1"/>
        <v>SIMAPROMIX 3 - Sheet rolling + extrusion + casting</v>
      </c>
    </row>
    <row r="2" spans="1:75" ht="21">
      <c r="F2" t="s">
        <v>5758</v>
      </c>
      <c r="G2" t="s">
        <v>5758</v>
      </c>
      <c r="H2" t="s">
        <v>5758</v>
      </c>
      <c r="I2" t="s">
        <v>5758</v>
      </c>
      <c r="J2" t="s">
        <v>5758</v>
      </c>
      <c r="K2" t="s">
        <v>5759</v>
      </c>
      <c r="L2" t="s">
        <v>5759</v>
      </c>
      <c r="M2" t="s">
        <v>5759</v>
      </c>
      <c r="N2" t="s">
        <v>5759</v>
      </c>
      <c r="O2" t="s">
        <v>5759</v>
      </c>
      <c r="P2" t="s">
        <v>5759</v>
      </c>
      <c r="Q2" t="s">
        <v>5759</v>
      </c>
      <c r="R2" t="s">
        <v>5759</v>
      </c>
      <c r="S2" t="s">
        <v>5759</v>
      </c>
      <c r="T2" t="s">
        <v>5759</v>
      </c>
      <c r="U2" t="s">
        <v>5759</v>
      </c>
      <c r="V2" t="s">
        <v>5759</v>
      </c>
      <c r="W2" t="s">
        <v>5759</v>
      </c>
      <c r="X2" t="s">
        <v>5759</v>
      </c>
      <c r="Y2" t="s">
        <v>5759</v>
      </c>
      <c r="Z2" t="s">
        <v>5759</v>
      </c>
      <c r="AA2" t="s">
        <v>5759</v>
      </c>
      <c r="AB2" t="s">
        <v>5759</v>
      </c>
      <c r="AC2" t="s">
        <v>5759</v>
      </c>
      <c r="AD2" t="s">
        <v>5759</v>
      </c>
      <c r="AE2" t="s">
        <v>5759</v>
      </c>
      <c r="AF2" t="s">
        <v>5759</v>
      </c>
      <c r="AG2" t="s">
        <v>5759</v>
      </c>
      <c r="AH2" t="s">
        <v>5759</v>
      </c>
      <c r="AI2" t="s">
        <v>5759</v>
      </c>
      <c r="AJ2" t="s">
        <v>5759</v>
      </c>
      <c r="AK2" t="s">
        <v>5759</v>
      </c>
      <c r="AL2" t="s">
        <v>5759</v>
      </c>
      <c r="AM2" t="s">
        <v>5759</v>
      </c>
      <c r="AN2" t="s">
        <v>5759</v>
      </c>
      <c r="AO2" t="s">
        <v>5759</v>
      </c>
      <c r="AP2" t="s">
        <v>5759</v>
      </c>
      <c r="AQ2" t="s">
        <v>5759</v>
      </c>
      <c r="AS2" s="426" t="s">
        <v>5813</v>
      </c>
      <c r="BI2" s="426" t="s">
        <v>5814</v>
      </c>
    </row>
    <row r="3" spans="1:75" ht="62.4">
      <c r="C3" s="843" t="s">
        <v>528</v>
      </c>
      <c r="D3" s="844" t="s">
        <v>5754</v>
      </c>
      <c r="E3" s="843" t="s">
        <v>5607</v>
      </c>
      <c r="F3" s="857" t="s">
        <v>182</v>
      </c>
      <c r="G3" s="857" t="s">
        <v>556</v>
      </c>
      <c r="H3" s="857" t="s">
        <v>5203</v>
      </c>
      <c r="I3" s="857" t="s">
        <v>5204</v>
      </c>
      <c r="J3" s="857" t="s">
        <v>5205</v>
      </c>
      <c r="K3" s="857" t="s">
        <v>555</v>
      </c>
      <c r="L3" s="857" t="s">
        <v>554</v>
      </c>
      <c r="M3" s="857" t="s">
        <v>502</v>
      </c>
      <c r="N3" s="857" t="s">
        <v>503</v>
      </c>
      <c r="O3" s="857" t="s">
        <v>509</v>
      </c>
      <c r="P3" s="857" t="s">
        <v>5394</v>
      </c>
      <c r="Q3" s="857" t="s">
        <v>5395</v>
      </c>
      <c r="R3" s="857" t="s">
        <v>488</v>
      </c>
      <c r="S3" s="857" t="s">
        <v>489</v>
      </c>
      <c r="T3" s="857" t="s">
        <v>5314</v>
      </c>
      <c r="U3" s="857" t="s">
        <v>5315</v>
      </c>
      <c r="V3" s="857" t="s">
        <v>524</v>
      </c>
      <c r="W3" s="857" t="s">
        <v>5547</v>
      </c>
      <c r="X3" s="857" t="s">
        <v>5359</v>
      </c>
      <c r="Y3" s="857" t="s">
        <v>5360</v>
      </c>
      <c r="Z3" s="857" t="s">
        <v>5361</v>
      </c>
      <c r="AA3" s="857" t="s">
        <v>5362</v>
      </c>
      <c r="AB3" s="857" t="s">
        <v>5476</v>
      </c>
      <c r="AC3" s="878" t="s">
        <v>5477</v>
      </c>
      <c r="AD3" s="886" t="s">
        <v>5812</v>
      </c>
      <c r="AE3" s="884" t="s">
        <v>557</v>
      </c>
      <c r="AF3" s="857" t="s">
        <v>525</v>
      </c>
      <c r="AG3" s="857" t="s">
        <v>5550</v>
      </c>
      <c r="AH3" s="857" t="s">
        <v>5475</v>
      </c>
      <c r="AI3" s="857" t="s">
        <v>526</v>
      </c>
      <c r="AJ3" s="857" t="s">
        <v>196</v>
      </c>
      <c r="AK3" s="857" t="s">
        <v>5193</v>
      </c>
      <c r="AL3" s="857" t="s">
        <v>5210</v>
      </c>
      <c r="AM3" s="857" t="s">
        <v>5211</v>
      </c>
      <c r="AN3" s="857" t="s">
        <v>5212</v>
      </c>
      <c r="AO3" s="857" t="s">
        <v>480</v>
      </c>
      <c r="AP3" s="878" t="s">
        <v>5194</v>
      </c>
      <c r="AQ3" s="855" t="s">
        <v>5195</v>
      </c>
      <c r="AS3" s="882" t="s">
        <v>5604</v>
      </c>
      <c r="AT3" s="881" t="s">
        <v>5638</v>
      </c>
      <c r="AU3" s="870" t="s">
        <v>5646</v>
      </c>
      <c r="AV3" s="871" t="s">
        <v>5660</v>
      </c>
      <c r="AW3" s="872" t="s">
        <v>5664</v>
      </c>
      <c r="AX3" s="868" t="s">
        <v>5683</v>
      </c>
      <c r="AY3" s="869" t="s">
        <v>5687</v>
      </c>
      <c r="AZ3" s="873" t="s">
        <v>5704</v>
      </c>
      <c r="BA3" s="874" t="s">
        <v>5712</v>
      </c>
      <c r="BB3" s="872" t="s">
        <v>5715</v>
      </c>
      <c r="BC3" s="875" t="s">
        <v>5723</v>
      </c>
      <c r="BD3" s="869" t="s">
        <v>5726</v>
      </c>
      <c r="BE3" s="873" t="s">
        <v>5730</v>
      </c>
      <c r="BF3" s="876" t="s">
        <v>5732</v>
      </c>
      <c r="BG3" s="872" t="s">
        <v>5736</v>
      </c>
      <c r="BI3" s="882" t="s">
        <v>5604</v>
      </c>
      <c r="BJ3" s="881" t="s">
        <v>5638</v>
      </c>
      <c r="BK3" s="870" t="s">
        <v>5646</v>
      </c>
      <c r="BL3" s="871" t="s">
        <v>5660</v>
      </c>
      <c r="BM3" s="872" t="s">
        <v>5664</v>
      </c>
      <c r="BN3" s="868" t="s">
        <v>5683</v>
      </c>
      <c r="BO3" s="869" t="s">
        <v>5687</v>
      </c>
      <c r="BP3" s="873" t="s">
        <v>5704</v>
      </c>
      <c r="BQ3" s="874" t="s">
        <v>5712</v>
      </c>
      <c r="BR3" s="872" t="s">
        <v>5715</v>
      </c>
      <c r="BS3" s="875" t="s">
        <v>5723</v>
      </c>
      <c r="BT3" s="869" t="s">
        <v>5726</v>
      </c>
      <c r="BU3" s="873" t="s">
        <v>5730</v>
      </c>
      <c r="BV3" s="876" t="s">
        <v>5732</v>
      </c>
      <c r="BW3" s="872" t="s">
        <v>5736</v>
      </c>
    </row>
    <row r="4" spans="1:75" ht="26.4" customHeight="1">
      <c r="A4" t="s">
        <v>5756</v>
      </c>
      <c r="B4" s="846">
        <v>25</v>
      </c>
      <c r="C4" s="902"/>
      <c r="D4" s="898" t="s">
        <v>482</v>
      </c>
      <c r="E4" s="387" t="s">
        <v>94</v>
      </c>
      <c r="F4" s="856">
        <f>VLOOKUP(F$3,'FE - Aluminum'!$E$11:$BF$54,$B4,FALSE)</f>
        <v>-2756.3041165102877</v>
      </c>
      <c r="G4" s="856">
        <f>VLOOKUP(G$3,'FE - Aluminum'!$E$11:$BF$54,$B4,FALSE)</f>
        <v>0</v>
      </c>
      <c r="H4" s="856">
        <f>VLOOKUP(H$3,'FE - Aluminum'!$E$11:$BF$54,$B4,FALSE)</f>
        <v>0</v>
      </c>
      <c r="I4" s="856">
        <f>VLOOKUP(I$3,'FE - Aluminum'!$E$11:$BF$54,$B4,FALSE)</f>
        <v>0</v>
      </c>
      <c r="J4" s="856">
        <f>VLOOKUP(J$3,'FE - Aluminum'!$E$11:$BF$54,$B4,FALSE)</f>
        <v>0</v>
      </c>
      <c r="K4" s="856">
        <f>VLOOKUP(K$3,'FE - Aluminum'!$E$11:$BF$54,$B4,FALSE)</f>
        <v>0</v>
      </c>
      <c r="L4" s="856">
        <f>VLOOKUP(L$3,'FE - Aluminum'!$E$11:$BF$54,$B4,FALSE)</f>
        <v>0</v>
      </c>
      <c r="M4" s="856">
        <f>VLOOKUP(M$3,'FE - Aluminum'!$E$11:$BF$54,$B4,FALSE)</f>
        <v>0</v>
      </c>
      <c r="N4" s="856">
        <f>VLOOKUP(N$3,'FE - Aluminum'!$E$11:$BF$54,$B4,FALSE)</f>
        <v>0</v>
      </c>
      <c r="O4" s="856">
        <f>VLOOKUP(O$3,'FE - Aluminum'!$E$11:$BF$54,$B4,FALSE)</f>
        <v>0</v>
      </c>
      <c r="P4" s="856">
        <f>VLOOKUP(P$3,'FE - Aluminum'!$E$11:$BF$54,$B4,FALSE)</f>
        <v>2756.3041165102877</v>
      </c>
      <c r="Q4" s="856">
        <f>VLOOKUP(Q$3,'FE - Aluminum'!$E$11:$BF$54,$B4,FALSE)</f>
        <v>0</v>
      </c>
      <c r="R4" s="856">
        <f>VLOOKUP(R$3,'FE - Aluminum'!$E$11:$BF$54,$B4,FALSE)</f>
        <v>0</v>
      </c>
      <c r="S4" s="856">
        <f>VLOOKUP(S$3,'FE - Aluminum'!$E$11:$BF$54,$B4,FALSE)</f>
        <v>0</v>
      </c>
      <c r="T4" s="856">
        <f>VLOOKUP(T$3,'FE - Aluminum'!$E$11:$BF$54,$B4,FALSE)</f>
        <v>0</v>
      </c>
      <c r="U4" s="856">
        <f>VLOOKUP(U$3,'FE - Aluminum'!$E$11:$BF$54,$B4,FALSE)</f>
        <v>0</v>
      </c>
      <c r="V4" s="856">
        <f>VLOOKUP(V$3,'FE - Aluminum'!$E$11:$BF$54,$B4,FALSE)</f>
        <v>0</v>
      </c>
      <c r="W4" s="856">
        <f>VLOOKUP(W$3,'FE - Aluminum'!$E$11:$BF$54,$B4,FALSE)</f>
        <v>0</v>
      </c>
      <c r="X4" s="856">
        <f>VLOOKUP(X$3,'FE - Aluminum'!$E$11:$BF$54,$B4,FALSE)</f>
        <v>0</v>
      </c>
      <c r="Y4" s="856">
        <f>VLOOKUP(Y$3,'FE - Aluminum'!$E$11:$BF$54,$B4,FALSE)</f>
        <v>0</v>
      </c>
      <c r="Z4" s="856">
        <f>VLOOKUP(Z$3,'FE - Aluminum'!$E$11:$BF$54,$B4,FALSE)</f>
        <v>0</v>
      </c>
      <c r="AA4" s="856">
        <f>VLOOKUP(AA$3,'FE - Aluminum'!$E$11:$BF$54,$B4,FALSE)</f>
        <v>0</v>
      </c>
      <c r="AB4" s="856">
        <f>VLOOKUP(AB$3,'FE - Aluminum'!$E$11:$BF$54,$B4,FALSE)</f>
        <v>0</v>
      </c>
      <c r="AC4" s="856">
        <f>VLOOKUP(AC$3,'FE - Aluminum'!$E$11:$BF$54,$B4,FALSE)</f>
        <v>0</v>
      </c>
      <c r="AD4" s="885">
        <f>VLOOKUP(AD$3,'FE - Aluminum'!$E$11:$BF$54,$B4,FALSE)</f>
        <v>0</v>
      </c>
      <c r="AE4" s="856">
        <f>VLOOKUP(AE$3,'FE - Aluminum'!$E$11:$BF$54,$B4,FALSE)</f>
        <v>0</v>
      </c>
      <c r="AF4" s="856">
        <f>VLOOKUP(AF$3,'FE - Aluminum'!$E$11:$BF$54,$B4,FALSE)</f>
        <v>0</v>
      </c>
      <c r="AG4" s="856">
        <f>VLOOKUP(AG$3,'FE - Aluminum'!$E$11:$BF$54,$B4,FALSE)</f>
        <v>0</v>
      </c>
      <c r="AH4" s="856">
        <f>VLOOKUP(AH$3,'FE - Aluminum'!$E$11:$BF$54,$B4,FALSE)</f>
        <v>0</v>
      </c>
      <c r="AI4" s="856">
        <f>VLOOKUP(AI$3,'FE - Aluminum'!$E$11:$BF$54,$B4,FALSE)</f>
        <v>0</v>
      </c>
      <c r="AJ4" s="856">
        <f>VLOOKUP(AJ$3,'FE - Aluminum'!$E$11:$BF$54,$B4,FALSE)</f>
        <v>0</v>
      </c>
      <c r="AK4" s="856">
        <f>VLOOKUP(AK$3,'FE - Aluminum'!$E$11:$BF$54,$B4,FALSE)</f>
        <v>0</v>
      </c>
      <c r="AL4" s="856">
        <f>VLOOKUP(AL$3,'FE - Aluminum'!$E$11:$BF$54,$B4,FALSE)</f>
        <v>0</v>
      </c>
      <c r="AM4" s="856">
        <f>VLOOKUP(AM$3,'FE - Aluminum'!$E$11:$BF$54,$B4,FALSE)</f>
        <v>0</v>
      </c>
      <c r="AN4" s="856">
        <f>VLOOKUP(AN$3,'FE - Aluminum'!$E$11:$BF$54,$B4,FALSE)</f>
        <v>0</v>
      </c>
      <c r="AO4" s="856">
        <f>VLOOKUP(AO$3,'FE - Aluminum'!$E$11:$BF$54,$B4,FALSE)</f>
        <v>0</v>
      </c>
      <c r="AP4" s="856">
        <f>VLOOKUP(AP$3,'FE - Aluminum'!$E$11:$BF$54,$B4,FALSE)</f>
        <v>0</v>
      </c>
      <c r="AQ4" s="856">
        <f>VLOOKUP(AQ$3,'FE - Aluminum'!$E$11:$BF$54,$B4,FALSE)</f>
        <v>0</v>
      </c>
      <c r="AR4" s="880"/>
      <c r="AS4" s="879">
        <f>F4</f>
        <v>-2756.3041165102877</v>
      </c>
      <c r="AT4" s="887"/>
      <c r="AU4" s="888">
        <f>SUM(P4:R4)</f>
        <v>2756.3041165102877</v>
      </c>
      <c r="AV4" s="888">
        <f>S4</f>
        <v>0</v>
      </c>
      <c r="AW4" s="888">
        <f>U4</f>
        <v>0</v>
      </c>
      <c r="AX4" s="888">
        <f>T4</f>
        <v>0</v>
      </c>
      <c r="AY4" s="888">
        <f>W4</f>
        <v>0</v>
      </c>
      <c r="AZ4" s="888">
        <f>AH4</f>
        <v>0</v>
      </c>
      <c r="BA4" s="888">
        <f>SUM(AE4:AF4)</f>
        <v>0</v>
      </c>
      <c r="BB4" s="888">
        <f>$AG$23/1000*V4</f>
        <v>0</v>
      </c>
      <c r="BC4" s="888"/>
      <c r="BD4" s="888">
        <f t="shared" ref="BD4:BD19" si="2">$AD$23/1000*V4</f>
        <v>0</v>
      </c>
      <c r="BE4" s="888"/>
      <c r="BF4" s="888">
        <f>AI4</f>
        <v>0</v>
      </c>
      <c r="BG4" s="888">
        <f>SUM(AE4:AF4)+AH4</f>
        <v>0</v>
      </c>
      <c r="BH4" s="889"/>
      <c r="BI4" s="866">
        <f>IFERROR(VLOOKUP(CONCATENATE(BI$3,$D4),'LCI - Simapro'!$A$2:$N$284,11,FALSE),0)</f>
        <v>1</v>
      </c>
      <c r="BJ4" s="866">
        <f>IFERROR(VLOOKUP(CONCATENATE(BJ$3,$D4),'LCI - Simapro'!$A$2:$N$284,11,FALSE),0)</f>
        <v>0</v>
      </c>
      <c r="BK4" s="866">
        <f>IFERROR(VLOOKUP(CONCATENATE(BK$3,$D4),'LCI - Simapro'!$A$2:$N$284,11,FALSE),0)</f>
        <v>1.5649999999999999</v>
      </c>
      <c r="BL4" s="866">
        <f>IFERROR(VLOOKUP(CONCATENATE(BL$3,$D4),'LCI - Simapro'!$A$2:$N$284,11,FALSE),0)</f>
        <v>0</v>
      </c>
      <c r="BM4" s="866">
        <f>IFERROR(VLOOKUP(CONCATENATE(BM$3,$D4),'LCI - Simapro'!$A$2:$N$284,11,FALSE),0)</f>
        <v>0</v>
      </c>
      <c r="BN4" s="866">
        <f>IFERROR(VLOOKUP(CONCATENATE(BN$3,$D4),'LCI - Simapro'!$A$2:$N$284,11,FALSE),0)</f>
        <v>0</v>
      </c>
      <c r="BO4" s="866">
        <f>IFERROR(VLOOKUP(CONCATENATE(BO$3,$D4),'LCI - Simapro'!$A$2:$N$284,11,FALSE),0)</f>
        <v>0</v>
      </c>
      <c r="BP4" s="866">
        <f>IFERROR(VLOOKUP(CONCATENATE(BP$3,$D4),'LCI - Simapro'!$A$2:$N$284,11,FALSE),0)</f>
        <v>0</v>
      </c>
      <c r="BQ4" s="866">
        <f>IFERROR(VLOOKUP(CONCATENATE(BQ$3,$D4),'LCI - Simapro'!$A$2:$N$284,11,FALSE),0)</f>
        <v>0</v>
      </c>
      <c r="BR4" s="866">
        <f>IFERROR(VLOOKUP(CONCATENATE(BR$3,$D4),'LCI - Simapro'!$A$2:$N$284,11,FALSE),0)</f>
        <v>0</v>
      </c>
      <c r="BS4" s="866">
        <f>IFERROR(VLOOKUP(CONCATENATE(BS$3,$D4),'LCI - Simapro'!$A$2:$N$284,11,FALSE),0)</f>
        <v>0</v>
      </c>
      <c r="BT4" s="866">
        <f>IFERROR(VLOOKUP(CONCATENATE(BT$3,$D4),'LCI - Simapro'!$A$2:$N$284,11,FALSE),0)</f>
        <v>0</v>
      </c>
      <c r="BU4" s="866">
        <f>IFERROR(VLOOKUP(CONCATENATE(BU$3,$D4),'LCI - Simapro'!$A$2:$N$284,11,FALSE),0)</f>
        <v>0</v>
      </c>
      <c r="BV4" s="866">
        <f>IFERROR(VLOOKUP(CONCATENATE(BV$3,$D4),'LCI - Simapro'!$A$2:$N$284,11,FALSE),0)</f>
        <v>0</v>
      </c>
      <c r="BW4" s="866">
        <f>IFERROR(VLOOKUP(CONCATENATE(BW$3,$D4),'LCI - Simapro'!$A$2:$N$284,11,FALSE),0)</f>
        <v>0</v>
      </c>
    </row>
    <row r="5" spans="1:75" ht="26.4" customHeight="1">
      <c r="A5" t="s">
        <v>5756</v>
      </c>
      <c r="B5" s="846">
        <v>26</v>
      </c>
      <c r="C5" s="902"/>
      <c r="D5" s="898" t="s">
        <v>87</v>
      </c>
      <c r="E5" s="387" t="s">
        <v>94</v>
      </c>
      <c r="F5" s="856">
        <f>VLOOKUP(F$3,'FE - Aluminum'!$E$11:$BF$54,$B5,FALSE)</f>
        <v>0</v>
      </c>
      <c r="G5" s="856">
        <f>VLOOKUP(G$3,'FE - Aluminum'!$E$11:$BF$54,$B5,FALSE)</f>
        <v>0</v>
      </c>
      <c r="H5" s="856">
        <f>VLOOKUP(H$3,'FE - Aluminum'!$E$11:$BF$54,$B5,FALSE)</f>
        <v>0</v>
      </c>
      <c r="I5" s="856">
        <f>VLOOKUP(I$3,'FE - Aluminum'!$E$11:$BF$54,$B5,FALSE)</f>
        <v>-196.4405945320286</v>
      </c>
      <c r="J5" s="856">
        <f>VLOOKUP(J$3,'FE - Aluminum'!$E$11:$BF$54,$B5,FALSE)</f>
        <v>0</v>
      </c>
      <c r="K5" s="856">
        <f>VLOOKUP(K$3,'FE - Aluminum'!$E$11:$BF$54,$B5,FALSE)</f>
        <v>125.76720095400003</v>
      </c>
      <c r="L5" s="856">
        <f>VLOOKUP(L$3,'FE - Aluminum'!$E$11:$BF$54,$B5,FALSE)</f>
        <v>68.561565006600006</v>
      </c>
      <c r="M5" s="856">
        <f>VLOOKUP(M$3,'FE - Aluminum'!$E$11:$BF$54,$B5,FALSE)</f>
        <v>0</v>
      </c>
      <c r="N5" s="856">
        <f>VLOOKUP(N$3,'FE - Aluminum'!$E$11:$BF$54,$B5,FALSE)</f>
        <v>0</v>
      </c>
      <c r="O5" s="856">
        <f>VLOOKUP(O$3,'FE - Aluminum'!$E$11:$BF$54,$B5,FALSE)</f>
        <v>0</v>
      </c>
      <c r="P5" s="856">
        <f>VLOOKUP(P$3,'FE - Aluminum'!$E$11:$BF$54,$B5,FALSE)</f>
        <v>0</v>
      </c>
      <c r="Q5" s="856">
        <f>VLOOKUP(Q$3,'FE - Aluminum'!$E$11:$BF$54,$B5,FALSE)</f>
        <v>0</v>
      </c>
      <c r="R5" s="856">
        <f>VLOOKUP(R$3,'FE - Aluminum'!$E$11:$BF$54,$B5,FALSE)</f>
        <v>0</v>
      </c>
      <c r="S5" s="856">
        <f>VLOOKUP(S$3,'FE - Aluminum'!$E$11:$BF$54,$B5,FALSE)</f>
        <v>0</v>
      </c>
      <c r="T5" s="856">
        <f>VLOOKUP(T$3,'FE - Aluminum'!$E$11:$BF$54,$B5,FALSE)</f>
        <v>1.4233724571428574</v>
      </c>
      <c r="U5" s="856">
        <f>VLOOKUP(U$3,'FE - Aluminum'!$E$11:$BF$54,$B5,FALSE)</f>
        <v>0.68845611428571429</v>
      </c>
      <c r="V5" s="856">
        <f>VLOOKUP(V$3,'FE - Aluminum'!$E$11:$BF$54,$B5,FALSE)</f>
        <v>0</v>
      </c>
      <c r="W5" s="856">
        <f>VLOOKUP(W$3,'FE - Aluminum'!$E$11:$BF$54,$B5,FALSE)</f>
        <v>0</v>
      </c>
      <c r="X5" s="856">
        <f>VLOOKUP(X$3,'FE - Aluminum'!$E$11:$BF$54,$B5,FALSE)</f>
        <v>0</v>
      </c>
      <c r="Y5" s="856">
        <f>VLOOKUP(Y$3,'FE - Aluminum'!$E$11:$BF$54,$B5,FALSE)</f>
        <v>0</v>
      </c>
      <c r="Z5" s="856">
        <f>VLOOKUP(Z$3,'FE - Aluminum'!$E$11:$BF$54,$B5,FALSE)</f>
        <v>0</v>
      </c>
      <c r="AA5" s="856">
        <f>VLOOKUP(AA$3,'FE - Aluminum'!$E$11:$BF$54,$B5,FALSE)</f>
        <v>0</v>
      </c>
      <c r="AB5" s="856">
        <f>VLOOKUP(AB$3,'FE - Aluminum'!$E$11:$BF$54,$B5,FALSE)</f>
        <v>0</v>
      </c>
      <c r="AC5" s="856">
        <f>VLOOKUP(AC$3,'FE - Aluminum'!$E$11:$BF$54,$B5,FALSE)</f>
        <v>0</v>
      </c>
      <c r="AD5" s="856">
        <f>VLOOKUP(AD$3,'FE - Aluminum'!$E$11:$BF$54,$B5,FALSE)</f>
        <v>0</v>
      </c>
      <c r="AE5" s="856">
        <f>VLOOKUP(AE$3,'FE - Aluminum'!$E$11:$BF$54,$B5,FALSE)</f>
        <v>0</v>
      </c>
      <c r="AF5" s="856">
        <f>VLOOKUP(AF$3,'FE - Aluminum'!$E$11:$BF$54,$B5,FALSE)</f>
        <v>0</v>
      </c>
      <c r="AG5" s="856">
        <f>VLOOKUP(AG$3,'FE - Aluminum'!$E$11:$BF$54,$B5,FALSE)</f>
        <v>0</v>
      </c>
      <c r="AH5" s="856">
        <f>VLOOKUP(AH$3,'FE - Aluminum'!$E$11:$BF$54,$B5,FALSE)</f>
        <v>0</v>
      </c>
      <c r="AI5" s="856">
        <f>VLOOKUP(AI$3,'FE - Aluminum'!$E$11:$BF$54,$B5,FALSE)</f>
        <v>0</v>
      </c>
      <c r="AJ5" s="856">
        <f>VLOOKUP(AJ$3,'FE - Aluminum'!$E$11:$BF$54,$B5,FALSE)</f>
        <v>0</v>
      </c>
      <c r="AK5" s="856">
        <f>VLOOKUP(AK$3,'FE - Aluminum'!$E$11:$BF$54,$B5,FALSE)</f>
        <v>0</v>
      </c>
      <c r="AL5" s="856">
        <f>VLOOKUP(AL$3,'FE - Aluminum'!$E$11:$BF$54,$B5,FALSE)</f>
        <v>0</v>
      </c>
      <c r="AM5" s="856">
        <f>VLOOKUP(AM$3,'FE - Aluminum'!$E$11:$BF$54,$B5,FALSE)</f>
        <v>0</v>
      </c>
      <c r="AN5" s="856">
        <f>VLOOKUP(AN$3,'FE - Aluminum'!$E$11:$BF$54,$B5,FALSE)</f>
        <v>0</v>
      </c>
      <c r="AO5" s="856">
        <f>VLOOKUP(AO$3,'FE - Aluminum'!$E$11:$BF$54,$B5,FALSE)</f>
        <v>0</v>
      </c>
      <c r="AP5" s="856">
        <f>VLOOKUP(AP$3,'FE - Aluminum'!$E$11:$BF$54,$B5,FALSE)</f>
        <v>0</v>
      </c>
      <c r="AQ5" s="856">
        <f>VLOOKUP(AQ$3,'FE - Aluminum'!$E$11:$BF$54,$B5,FALSE)</f>
        <v>0</v>
      </c>
      <c r="AR5" s="880"/>
      <c r="AS5" s="879">
        <f t="shared" ref="AS5:AS40" si="3">F5</f>
        <v>0</v>
      </c>
      <c r="AT5" s="888"/>
      <c r="AU5" s="888">
        <f t="shared" ref="AU5:AU40" si="4">SUM(P5:R5)</f>
        <v>0</v>
      </c>
      <c r="AV5" s="888">
        <f t="shared" ref="AV5:AV40" si="5">S5</f>
        <v>0</v>
      </c>
      <c r="AW5" s="888">
        <f t="shared" ref="AW5:AW40" si="6">U5</f>
        <v>0.68845611428571429</v>
      </c>
      <c r="AX5" s="888">
        <f t="shared" ref="AX5:AX40" si="7">T5</f>
        <v>1.4233724571428574</v>
      </c>
      <c r="AY5" s="888">
        <f t="shared" ref="AY5:AY40" si="8">W5</f>
        <v>0</v>
      </c>
      <c r="AZ5" s="888">
        <f t="shared" ref="AZ5:AZ40" si="9">AH5</f>
        <v>0</v>
      </c>
      <c r="BA5" s="888">
        <f t="shared" ref="BA5:BA40" si="10">SUM(AE5:AF5)</f>
        <v>0</v>
      </c>
      <c r="BB5" s="888">
        <f t="shared" ref="BB5:BB40" si="11">$AG$23/1000*V5</f>
        <v>0</v>
      </c>
      <c r="BC5" s="888"/>
      <c r="BD5" s="888">
        <f t="shared" si="2"/>
        <v>0</v>
      </c>
      <c r="BE5" s="888"/>
      <c r="BF5" s="888">
        <f t="shared" ref="BF5:BF40" si="12">AI5</f>
        <v>0</v>
      </c>
      <c r="BG5" s="888">
        <f t="shared" ref="BG5:BG40" si="13">SUM(AE5:AF5)+AH5</f>
        <v>0</v>
      </c>
      <c r="BH5" s="889"/>
      <c r="BI5" s="866">
        <f>IFERROR(VLOOKUP(CONCATENATE(BI$3,$D5),'LCI - Simapro'!$A$2:$N$284,11,FALSE),0)</f>
        <v>0</v>
      </c>
      <c r="BJ5" s="866">
        <f>IFERROR(VLOOKUP(CONCATENATE(BJ$3,$D5),'LCI - Simapro'!$A$2:$N$284,11,FALSE),0)</f>
        <v>0</v>
      </c>
      <c r="BK5" s="866">
        <f>IFERROR(VLOOKUP(CONCATENATE(BK$3,$D5),'LCI - Simapro'!$A$2:$N$284,11,FALSE),0)</f>
        <v>0</v>
      </c>
      <c r="BL5" s="866">
        <f>IFERROR(VLOOKUP(CONCATENATE(BL$3,$D5),'LCI - Simapro'!$A$2:$N$284,11,FALSE),0)</f>
        <v>0</v>
      </c>
      <c r="BM5" s="866">
        <f>IFERROR(VLOOKUP(CONCATENATE(BM$3,$D5),'LCI - Simapro'!$A$2:$N$284,11,FALSE),0)</f>
        <v>0.127</v>
      </c>
      <c r="BN5" s="866">
        <f>IFERROR(VLOOKUP(CONCATENATE(BN$3,$D5),'LCI - Simapro'!$A$2:$N$284,11,FALSE),0)</f>
        <v>0.127</v>
      </c>
      <c r="BO5" s="866">
        <f>IFERROR(VLOOKUP(CONCATENATE(BO$3,$D5),'LCI - Simapro'!$A$2:$N$284,11,FALSE),0)</f>
        <v>0</v>
      </c>
      <c r="BP5" s="866">
        <f>IFERROR(VLOOKUP(CONCATENATE(BP$3,$D5),'LCI - Simapro'!$A$2:$N$284,11,FALSE),0)</f>
        <v>0</v>
      </c>
      <c r="BQ5" s="866">
        <f>IFERROR(VLOOKUP(CONCATENATE(BQ$3,$D5),'LCI - Simapro'!$A$2:$N$284,11,FALSE),0)</f>
        <v>0</v>
      </c>
      <c r="BR5" s="866">
        <f>IFERROR(VLOOKUP(CONCATENATE(BR$3,$D5),'LCI - Simapro'!$A$2:$N$284,11,FALSE),0)</f>
        <v>0</v>
      </c>
      <c r="BS5" s="866">
        <f>IFERROR(VLOOKUP(CONCATENATE(BS$3,$D5),'LCI - Simapro'!$A$2:$N$284,11,FALSE),0)</f>
        <v>0</v>
      </c>
      <c r="BT5" s="866">
        <f>IFERROR(VLOOKUP(CONCATENATE(BT$3,$D5),'LCI - Simapro'!$A$2:$N$284,11,FALSE),0)</f>
        <v>0</v>
      </c>
      <c r="BU5" s="866">
        <f>IFERROR(VLOOKUP(CONCATENATE(BU$3,$D5),'LCI - Simapro'!$A$2:$N$284,11,FALSE),0)</f>
        <v>0</v>
      </c>
      <c r="BV5" s="866">
        <f>IFERROR(VLOOKUP(CONCATENATE(BV$3,$D5),'LCI - Simapro'!$A$2:$N$284,11,FALSE),0)</f>
        <v>0</v>
      </c>
      <c r="BW5" s="866">
        <f>IFERROR(VLOOKUP(CONCATENATE(BW$3,$D5),'LCI - Simapro'!$A$2:$N$284,11,FALSE),0)</f>
        <v>0</v>
      </c>
    </row>
    <row r="6" spans="1:75" ht="26.4" customHeight="1">
      <c r="A6" t="s">
        <v>5756</v>
      </c>
      <c r="B6" s="846">
        <v>27</v>
      </c>
      <c r="C6" s="902"/>
      <c r="D6" s="898" t="s">
        <v>116</v>
      </c>
      <c r="E6" s="387" t="s">
        <v>94</v>
      </c>
      <c r="F6" s="856">
        <f>VLOOKUP(F$3,'FE - Aluminum'!$E$11:$BF$54,$B6,FALSE)</f>
        <v>0</v>
      </c>
      <c r="G6" s="856">
        <f>VLOOKUP(G$3,'FE - Aluminum'!$E$11:$BF$54,$B6,FALSE)</f>
        <v>0</v>
      </c>
      <c r="H6" s="856">
        <f>VLOOKUP(H$3,'FE - Aluminum'!$E$11:$BF$54,$B6,FALSE)</f>
        <v>-58.200614883</v>
      </c>
      <c r="I6" s="856">
        <f>VLOOKUP(I$3,'FE - Aluminum'!$E$11:$BF$54,$B6,FALSE)</f>
        <v>0</v>
      </c>
      <c r="J6" s="856">
        <f>VLOOKUP(J$3,'FE - Aluminum'!$E$11:$BF$54,$B6,FALSE)</f>
        <v>0</v>
      </c>
      <c r="K6" s="856">
        <f>VLOOKUP(K$3,'FE - Aluminum'!$E$11:$BF$54,$B6,FALSE)</f>
        <v>27.203785800000002</v>
      </c>
      <c r="L6" s="856">
        <f>VLOOKUP(L$3,'FE - Aluminum'!$E$11:$BF$54,$B6,FALSE)</f>
        <v>29.885209082999999</v>
      </c>
      <c r="M6" s="856">
        <f>VLOOKUP(M$3,'FE - Aluminum'!$E$11:$BF$54,$B6,FALSE)</f>
        <v>0</v>
      </c>
      <c r="N6" s="856">
        <f>VLOOKUP(N$3,'FE - Aluminum'!$E$11:$BF$54,$B6,FALSE)</f>
        <v>0</v>
      </c>
      <c r="O6" s="856">
        <f>VLOOKUP(O$3,'FE - Aluminum'!$E$11:$BF$54,$B6,FALSE)</f>
        <v>0</v>
      </c>
      <c r="P6" s="856">
        <f>VLOOKUP(P$3,'FE - Aluminum'!$E$11:$BF$54,$B6,FALSE)</f>
        <v>0</v>
      </c>
      <c r="Q6" s="856">
        <f>VLOOKUP(Q$3,'FE - Aluminum'!$E$11:$BF$54,$B6,FALSE)</f>
        <v>0</v>
      </c>
      <c r="R6" s="856">
        <f>VLOOKUP(R$3,'FE - Aluminum'!$E$11:$BF$54,$B6,FALSE)</f>
        <v>0</v>
      </c>
      <c r="S6" s="856">
        <f>VLOOKUP(S$3,'FE - Aluminum'!$E$11:$BF$54,$B6,FALSE)</f>
        <v>0</v>
      </c>
      <c r="T6" s="856">
        <f>VLOOKUP(T$3,'FE - Aluminum'!$E$11:$BF$54,$B6,FALSE)</f>
        <v>0.74923188000000018</v>
      </c>
      <c r="U6" s="856">
        <f>VLOOKUP(U$3,'FE - Aluminum'!$E$11:$BF$54,$B6,FALSE)</f>
        <v>0.36238811999999998</v>
      </c>
      <c r="V6" s="856">
        <f>VLOOKUP(V$3,'FE - Aluminum'!$E$11:$BF$54,$B6,FALSE)</f>
        <v>0</v>
      </c>
      <c r="W6" s="856">
        <f>VLOOKUP(W$3,'FE - Aluminum'!$E$11:$BF$54,$B6,FALSE)</f>
        <v>0</v>
      </c>
      <c r="X6" s="856">
        <f>VLOOKUP(X$3,'FE - Aluminum'!$E$11:$BF$54,$B6,FALSE)</f>
        <v>0</v>
      </c>
      <c r="Y6" s="856">
        <f>VLOOKUP(Y$3,'FE - Aluminum'!$E$11:$BF$54,$B6,FALSE)</f>
        <v>0</v>
      </c>
      <c r="Z6" s="856">
        <f>VLOOKUP(Z$3,'FE - Aluminum'!$E$11:$BF$54,$B6,FALSE)</f>
        <v>0</v>
      </c>
      <c r="AA6" s="856">
        <f>VLOOKUP(AA$3,'FE - Aluminum'!$E$11:$BF$54,$B6,FALSE)</f>
        <v>0</v>
      </c>
      <c r="AB6" s="856">
        <f>VLOOKUP(AB$3,'FE - Aluminum'!$E$11:$BF$54,$B6,FALSE)</f>
        <v>0</v>
      </c>
      <c r="AC6" s="856">
        <f>VLOOKUP(AC$3,'FE - Aluminum'!$E$11:$BF$54,$B6,FALSE)</f>
        <v>0</v>
      </c>
      <c r="AD6" s="856">
        <f>VLOOKUP(AD$3,'FE - Aluminum'!$E$11:$BF$54,$B6,FALSE)</f>
        <v>0</v>
      </c>
      <c r="AE6" s="856">
        <f>VLOOKUP(AE$3,'FE - Aluminum'!$E$11:$BF$54,$B6,FALSE)</f>
        <v>0</v>
      </c>
      <c r="AF6" s="856">
        <f>VLOOKUP(AF$3,'FE - Aluminum'!$E$11:$BF$54,$B6,FALSE)</f>
        <v>0</v>
      </c>
      <c r="AG6" s="856">
        <f>VLOOKUP(AG$3,'FE - Aluminum'!$E$11:$BF$54,$B6,FALSE)</f>
        <v>0</v>
      </c>
      <c r="AH6" s="856">
        <f>VLOOKUP(AH$3,'FE - Aluminum'!$E$11:$BF$54,$B6,FALSE)</f>
        <v>0</v>
      </c>
      <c r="AI6" s="856">
        <f>VLOOKUP(AI$3,'FE - Aluminum'!$E$11:$BF$54,$B6,FALSE)</f>
        <v>0</v>
      </c>
      <c r="AJ6" s="856">
        <f>VLOOKUP(AJ$3,'FE - Aluminum'!$E$11:$BF$54,$B6,FALSE)</f>
        <v>0</v>
      </c>
      <c r="AK6" s="856">
        <f>VLOOKUP(AK$3,'FE - Aluminum'!$E$11:$BF$54,$B6,FALSE)</f>
        <v>0</v>
      </c>
      <c r="AL6" s="856">
        <f>VLOOKUP(AL$3,'FE - Aluminum'!$E$11:$BF$54,$B6,FALSE)</f>
        <v>0</v>
      </c>
      <c r="AM6" s="856">
        <f>VLOOKUP(AM$3,'FE - Aluminum'!$E$11:$BF$54,$B6,FALSE)</f>
        <v>0</v>
      </c>
      <c r="AN6" s="856">
        <f>VLOOKUP(AN$3,'FE - Aluminum'!$E$11:$BF$54,$B6,FALSE)</f>
        <v>0</v>
      </c>
      <c r="AO6" s="856">
        <f>VLOOKUP(AO$3,'FE - Aluminum'!$E$11:$BF$54,$B6,FALSE)</f>
        <v>0</v>
      </c>
      <c r="AP6" s="856">
        <f>VLOOKUP(AP$3,'FE - Aluminum'!$E$11:$BF$54,$B6,FALSE)</f>
        <v>0</v>
      </c>
      <c r="AQ6" s="856">
        <f>VLOOKUP(AQ$3,'FE - Aluminum'!$E$11:$BF$54,$B6,FALSE)</f>
        <v>0</v>
      </c>
      <c r="AR6" s="880"/>
      <c r="AS6" s="879">
        <f t="shared" si="3"/>
        <v>0</v>
      </c>
      <c r="AT6" s="888"/>
      <c r="AU6" s="888">
        <f t="shared" si="4"/>
        <v>0</v>
      </c>
      <c r="AV6" s="888">
        <f t="shared" si="5"/>
        <v>0</v>
      </c>
      <c r="AW6" s="888">
        <f t="shared" si="6"/>
        <v>0.36238811999999998</v>
      </c>
      <c r="AX6" s="888">
        <f t="shared" si="7"/>
        <v>0.74923188000000018</v>
      </c>
      <c r="AY6" s="888">
        <f t="shared" si="8"/>
        <v>0</v>
      </c>
      <c r="AZ6" s="888">
        <f t="shared" si="9"/>
        <v>0</v>
      </c>
      <c r="BA6" s="888">
        <f t="shared" si="10"/>
        <v>0</v>
      </c>
      <c r="BB6" s="888">
        <f t="shared" si="11"/>
        <v>0</v>
      </c>
      <c r="BC6" s="888"/>
      <c r="BD6" s="888">
        <f t="shared" si="2"/>
        <v>0</v>
      </c>
      <c r="BE6" s="888"/>
      <c r="BF6" s="888">
        <f t="shared" si="12"/>
        <v>0</v>
      </c>
      <c r="BG6" s="888">
        <f t="shared" si="13"/>
        <v>0</v>
      </c>
      <c r="BH6" s="889"/>
      <c r="BI6" s="866">
        <f>IFERROR(VLOOKUP(CONCATENATE(BI$3,$D6),'LCI - Simapro'!$A$2:$N$284,11,FALSE),0)</f>
        <v>0</v>
      </c>
      <c r="BJ6" s="866">
        <f>IFERROR(VLOOKUP(CONCATENATE(BJ$3,$D6),'LCI - Simapro'!$A$2:$N$284,11,FALSE),0)</f>
        <v>0</v>
      </c>
      <c r="BK6" s="866">
        <f>IFERROR(VLOOKUP(CONCATENATE(BK$3,$D6),'LCI - Simapro'!$A$2:$N$284,11,FALSE),0)</f>
        <v>0</v>
      </c>
      <c r="BL6" s="866">
        <f>IFERROR(VLOOKUP(CONCATENATE(BL$3,$D6),'LCI - Simapro'!$A$2:$N$284,11,FALSE),0)</f>
        <v>0</v>
      </c>
      <c r="BM6" s="866">
        <f>IFERROR(VLOOKUP(CONCATENATE(BM$3,$D6),'LCI - Simapro'!$A$2:$N$284,11,FALSE),0)</f>
        <v>1.91E-3</v>
      </c>
      <c r="BN6" s="866">
        <f>IFERROR(VLOOKUP(CONCATENATE(BN$3,$D6),'LCI - Simapro'!$A$2:$N$284,11,FALSE),0)</f>
        <v>1.91E-3</v>
      </c>
      <c r="BO6" s="866">
        <f>IFERROR(VLOOKUP(CONCATENATE(BO$3,$D6),'LCI - Simapro'!$A$2:$N$284,11,FALSE),0)</f>
        <v>0</v>
      </c>
      <c r="BP6" s="866">
        <f>IFERROR(VLOOKUP(CONCATENATE(BP$3,$D6),'LCI - Simapro'!$A$2:$N$284,11,FALSE),0)</f>
        <v>0</v>
      </c>
      <c r="BQ6" s="866">
        <f>IFERROR(VLOOKUP(CONCATENATE(BQ$3,$D6),'LCI - Simapro'!$A$2:$N$284,11,FALSE),0)</f>
        <v>0</v>
      </c>
      <c r="BR6" s="866">
        <f>IFERROR(VLOOKUP(CONCATENATE(BR$3,$D6),'LCI - Simapro'!$A$2:$N$284,11,FALSE),0)</f>
        <v>0</v>
      </c>
      <c r="BS6" s="866">
        <f>IFERROR(VLOOKUP(CONCATENATE(BS$3,$D6),'LCI - Simapro'!$A$2:$N$284,11,FALSE),0)</f>
        <v>0</v>
      </c>
      <c r="BT6" s="866">
        <f>IFERROR(VLOOKUP(CONCATENATE(BT$3,$D6),'LCI - Simapro'!$A$2:$N$284,11,FALSE),0)</f>
        <v>0</v>
      </c>
      <c r="BU6" s="866">
        <f>IFERROR(VLOOKUP(CONCATENATE(BU$3,$D6),'LCI - Simapro'!$A$2:$N$284,11,FALSE),0)</f>
        <v>0</v>
      </c>
      <c r="BV6" s="866">
        <f>IFERROR(VLOOKUP(CONCATENATE(BV$3,$D6),'LCI - Simapro'!$A$2:$N$284,11,FALSE),0)</f>
        <v>0</v>
      </c>
      <c r="BW6" s="866">
        <f>IFERROR(VLOOKUP(CONCATENATE(BW$3,$D6),'LCI - Simapro'!$A$2:$N$284,11,FALSE),0)</f>
        <v>0</v>
      </c>
    </row>
    <row r="7" spans="1:75" ht="26.4" customHeight="1">
      <c r="A7" t="s">
        <v>5756</v>
      </c>
      <c r="B7" s="846">
        <v>28</v>
      </c>
      <c r="C7" s="902"/>
      <c r="D7" s="898" t="s">
        <v>114</v>
      </c>
      <c r="E7" s="387" t="s">
        <v>94</v>
      </c>
      <c r="F7" s="856">
        <f>VLOOKUP(F$3,'FE - Aluminum'!$E$11:$BF$54,$B7,FALSE)</f>
        <v>0</v>
      </c>
      <c r="G7" s="856">
        <f>VLOOKUP(G$3,'FE - Aluminum'!$E$11:$BF$54,$B7,FALSE)</f>
        <v>0</v>
      </c>
      <c r="H7" s="856">
        <f>VLOOKUP(H$3,'FE - Aluminum'!$E$11:$BF$54,$B7,FALSE)</f>
        <v>0</v>
      </c>
      <c r="I7" s="856">
        <f>VLOOKUP(I$3,'FE - Aluminum'!$E$11:$BF$54,$B7,FALSE)</f>
        <v>0</v>
      </c>
      <c r="J7" s="856">
        <f>VLOOKUP(J$3,'FE - Aluminum'!$E$11:$BF$54,$B7,FALSE)</f>
        <v>0</v>
      </c>
      <c r="K7" s="856">
        <f>VLOOKUP(K$3,'FE - Aluminum'!$E$11:$BF$54,$B7,FALSE)</f>
        <v>0</v>
      </c>
      <c r="L7" s="856">
        <f>VLOOKUP(L$3,'FE - Aluminum'!$E$11:$BF$54,$B7,FALSE)</f>
        <v>0</v>
      </c>
      <c r="M7" s="856">
        <f>VLOOKUP(M$3,'FE - Aluminum'!$E$11:$BF$54,$B7,FALSE)</f>
        <v>0</v>
      </c>
      <c r="N7" s="856">
        <f>VLOOKUP(N$3,'FE - Aluminum'!$E$11:$BF$54,$B7,FALSE)</f>
        <v>0</v>
      </c>
      <c r="O7" s="856">
        <f>VLOOKUP(O$3,'FE - Aluminum'!$E$11:$BF$54,$B7,FALSE)</f>
        <v>0</v>
      </c>
      <c r="P7" s="856">
        <f>VLOOKUP(P$3,'FE - Aluminum'!$E$11:$BF$54,$B7,FALSE)</f>
        <v>0</v>
      </c>
      <c r="Q7" s="856">
        <f>VLOOKUP(Q$3,'FE - Aluminum'!$E$11:$BF$54,$B7,FALSE)</f>
        <v>0</v>
      </c>
      <c r="R7" s="856">
        <f>VLOOKUP(R$3,'FE - Aluminum'!$E$11:$BF$54,$B7,FALSE)</f>
        <v>0</v>
      </c>
      <c r="S7" s="856">
        <f>VLOOKUP(S$3,'FE - Aluminum'!$E$11:$BF$54,$B7,FALSE)</f>
        <v>0</v>
      </c>
      <c r="T7" s="856">
        <f>VLOOKUP(T$3,'FE - Aluminum'!$E$11:$BF$54,$B7,FALSE)</f>
        <v>0</v>
      </c>
      <c r="U7" s="856">
        <f>VLOOKUP(U$3,'FE - Aluminum'!$E$11:$BF$54,$B7,FALSE)</f>
        <v>0</v>
      </c>
      <c r="V7" s="856">
        <f>VLOOKUP(V$3,'FE - Aluminum'!$E$11:$BF$54,$B7,FALSE)</f>
        <v>0</v>
      </c>
      <c r="W7" s="856">
        <f>VLOOKUP(W$3,'FE - Aluminum'!$E$11:$BF$54,$B7,FALSE)</f>
        <v>0</v>
      </c>
      <c r="X7" s="856">
        <f>VLOOKUP(X$3,'FE - Aluminum'!$E$11:$BF$54,$B7,FALSE)</f>
        <v>0</v>
      </c>
      <c r="Y7" s="856">
        <f>VLOOKUP(Y$3,'FE - Aluminum'!$E$11:$BF$54,$B7,FALSE)</f>
        <v>0</v>
      </c>
      <c r="Z7" s="856">
        <f>VLOOKUP(Z$3,'FE - Aluminum'!$E$11:$BF$54,$B7,FALSE)</f>
        <v>0</v>
      </c>
      <c r="AA7" s="856">
        <f>VLOOKUP(AA$3,'FE - Aluminum'!$E$11:$BF$54,$B7,FALSE)</f>
        <v>0</v>
      </c>
      <c r="AB7" s="856">
        <f>VLOOKUP(AB$3,'FE - Aluminum'!$E$11:$BF$54,$B7,FALSE)</f>
        <v>0</v>
      </c>
      <c r="AC7" s="856">
        <f>VLOOKUP(AC$3,'FE - Aluminum'!$E$11:$BF$54,$B7,FALSE)</f>
        <v>0</v>
      </c>
      <c r="AD7" s="856">
        <f>VLOOKUP(AD$3,'FE - Aluminum'!$E$11:$BF$54,$B7,FALSE)</f>
        <v>0</v>
      </c>
      <c r="AE7" s="856">
        <f>VLOOKUP(AE$3,'FE - Aluminum'!$E$11:$BF$54,$B7,FALSE)</f>
        <v>0</v>
      </c>
      <c r="AF7" s="856">
        <f>VLOOKUP(AF$3,'FE - Aluminum'!$E$11:$BF$54,$B7,FALSE)</f>
        <v>0</v>
      </c>
      <c r="AG7" s="856">
        <f>VLOOKUP(AG$3,'FE - Aluminum'!$E$11:$BF$54,$B7,FALSE)</f>
        <v>0</v>
      </c>
      <c r="AH7" s="856">
        <f>VLOOKUP(AH$3,'FE - Aluminum'!$E$11:$BF$54,$B7,FALSE)</f>
        <v>0</v>
      </c>
      <c r="AI7" s="856">
        <f>VLOOKUP(AI$3,'FE - Aluminum'!$E$11:$BF$54,$B7,FALSE)</f>
        <v>0</v>
      </c>
      <c r="AJ7" s="856">
        <f>VLOOKUP(AJ$3,'FE - Aluminum'!$E$11:$BF$54,$B7,FALSE)</f>
        <v>0</v>
      </c>
      <c r="AK7" s="856">
        <f>VLOOKUP(AK$3,'FE - Aluminum'!$E$11:$BF$54,$B7,FALSE)</f>
        <v>0</v>
      </c>
      <c r="AL7" s="856">
        <f>VLOOKUP(AL$3,'FE - Aluminum'!$E$11:$BF$54,$B7,FALSE)</f>
        <v>0</v>
      </c>
      <c r="AM7" s="856">
        <f>VLOOKUP(AM$3,'FE - Aluminum'!$E$11:$BF$54,$B7,FALSE)</f>
        <v>0</v>
      </c>
      <c r="AN7" s="856">
        <f>VLOOKUP(AN$3,'FE - Aluminum'!$E$11:$BF$54,$B7,FALSE)</f>
        <v>0</v>
      </c>
      <c r="AO7" s="856">
        <f>VLOOKUP(AO$3,'FE - Aluminum'!$E$11:$BF$54,$B7,FALSE)</f>
        <v>0</v>
      </c>
      <c r="AP7" s="856">
        <f>VLOOKUP(AP$3,'FE - Aluminum'!$E$11:$BF$54,$B7,FALSE)</f>
        <v>0</v>
      </c>
      <c r="AQ7" s="856">
        <f>VLOOKUP(AQ$3,'FE - Aluminum'!$E$11:$BF$54,$B7,FALSE)</f>
        <v>0</v>
      </c>
      <c r="AR7" s="880"/>
      <c r="AS7" s="879">
        <f t="shared" si="3"/>
        <v>0</v>
      </c>
      <c r="AT7" s="888"/>
      <c r="AU7" s="888">
        <f t="shared" si="4"/>
        <v>0</v>
      </c>
      <c r="AV7" s="888">
        <f t="shared" si="5"/>
        <v>0</v>
      </c>
      <c r="AW7" s="888">
        <f t="shared" si="6"/>
        <v>0</v>
      </c>
      <c r="AX7" s="888">
        <f t="shared" si="7"/>
        <v>0</v>
      </c>
      <c r="AY7" s="888">
        <f t="shared" si="8"/>
        <v>0</v>
      </c>
      <c r="AZ7" s="888">
        <f t="shared" si="9"/>
        <v>0</v>
      </c>
      <c r="BA7" s="888">
        <f t="shared" si="10"/>
        <v>0</v>
      </c>
      <c r="BB7" s="888">
        <f t="shared" si="11"/>
        <v>0</v>
      </c>
      <c r="BC7" s="888"/>
      <c r="BD7" s="888">
        <f t="shared" si="2"/>
        <v>0</v>
      </c>
      <c r="BE7" s="888"/>
      <c r="BF7" s="888">
        <f t="shared" si="12"/>
        <v>0</v>
      </c>
      <c r="BG7" s="888">
        <f t="shared" si="13"/>
        <v>0</v>
      </c>
      <c r="BH7" s="889"/>
      <c r="BI7" s="866">
        <f>IFERROR(VLOOKUP(CONCATENATE(BI$3,$D7),'LCI - Simapro'!$A$2:$N$284,11,FALSE),0)</f>
        <v>0</v>
      </c>
      <c r="BJ7" s="866">
        <f>IFERROR(VLOOKUP(CONCATENATE(BJ$3,$D7),'LCI - Simapro'!$A$2:$N$284,11,FALSE),0)</f>
        <v>0</v>
      </c>
      <c r="BK7" s="866">
        <f>IFERROR(VLOOKUP(CONCATENATE(BK$3,$D7),'LCI - Simapro'!$A$2:$N$284,11,FALSE),0)</f>
        <v>0</v>
      </c>
      <c r="BL7" s="866">
        <f>IFERROR(VLOOKUP(CONCATENATE(BL$3,$D7),'LCI - Simapro'!$A$2:$N$284,11,FALSE),0)</f>
        <v>0</v>
      </c>
      <c r="BM7" s="866">
        <f>IFERROR(VLOOKUP(CONCATENATE(BM$3,$D7),'LCI - Simapro'!$A$2:$N$284,11,FALSE),0)</f>
        <v>0</v>
      </c>
      <c r="BN7" s="866">
        <f>IFERROR(VLOOKUP(CONCATENATE(BN$3,$D7),'LCI - Simapro'!$A$2:$N$284,11,FALSE),0)</f>
        <v>0</v>
      </c>
      <c r="BO7" s="866">
        <f>IFERROR(VLOOKUP(CONCATENATE(BO$3,$D7),'LCI - Simapro'!$A$2:$N$284,11,FALSE),0)</f>
        <v>0</v>
      </c>
      <c r="BP7" s="866">
        <f>IFERROR(VLOOKUP(CONCATENATE(BP$3,$D7),'LCI - Simapro'!$A$2:$N$284,11,FALSE),0)</f>
        <v>0</v>
      </c>
      <c r="BQ7" s="866">
        <f>IFERROR(VLOOKUP(CONCATENATE(BQ$3,$D7),'LCI - Simapro'!$A$2:$N$284,11,FALSE),0)</f>
        <v>0</v>
      </c>
      <c r="BR7" s="866">
        <f>IFERROR(VLOOKUP(CONCATENATE(BR$3,$D7),'LCI - Simapro'!$A$2:$N$284,11,FALSE),0)</f>
        <v>0</v>
      </c>
      <c r="BS7" s="866">
        <f>IFERROR(VLOOKUP(CONCATENATE(BS$3,$D7),'LCI - Simapro'!$A$2:$N$284,11,FALSE),0)</f>
        <v>0</v>
      </c>
      <c r="BT7" s="866">
        <f>IFERROR(VLOOKUP(CONCATENATE(BT$3,$D7),'LCI - Simapro'!$A$2:$N$284,11,FALSE),0)</f>
        <v>0</v>
      </c>
      <c r="BU7" s="866">
        <f>IFERROR(VLOOKUP(CONCATENATE(BU$3,$D7),'LCI - Simapro'!$A$2:$N$284,11,FALSE),0)</f>
        <v>0</v>
      </c>
      <c r="BV7" s="866">
        <f>IFERROR(VLOOKUP(CONCATENATE(BV$3,$D7),'LCI - Simapro'!$A$2:$N$284,11,FALSE),0)</f>
        <v>0</v>
      </c>
      <c r="BW7" s="866">
        <f>IFERROR(VLOOKUP(CONCATENATE(BW$3,$D7),'LCI - Simapro'!$A$2:$N$284,11,FALSE),0)</f>
        <v>0</v>
      </c>
    </row>
    <row r="8" spans="1:75" ht="26.4" customHeight="1">
      <c r="A8" t="s">
        <v>5756</v>
      </c>
      <c r="B8" s="846">
        <v>29</v>
      </c>
      <c r="C8" s="902"/>
      <c r="D8" s="898" t="s">
        <v>112</v>
      </c>
      <c r="E8" s="387" t="s">
        <v>94</v>
      </c>
      <c r="F8" s="856">
        <f>VLOOKUP(F$3,'FE - Aluminum'!$E$11:$BF$54,$B8,FALSE)</f>
        <v>0</v>
      </c>
      <c r="G8" s="856">
        <f>VLOOKUP(G$3,'FE - Aluminum'!$E$11:$BF$54,$B8,FALSE)</f>
        <v>0</v>
      </c>
      <c r="H8" s="856">
        <f>VLOOKUP(H$3,'FE - Aluminum'!$E$11:$BF$54,$B8,FALSE)</f>
        <v>0</v>
      </c>
      <c r="I8" s="856">
        <f>VLOOKUP(I$3,'FE - Aluminum'!$E$11:$BF$54,$B8,FALSE)</f>
        <v>0</v>
      </c>
      <c r="J8" s="856">
        <f>VLOOKUP(J$3,'FE - Aluminum'!$E$11:$BF$54,$B8,FALSE)</f>
        <v>0</v>
      </c>
      <c r="K8" s="856">
        <f>VLOOKUP(K$3,'FE - Aluminum'!$E$11:$BF$54,$B8,FALSE)</f>
        <v>0</v>
      </c>
      <c r="L8" s="856">
        <f>VLOOKUP(L$3,'FE - Aluminum'!$E$11:$BF$54,$B8,FALSE)</f>
        <v>0</v>
      </c>
      <c r="M8" s="856">
        <f>VLOOKUP(M$3,'FE - Aluminum'!$E$11:$BF$54,$B8,FALSE)</f>
        <v>0.5438208000000001</v>
      </c>
      <c r="N8" s="856">
        <f>VLOOKUP(N$3,'FE - Aluminum'!$E$11:$BF$54,$B8,FALSE)</f>
        <v>0</v>
      </c>
      <c r="O8" s="856">
        <f>VLOOKUP(O$3,'FE - Aluminum'!$E$11:$BF$54,$B8,FALSE)</f>
        <v>8.6893431428571457</v>
      </c>
      <c r="P8" s="856">
        <f>VLOOKUP(P$3,'FE - Aluminum'!$E$11:$BF$54,$B8,FALSE)</f>
        <v>0</v>
      </c>
      <c r="Q8" s="856">
        <f>VLOOKUP(Q$3,'FE - Aluminum'!$E$11:$BF$54,$B8,FALSE)</f>
        <v>0</v>
      </c>
      <c r="R8" s="856">
        <f>VLOOKUP(R$3,'FE - Aluminum'!$E$11:$BF$54,$B8,FALSE)</f>
        <v>0</v>
      </c>
      <c r="S8" s="856">
        <f>VLOOKUP(S$3,'FE - Aluminum'!$E$11:$BF$54,$B8,FALSE)</f>
        <v>0</v>
      </c>
      <c r="T8" s="856">
        <f>VLOOKUP(T$3,'FE - Aluminum'!$E$11:$BF$54,$B8,FALSE)</f>
        <v>0</v>
      </c>
      <c r="U8" s="856">
        <f>VLOOKUP(U$3,'FE - Aluminum'!$E$11:$BF$54,$B8,FALSE)</f>
        <v>0</v>
      </c>
      <c r="V8" s="856">
        <f>VLOOKUP(V$3,'FE - Aluminum'!$E$11:$BF$54,$B8,FALSE)</f>
        <v>0</v>
      </c>
      <c r="W8" s="856">
        <f>VLOOKUP(W$3,'FE - Aluminum'!$E$11:$BF$54,$B8,FALSE)</f>
        <v>0</v>
      </c>
      <c r="X8" s="856">
        <f>VLOOKUP(X$3,'FE - Aluminum'!$E$11:$BF$54,$B8,FALSE)</f>
        <v>0</v>
      </c>
      <c r="Y8" s="856">
        <f>VLOOKUP(Y$3,'FE - Aluminum'!$E$11:$BF$54,$B8,FALSE)</f>
        <v>0</v>
      </c>
      <c r="Z8" s="856">
        <f>VLOOKUP(Z$3,'FE - Aluminum'!$E$11:$BF$54,$B8,FALSE)</f>
        <v>0</v>
      </c>
      <c r="AA8" s="856">
        <f>VLOOKUP(AA$3,'FE - Aluminum'!$E$11:$BF$54,$B8,FALSE)</f>
        <v>0</v>
      </c>
      <c r="AB8" s="856">
        <f>VLOOKUP(AB$3,'FE - Aluminum'!$E$11:$BF$54,$B8,FALSE)</f>
        <v>0</v>
      </c>
      <c r="AC8" s="856">
        <f>VLOOKUP(AC$3,'FE - Aluminum'!$E$11:$BF$54,$B8,FALSE)</f>
        <v>0</v>
      </c>
      <c r="AD8" s="856">
        <f>VLOOKUP(AD$3,'FE - Aluminum'!$E$11:$BF$54,$B8,FALSE)</f>
        <v>0</v>
      </c>
      <c r="AE8" s="856">
        <f>VLOOKUP(AE$3,'FE - Aluminum'!$E$11:$BF$54,$B8,FALSE)</f>
        <v>0</v>
      </c>
      <c r="AF8" s="856">
        <f>VLOOKUP(AF$3,'FE - Aluminum'!$E$11:$BF$54,$B8,FALSE)</f>
        <v>0</v>
      </c>
      <c r="AG8" s="856">
        <f>VLOOKUP(AG$3,'FE - Aluminum'!$E$11:$BF$54,$B8,FALSE)</f>
        <v>0</v>
      </c>
      <c r="AH8" s="856">
        <f>VLOOKUP(AH$3,'FE - Aluminum'!$E$11:$BF$54,$B8,FALSE)</f>
        <v>0</v>
      </c>
      <c r="AI8" s="856">
        <f>VLOOKUP(AI$3,'FE - Aluminum'!$E$11:$BF$54,$B8,FALSE)</f>
        <v>0</v>
      </c>
      <c r="AJ8" s="856">
        <f>VLOOKUP(AJ$3,'FE - Aluminum'!$E$11:$BF$54,$B8,FALSE)</f>
        <v>0</v>
      </c>
      <c r="AK8" s="856">
        <f>VLOOKUP(AK$3,'FE - Aluminum'!$E$11:$BF$54,$B8,FALSE)</f>
        <v>0</v>
      </c>
      <c r="AL8" s="856">
        <f>VLOOKUP(AL$3,'FE - Aluminum'!$E$11:$BF$54,$B8,FALSE)</f>
        <v>0</v>
      </c>
      <c r="AM8" s="856">
        <f>VLOOKUP(AM$3,'FE - Aluminum'!$E$11:$BF$54,$B8,FALSE)</f>
        <v>0</v>
      </c>
      <c r="AN8" s="856">
        <f>VLOOKUP(AN$3,'FE - Aluminum'!$E$11:$BF$54,$B8,FALSE)</f>
        <v>0</v>
      </c>
      <c r="AO8" s="856">
        <f>VLOOKUP(AO$3,'FE - Aluminum'!$E$11:$BF$54,$B8,FALSE)</f>
        <v>0</v>
      </c>
      <c r="AP8" s="856">
        <f>VLOOKUP(AP$3,'FE - Aluminum'!$E$11:$BF$54,$B8,FALSE)</f>
        <v>0</v>
      </c>
      <c r="AQ8" s="856">
        <f>VLOOKUP(AQ$3,'FE - Aluminum'!$E$11:$BF$54,$B8,FALSE)</f>
        <v>0</v>
      </c>
      <c r="AR8" s="880"/>
      <c r="AS8" s="879">
        <f t="shared" si="3"/>
        <v>0</v>
      </c>
      <c r="AT8" s="888"/>
      <c r="AU8" s="888">
        <f t="shared" si="4"/>
        <v>0</v>
      </c>
      <c r="AV8" s="888">
        <f t="shared" si="5"/>
        <v>0</v>
      </c>
      <c r="AW8" s="888">
        <f t="shared" si="6"/>
        <v>0</v>
      </c>
      <c r="AX8" s="888">
        <f t="shared" si="7"/>
        <v>0</v>
      </c>
      <c r="AY8" s="888">
        <f t="shared" si="8"/>
        <v>0</v>
      </c>
      <c r="AZ8" s="888">
        <f t="shared" si="9"/>
        <v>0</v>
      </c>
      <c r="BA8" s="888">
        <f t="shared" si="10"/>
        <v>0</v>
      </c>
      <c r="BB8" s="888">
        <f t="shared" si="11"/>
        <v>0</v>
      </c>
      <c r="BC8" s="888"/>
      <c r="BD8" s="888">
        <f t="shared" si="2"/>
        <v>0</v>
      </c>
      <c r="BE8" s="888"/>
      <c r="BF8" s="888">
        <f t="shared" si="12"/>
        <v>0</v>
      </c>
      <c r="BG8" s="888">
        <f t="shared" si="13"/>
        <v>0</v>
      </c>
      <c r="BH8" s="889"/>
      <c r="BI8" s="866">
        <f>IFERROR(VLOOKUP(CONCATENATE(BI$3,$D8),'LCI - Simapro'!$A$2:$N$284,11,FALSE),0)</f>
        <v>0</v>
      </c>
      <c r="BJ8" s="866">
        <f>IFERROR(VLOOKUP(CONCATENATE(BJ$3,$D8),'LCI - Simapro'!$A$2:$N$284,11,FALSE),0)</f>
        <v>0</v>
      </c>
      <c r="BK8" s="866">
        <f>IFERROR(VLOOKUP(CONCATENATE(BK$3,$D8),'LCI - Simapro'!$A$2:$N$284,11,FALSE),0)</f>
        <v>0</v>
      </c>
      <c r="BL8" s="866">
        <f>IFERROR(VLOOKUP(CONCATENATE(BL$3,$D8),'LCI - Simapro'!$A$2:$N$284,11,FALSE),0)</f>
        <v>0</v>
      </c>
      <c r="BM8" s="866">
        <f>IFERROR(VLOOKUP(CONCATENATE(BM$3,$D8),'LCI - Simapro'!$A$2:$N$284,11,FALSE),0)</f>
        <v>0</v>
      </c>
      <c r="BN8" s="866">
        <f>IFERROR(VLOOKUP(CONCATENATE(BN$3,$D8),'LCI - Simapro'!$A$2:$N$284,11,FALSE),0)</f>
        <v>0</v>
      </c>
      <c r="BO8" s="866">
        <f>IFERROR(VLOOKUP(CONCATENATE(BO$3,$D8),'LCI - Simapro'!$A$2:$N$284,11,FALSE),0)</f>
        <v>0</v>
      </c>
      <c r="BP8" s="866">
        <f>IFERROR(VLOOKUP(CONCATENATE(BP$3,$D8),'LCI - Simapro'!$A$2:$N$284,11,FALSE),0)</f>
        <v>0</v>
      </c>
      <c r="BQ8" s="866">
        <f>IFERROR(VLOOKUP(CONCATENATE(BQ$3,$D8),'LCI - Simapro'!$A$2:$N$284,11,FALSE),0)</f>
        <v>0</v>
      </c>
      <c r="BR8" s="866">
        <f>IFERROR(VLOOKUP(CONCATENATE(BR$3,$D8),'LCI - Simapro'!$A$2:$N$284,11,FALSE),0)</f>
        <v>0</v>
      </c>
      <c r="BS8" s="866">
        <f>IFERROR(VLOOKUP(CONCATENATE(BS$3,$D8),'LCI - Simapro'!$A$2:$N$284,11,FALSE),0)</f>
        <v>0</v>
      </c>
      <c r="BT8" s="866">
        <f>IFERROR(VLOOKUP(CONCATENATE(BT$3,$D8),'LCI - Simapro'!$A$2:$N$284,11,FALSE),0)</f>
        <v>0</v>
      </c>
      <c r="BU8" s="866">
        <f>IFERROR(VLOOKUP(CONCATENATE(BU$3,$D8),'LCI - Simapro'!$A$2:$N$284,11,FALSE),0)</f>
        <v>0</v>
      </c>
      <c r="BV8" s="866">
        <f>IFERROR(VLOOKUP(CONCATENATE(BV$3,$D8),'LCI - Simapro'!$A$2:$N$284,11,FALSE),0)</f>
        <v>0</v>
      </c>
      <c r="BW8" s="866">
        <f>IFERROR(VLOOKUP(CONCATENATE(BW$3,$D8),'LCI - Simapro'!$A$2:$N$284,11,FALSE),0)</f>
        <v>0</v>
      </c>
    </row>
    <row r="9" spans="1:75" ht="26.4" customHeight="1">
      <c r="A9" t="s">
        <v>5756</v>
      </c>
      <c r="B9" s="846">
        <v>30</v>
      </c>
      <c r="C9" s="902"/>
      <c r="D9" s="898" t="s">
        <v>5</v>
      </c>
      <c r="E9" s="387" t="s">
        <v>94</v>
      </c>
      <c r="F9" s="856">
        <f>VLOOKUP(F$3,'FE - Aluminum'!$E$11:$BF$54,$B9,FALSE)</f>
        <v>0</v>
      </c>
      <c r="G9" s="856">
        <f>VLOOKUP(G$3,'FE - Aluminum'!$E$11:$BF$54,$B9,FALSE)</f>
        <v>0</v>
      </c>
      <c r="H9" s="856">
        <f>VLOOKUP(H$3,'FE - Aluminum'!$E$11:$BF$54,$B9,FALSE)</f>
        <v>0</v>
      </c>
      <c r="I9" s="856">
        <f>VLOOKUP(I$3,'FE - Aluminum'!$E$11:$BF$54,$B9,FALSE)</f>
        <v>0</v>
      </c>
      <c r="J9" s="856">
        <f>VLOOKUP(J$3,'FE - Aluminum'!$E$11:$BF$54,$B9,FALSE)</f>
        <v>0</v>
      </c>
      <c r="K9" s="856">
        <f>VLOOKUP(K$3,'FE - Aluminum'!$E$11:$BF$54,$B9,FALSE)</f>
        <v>0</v>
      </c>
      <c r="L9" s="856">
        <f>VLOOKUP(L$3,'FE - Aluminum'!$E$11:$BF$54,$B9,FALSE)</f>
        <v>0</v>
      </c>
      <c r="M9" s="856">
        <f>VLOOKUP(M$3,'FE - Aluminum'!$E$11:$BF$54,$B9,FALSE)</f>
        <v>0.23093760000000005</v>
      </c>
      <c r="N9" s="856">
        <f>VLOOKUP(N$3,'FE - Aluminum'!$E$11:$BF$54,$B9,FALSE)</f>
        <v>0</v>
      </c>
      <c r="O9" s="856">
        <f>VLOOKUP(O$3,'FE - Aluminum'!$E$11:$BF$54,$B9,FALSE)</f>
        <v>7.3859416714285722</v>
      </c>
      <c r="P9" s="856">
        <f>VLOOKUP(P$3,'FE - Aluminum'!$E$11:$BF$54,$B9,FALSE)</f>
        <v>0</v>
      </c>
      <c r="Q9" s="856">
        <f>VLOOKUP(Q$3,'FE - Aluminum'!$E$11:$BF$54,$B9,FALSE)</f>
        <v>0</v>
      </c>
      <c r="R9" s="856">
        <f>VLOOKUP(R$3,'FE - Aluminum'!$E$11:$BF$54,$B9,FALSE)</f>
        <v>0</v>
      </c>
      <c r="S9" s="856">
        <f>VLOOKUP(S$3,'FE - Aluminum'!$E$11:$BF$54,$B9,FALSE)</f>
        <v>-1151.1509269334858</v>
      </c>
      <c r="T9" s="856">
        <f>VLOOKUP(T$3,'FE - Aluminum'!$E$11:$BF$54,$B9,FALSE)</f>
        <v>744.14944564955431</v>
      </c>
      <c r="U9" s="856">
        <f>VLOOKUP(U$3,'FE - Aluminum'!$E$11:$BF$54,$B9,FALSE)</f>
        <v>399.38460201250291</v>
      </c>
      <c r="V9" s="856">
        <f>VLOOKUP(V$3,'FE - Aluminum'!$E$11:$BF$54,$B9,FALSE)</f>
        <v>0</v>
      </c>
      <c r="W9" s="856">
        <f>VLOOKUP(W$3,'FE - Aluminum'!$E$11:$BF$54,$B9,FALSE)</f>
        <v>0</v>
      </c>
      <c r="X9" s="856">
        <f>VLOOKUP(X$3,'FE - Aluminum'!$E$11:$BF$54,$B9,FALSE)</f>
        <v>0</v>
      </c>
      <c r="Y9" s="856">
        <f>VLOOKUP(Y$3,'FE - Aluminum'!$E$11:$BF$54,$B9,FALSE)</f>
        <v>0</v>
      </c>
      <c r="Z9" s="856">
        <f>VLOOKUP(Z$3,'FE - Aluminum'!$E$11:$BF$54,$B9,FALSE)</f>
        <v>0</v>
      </c>
      <c r="AA9" s="856">
        <f>VLOOKUP(AA$3,'FE - Aluminum'!$E$11:$BF$54,$B9,FALSE)</f>
        <v>0</v>
      </c>
      <c r="AB9" s="856">
        <f>VLOOKUP(AB$3,'FE - Aluminum'!$E$11:$BF$54,$B9,FALSE)</f>
        <v>0</v>
      </c>
      <c r="AC9" s="856">
        <f>VLOOKUP(AC$3,'FE - Aluminum'!$E$11:$BF$54,$B9,FALSE)</f>
        <v>0</v>
      </c>
      <c r="AD9" s="856">
        <f>VLOOKUP(AD$3,'FE - Aluminum'!$E$11:$BF$54,$B9,FALSE)</f>
        <v>0</v>
      </c>
      <c r="AE9" s="856">
        <f>VLOOKUP(AE$3,'FE - Aluminum'!$E$11:$BF$54,$B9,FALSE)</f>
        <v>0</v>
      </c>
      <c r="AF9" s="856">
        <f>VLOOKUP(AF$3,'FE - Aluminum'!$E$11:$BF$54,$B9,FALSE)</f>
        <v>0</v>
      </c>
      <c r="AG9" s="856">
        <f>VLOOKUP(AG$3,'FE - Aluminum'!$E$11:$BF$54,$B9,FALSE)</f>
        <v>0</v>
      </c>
      <c r="AH9" s="856">
        <f>VLOOKUP(AH$3,'FE - Aluminum'!$E$11:$BF$54,$B9,FALSE)</f>
        <v>0</v>
      </c>
      <c r="AI9" s="856">
        <f>VLOOKUP(AI$3,'FE - Aluminum'!$E$11:$BF$54,$B9,FALSE)</f>
        <v>0</v>
      </c>
      <c r="AJ9" s="856">
        <f>VLOOKUP(AJ$3,'FE - Aluminum'!$E$11:$BF$54,$B9,FALSE)</f>
        <v>0</v>
      </c>
      <c r="AK9" s="856">
        <f>VLOOKUP(AK$3,'FE - Aluminum'!$E$11:$BF$54,$B9,FALSE)</f>
        <v>0</v>
      </c>
      <c r="AL9" s="856">
        <f>VLOOKUP(AL$3,'FE - Aluminum'!$E$11:$BF$54,$B9,FALSE)</f>
        <v>0</v>
      </c>
      <c r="AM9" s="856">
        <f>VLOOKUP(AM$3,'FE - Aluminum'!$E$11:$BF$54,$B9,FALSE)</f>
        <v>0</v>
      </c>
      <c r="AN9" s="856">
        <f>VLOOKUP(AN$3,'FE - Aluminum'!$E$11:$BF$54,$B9,FALSE)</f>
        <v>0</v>
      </c>
      <c r="AO9" s="856">
        <f>VLOOKUP(AO$3,'FE - Aluminum'!$E$11:$BF$54,$B9,FALSE)</f>
        <v>0</v>
      </c>
      <c r="AP9" s="856">
        <f>VLOOKUP(AP$3,'FE - Aluminum'!$E$11:$BF$54,$B9,FALSE)</f>
        <v>0</v>
      </c>
      <c r="AQ9" s="856">
        <f>VLOOKUP(AQ$3,'FE - Aluminum'!$E$11:$BF$54,$B9,FALSE)</f>
        <v>0</v>
      </c>
      <c r="AR9" s="880"/>
      <c r="AS9" s="879">
        <f t="shared" si="3"/>
        <v>0</v>
      </c>
      <c r="AT9" s="888"/>
      <c r="AU9" s="888">
        <f t="shared" si="4"/>
        <v>0</v>
      </c>
      <c r="AV9" s="888">
        <f t="shared" si="5"/>
        <v>-1151.1509269334858</v>
      </c>
      <c r="AW9" s="888">
        <f t="shared" si="6"/>
        <v>399.38460201250291</v>
      </c>
      <c r="AX9" s="888">
        <f t="shared" si="7"/>
        <v>744.14944564955431</v>
      </c>
      <c r="AY9" s="888">
        <f t="shared" si="8"/>
        <v>0</v>
      </c>
      <c r="AZ9" s="888">
        <f t="shared" si="9"/>
        <v>0</v>
      </c>
      <c r="BA9" s="888">
        <f t="shared" si="10"/>
        <v>0</v>
      </c>
      <c r="BB9" s="888">
        <f t="shared" si="11"/>
        <v>0</v>
      </c>
      <c r="BC9" s="888"/>
      <c r="BD9" s="888">
        <f t="shared" si="2"/>
        <v>0</v>
      </c>
      <c r="BE9" s="888"/>
      <c r="BF9" s="888">
        <f t="shared" si="12"/>
        <v>0</v>
      </c>
      <c r="BG9" s="888">
        <f t="shared" si="13"/>
        <v>0</v>
      </c>
      <c r="BH9" s="889"/>
      <c r="BI9" s="866">
        <f>IFERROR(VLOOKUP(CONCATENATE(BI$3,$D9),'LCI - Simapro'!$A$2:$N$284,11,FALSE),0)</f>
        <v>0</v>
      </c>
      <c r="BJ9" s="866">
        <f>IFERROR(VLOOKUP(CONCATENATE(BJ$3,$D9),'LCI - Simapro'!$A$2:$N$284,11,FALSE),0)</f>
        <v>0</v>
      </c>
      <c r="BK9" s="866">
        <f>IFERROR(VLOOKUP(CONCATENATE(BK$3,$D9),'LCI - Simapro'!$A$2:$N$284,11,FALSE),0)</f>
        <v>0</v>
      </c>
      <c r="BL9" s="866">
        <f>IFERROR(VLOOKUP(CONCATENATE(BL$3,$D9),'LCI - Simapro'!$A$2:$N$284,11,FALSE),0)</f>
        <v>1</v>
      </c>
      <c r="BM9" s="866">
        <f>IFERROR(VLOOKUP(CONCATENATE(BM$3,$D9),'LCI - Simapro'!$A$2:$N$284,11,FALSE),0)</f>
        <v>2.105</v>
      </c>
      <c r="BN9" s="866">
        <f>IFERROR(VLOOKUP(CONCATENATE(BN$3,$D9),'LCI - Simapro'!$A$2:$N$284,11,FALSE),0)</f>
        <v>1.897</v>
      </c>
      <c r="BO9" s="866">
        <f>IFERROR(VLOOKUP(CONCATENATE(BO$3,$D9),'LCI - Simapro'!$A$2:$N$284,11,FALSE),0)</f>
        <v>0</v>
      </c>
      <c r="BP9" s="866">
        <f>IFERROR(VLOOKUP(CONCATENATE(BP$3,$D9),'LCI - Simapro'!$A$2:$N$284,11,FALSE),0)</f>
        <v>0</v>
      </c>
      <c r="BQ9" s="866">
        <f>IFERROR(VLOOKUP(CONCATENATE(BQ$3,$D9),'LCI - Simapro'!$A$2:$N$284,11,FALSE),0)</f>
        <v>0</v>
      </c>
      <c r="BR9" s="866">
        <f>IFERROR(VLOOKUP(CONCATENATE(BR$3,$D9),'LCI - Simapro'!$A$2:$N$284,11,FALSE),0)</f>
        <v>0</v>
      </c>
      <c r="BS9" s="866">
        <f>IFERROR(VLOOKUP(CONCATENATE(BS$3,$D9),'LCI - Simapro'!$A$2:$N$284,11,FALSE),0)</f>
        <v>0</v>
      </c>
      <c r="BT9" s="866">
        <f>IFERROR(VLOOKUP(CONCATENATE(BT$3,$D9),'LCI - Simapro'!$A$2:$N$284,11,FALSE),0)</f>
        <v>0</v>
      </c>
      <c r="BU9" s="866">
        <f>IFERROR(VLOOKUP(CONCATENATE(BU$3,$D9),'LCI - Simapro'!$A$2:$N$284,11,FALSE),0)</f>
        <v>0</v>
      </c>
      <c r="BV9" s="866">
        <f>IFERROR(VLOOKUP(CONCATENATE(BV$3,$D9),'LCI - Simapro'!$A$2:$N$284,11,FALSE),0)</f>
        <v>0</v>
      </c>
      <c r="BW9" s="866">
        <f>IFERROR(VLOOKUP(CONCATENATE(BW$3,$D9),'LCI - Simapro'!$A$2:$N$284,11,FALSE),0)</f>
        <v>0</v>
      </c>
    </row>
    <row r="10" spans="1:75" ht="26.4" customHeight="1">
      <c r="A10" t="s">
        <v>5757</v>
      </c>
      <c r="B10" s="846">
        <v>31</v>
      </c>
      <c r="C10" s="902"/>
      <c r="D10" s="898" t="s">
        <v>511</v>
      </c>
      <c r="E10" s="387" t="s">
        <v>94</v>
      </c>
      <c r="F10" s="856">
        <f>VLOOKUP(F$3,'FE - Aluminum'!$E$11:$BF$54,$B10,FALSE)</f>
        <v>0</v>
      </c>
      <c r="G10" s="856">
        <f>VLOOKUP(G$3,'FE - Aluminum'!$E$11:$BF$54,$B10,FALSE)</f>
        <v>0</v>
      </c>
      <c r="H10" s="856">
        <f>VLOOKUP(H$3,'FE - Aluminum'!$E$11:$BF$54,$B10,FALSE)</f>
        <v>0</v>
      </c>
      <c r="I10" s="856">
        <f>VLOOKUP(I$3,'FE - Aluminum'!$E$11:$BF$54,$B10,FALSE)</f>
        <v>0</v>
      </c>
      <c r="J10" s="856">
        <f>VLOOKUP(J$3,'FE - Aluminum'!$E$11:$BF$54,$B10,FALSE)</f>
        <v>0</v>
      </c>
      <c r="K10" s="856">
        <f>VLOOKUP(K$3,'FE - Aluminum'!$E$11:$BF$54,$B10,FALSE)</f>
        <v>0</v>
      </c>
      <c r="L10" s="856">
        <f>VLOOKUP(L$3,'FE - Aluminum'!$E$11:$BF$54,$B10,FALSE)</f>
        <v>0</v>
      </c>
      <c r="M10" s="856">
        <f>VLOOKUP(M$3,'FE - Aluminum'!$E$11:$BF$54,$B10,FALSE)</f>
        <v>0</v>
      </c>
      <c r="N10" s="856">
        <f>VLOOKUP(N$3,'FE - Aluminum'!$E$11:$BF$54,$B10,FALSE)</f>
        <v>0</v>
      </c>
      <c r="O10" s="856">
        <f>VLOOKUP(O$3,'FE - Aluminum'!$E$11:$BF$54,$B10,FALSE)</f>
        <v>0</v>
      </c>
      <c r="P10" s="856">
        <f>VLOOKUP(P$3,'FE - Aluminum'!$E$11:$BF$54,$B10,FALSE)</f>
        <v>0</v>
      </c>
      <c r="Q10" s="856">
        <f>VLOOKUP(Q$3,'FE - Aluminum'!$E$11:$BF$54,$B10,FALSE)</f>
        <v>0</v>
      </c>
      <c r="R10" s="856">
        <f>VLOOKUP(R$3,'FE - Aluminum'!$E$11:$BF$54,$B10,FALSE)</f>
        <v>0</v>
      </c>
      <c r="S10" s="856">
        <f>VLOOKUP(S$3,'FE - Aluminum'!$E$11:$BF$54,$B10,FALSE)</f>
        <v>0</v>
      </c>
      <c r="T10" s="856">
        <f>VLOOKUP(T$3,'FE - Aluminum'!$E$11:$BF$54,$B10,FALSE)</f>
        <v>0</v>
      </c>
      <c r="U10" s="856">
        <f>VLOOKUP(U$3,'FE - Aluminum'!$E$11:$BF$54,$B10,FALSE)</f>
        <v>0</v>
      </c>
      <c r="V10" s="856">
        <f>VLOOKUP(V$3,'FE - Aluminum'!$E$11:$BF$54,$B10,FALSE)</f>
        <v>0</v>
      </c>
      <c r="W10" s="856">
        <f>VLOOKUP(W$3,'FE - Aluminum'!$E$11:$BF$54,$B10,FALSE)</f>
        <v>0</v>
      </c>
      <c r="X10" s="856">
        <f>VLOOKUP(X$3,'FE - Aluminum'!$E$11:$BF$54,$B10,FALSE)</f>
        <v>0</v>
      </c>
      <c r="Y10" s="856">
        <f>VLOOKUP(Y$3,'FE - Aluminum'!$E$11:$BF$54,$B10,FALSE)</f>
        <v>0</v>
      </c>
      <c r="Z10" s="856">
        <f>VLOOKUP(Z$3,'FE - Aluminum'!$E$11:$BF$54,$B10,FALSE)</f>
        <v>0</v>
      </c>
      <c r="AA10" s="856">
        <f>VLOOKUP(AA$3,'FE - Aluminum'!$E$11:$BF$54,$B10,FALSE)</f>
        <v>0</v>
      </c>
      <c r="AB10" s="856">
        <f>VLOOKUP(AB$3,'FE - Aluminum'!$E$11:$BF$54,$B10,FALSE)</f>
        <v>0</v>
      </c>
      <c r="AC10" s="856">
        <f>VLOOKUP(AC$3,'FE - Aluminum'!$E$11:$BF$54,$B10,FALSE)</f>
        <v>0</v>
      </c>
      <c r="AD10" s="856">
        <f>VLOOKUP(AD$3,'FE - Aluminum'!$E$11:$BF$54,$B10,FALSE)</f>
        <v>0</v>
      </c>
      <c r="AE10" s="856">
        <f>VLOOKUP(AE$3,'FE - Aluminum'!$E$11:$BF$54,$B10,FALSE)</f>
        <v>0</v>
      </c>
      <c r="AF10" s="856">
        <f>VLOOKUP(AF$3,'FE - Aluminum'!$E$11:$BF$54,$B10,FALSE)</f>
        <v>0</v>
      </c>
      <c r="AG10" s="856">
        <f>VLOOKUP(AG$3,'FE - Aluminum'!$E$11:$BF$54,$B10,FALSE)</f>
        <v>0</v>
      </c>
      <c r="AH10" s="856">
        <f>VLOOKUP(AH$3,'FE - Aluminum'!$E$11:$BF$54,$B10,FALSE)</f>
        <v>0</v>
      </c>
      <c r="AI10" s="856">
        <f>VLOOKUP(AI$3,'FE - Aluminum'!$E$11:$BF$54,$B10,FALSE)</f>
        <v>0</v>
      </c>
      <c r="AJ10" s="856">
        <f>VLOOKUP(AJ$3,'FE - Aluminum'!$E$11:$BF$54,$B10,FALSE)</f>
        <v>0</v>
      </c>
      <c r="AK10" s="856">
        <f>VLOOKUP(AK$3,'FE - Aluminum'!$E$11:$BF$54,$B10,FALSE)</f>
        <v>0</v>
      </c>
      <c r="AL10" s="856">
        <f>VLOOKUP(AL$3,'FE - Aluminum'!$E$11:$BF$54,$B10,FALSE)</f>
        <v>0</v>
      </c>
      <c r="AM10" s="856">
        <f>VLOOKUP(AM$3,'FE - Aluminum'!$E$11:$BF$54,$B10,FALSE)</f>
        <v>0</v>
      </c>
      <c r="AN10" s="856">
        <f>VLOOKUP(AN$3,'FE - Aluminum'!$E$11:$BF$54,$B10,FALSE)</f>
        <v>0</v>
      </c>
      <c r="AO10" s="856">
        <f>VLOOKUP(AO$3,'FE - Aluminum'!$E$11:$BF$54,$B10,FALSE)</f>
        <v>0</v>
      </c>
      <c r="AP10" s="856">
        <f>VLOOKUP(AP$3,'FE - Aluminum'!$E$11:$BF$54,$B10,FALSE)</f>
        <v>0</v>
      </c>
      <c r="AQ10" s="856">
        <f>VLOOKUP(AQ$3,'FE - Aluminum'!$E$11:$BF$54,$B10,FALSE)</f>
        <v>0</v>
      </c>
      <c r="AR10" s="880"/>
      <c r="AS10" s="879">
        <f t="shared" si="3"/>
        <v>0</v>
      </c>
      <c r="AT10" s="888"/>
      <c r="AU10" s="888">
        <f t="shared" si="4"/>
        <v>0</v>
      </c>
      <c r="AV10" s="888">
        <f t="shared" si="5"/>
        <v>0</v>
      </c>
      <c r="AW10" s="888">
        <f t="shared" si="6"/>
        <v>0</v>
      </c>
      <c r="AX10" s="888">
        <f t="shared" si="7"/>
        <v>0</v>
      </c>
      <c r="AY10" s="888">
        <f t="shared" si="8"/>
        <v>0</v>
      </c>
      <c r="AZ10" s="888">
        <f t="shared" si="9"/>
        <v>0</v>
      </c>
      <c r="BA10" s="888">
        <f t="shared" si="10"/>
        <v>0</v>
      </c>
      <c r="BB10" s="888">
        <f t="shared" si="11"/>
        <v>0</v>
      </c>
      <c r="BC10" s="888"/>
      <c r="BD10" s="888">
        <f t="shared" si="2"/>
        <v>0</v>
      </c>
      <c r="BE10" s="888"/>
      <c r="BF10" s="888">
        <f t="shared" si="12"/>
        <v>0</v>
      </c>
      <c r="BG10" s="888">
        <f t="shared" si="13"/>
        <v>0</v>
      </c>
      <c r="BH10" s="889"/>
      <c r="BI10" s="866">
        <f>IFERROR(VLOOKUP(CONCATENATE(BI$3,$D10),'LCI - Simapro'!$A$2:$N$284,11,FALSE),0)</f>
        <v>0</v>
      </c>
      <c r="BJ10" s="866">
        <f>IFERROR(VLOOKUP(CONCATENATE(BJ$3,$D10),'LCI - Simapro'!$A$2:$N$284,11,FALSE),0)</f>
        <v>0</v>
      </c>
      <c r="BK10" s="866">
        <f>IFERROR(VLOOKUP(CONCATENATE(BK$3,$D10),'LCI - Simapro'!$A$2:$N$284,11,FALSE),0)</f>
        <v>0</v>
      </c>
      <c r="BL10" s="866">
        <f>IFERROR(VLOOKUP(CONCATENATE(BL$3,$D10),'LCI - Simapro'!$A$2:$N$284,11,FALSE),0)</f>
        <v>0</v>
      </c>
      <c r="BM10" s="866">
        <f>IFERROR(VLOOKUP(CONCATENATE(BM$3,$D10),'LCI - Simapro'!$A$2:$N$284,11,FALSE),0)</f>
        <v>0</v>
      </c>
      <c r="BN10" s="866">
        <f>IFERROR(VLOOKUP(CONCATENATE(BN$3,$D10),'LCI - Simapro'!$A$2:$N$284,11,FALSE),0)</f>
        <v>0</v>
      </c>
      <c r="BO10" s="866">
        <f>IFERROR(VLOOKUP(CONCATENATE(BO$3,$D10),'LCI - Simapro'!$A$2:$N$284,11,FALSE),0)</f>
        <v>0</v>
      </c>
      <c r="BP10" s="866">
        <f>IFERROR(VLOOKUP(CONCATENATE(BP$3,$D10),'LCI - Simapro'!$A$2:$N$284,11,FALSE),0)</f>
        <v>0</v>
      </c>
      <c r="BQ10" s="866">
        <f>IFERROR(VLOOKUP(CONCATENATE(BQ$3,$D10),'LCI - Simapro'!$A$2:$N$284,11,FALSE),0)</f>
        <v>0</v>
      </c>
      <c r="BR10" s="866">
        <f>IFERROR(VLOOKUP(CONCATENATE(BR$3,$D10),'LCI - Simapro'!$A$2:$N$284,11,FALSE),0)</f>
        <v>0</v>
      </c>
      <c r="BS10" s="866">
        <f>IFERROR(VLOOKUP(CONCATENATE(BS$3,$D10),'LCI - Simapro'!$A$2:$N$284,11,FALSE),0)</f>
        <v>0</v>
      </c>
      <c r="BT10" s="866">
        <f>IFERROR(VLOOKUP(CONCATENATE(BT$3,$D10),'LCI - Simapro'!$A$2:$N$284,11,FALSE),0)</f>
        <v>0</v>
      </c>
      <c r="BU10" s="866">
        <f>IFERROR(VLOOKUP(CONCATENATE(BU$3,$D10),'LCI - Simapro'!$A$2:$N$284,11,FALSE),0)</f>
        <v>0</v>
      </c>
      <c r="BV10" s="866">
        <f>IFERROR(VLOOKUP(CONCATENATE(BV$3,$D10),'LCI - Simapro'!$A$2:$N$284,11,FALSE),0)</f>
        <v>0</v>
      </c>
      <c r="BW10" s="866">
        <f>IFERROR(VLOOKUP(CONCATENATE(BW$3,$D10),'LCI - Simapro'!$A$2:$N$284,11,FALSE),0)</f>
        <v>0</v>
      </c>
    </row>
    <row r="11" spans="1:75" ht="26.4" customHeight="1">
      <c r="A11" t="s">
        <v>5757</v>
      </c>
      <c r="B11" s="846">
        <v>32</v>
      </c>
      <c r="C11" s="902"/>
      <c r="D11" s="898" t="s">
        <v>512</v>
      </c>
      <c r="E11" s="387" t="s">
        <v>94</v>
      </c>
      <c r="F11" s="856">
        <f>VLOOKUP(F$3,'FE - Aluminum'!$E$11:$BF$54,$B11,FALSE)</f>
        <v>0</v>
      </c>
      <c r="G11" s="856">
        <f>VLOOKUP(G$3,'FE - Aluminum'!$E$11:$BF$54,$B11,FALSE)</f>
        <v>0</v>
      </c>
      <c r="H11" s="856">
        <f>VLOOKUP(H$3,'FE - Aluminum'!$E$11:$BF$54,$B11,FALSE)</f>
        <v>0</v>
      </c>
      <c r="I11" s="856">
        <f>VLOOKUP(I$3,'FE - Aluminum'!$E$11:$BF$54,$B11,FALSE)</f>
        <v>0</v>
      </c>
      <c r="J11" s="856">
        <f>VLOOKUP(J$3,'FE - Aluminum'!$E$11:$BF$54,$B11,FALSE)</f>
        <v>0</v>
      </c>
      <c r="K11" s="856">
        <f>VLOOKUP(K$3,'FE - Aluminum'!$E$11:$BF$54,$B11,FALSE)</f>
        <v>0</v>
      </c>
      <c r="L11" s="856">
        <f>VLOOKUP(L$3,'FE - Aluminum'!$E$11:$BF$54,$B11,FALSE)</f>
        <v>0</v>
      </c>
      <c r="M11" s="856">
        <f>VLOOKUP(M$3,'FE - Aluminum'!$E$11:$BF$54,$B11,FALSE)</f>
        <v>0</v>
      </c>
      <c r="N11" s="856">
        <f>VLOOKUP(N$3,'FE - Aluminum'!$E$11:$BF$54,$B11,FALSE)</f>
        <v>0</v>
      </c>
      <c r="O11" s="856">
        <f>VLOOKUP(O$3,'FE - Aluminum'!$E$11:$BF$54,$B11,FALSE)</f>
        <v>0</v>
      </c>
      <c r="P11" s="856">
        <f>VLOOKUP(P$3,'FE - Aluminum'!$E$11:$BF$54,$B11,FALSE)</f>
        <v>-2242.0554090136702</v>
      </c>
      <c r="Q11" s="856">
        <f>VLOOKUP(Q$3,'FE - Aluminum'!$E$11:$BF$54,$B11,FALSE)</f>
        <v>2242.0554090136702</v>
      </c>
      <c r="R11" s="856">
        <f>VLOOKUP(R$3,'FE - Aluminum'!$E$11:$BF$54,$B11,FALSE)</f>
        <v>0</v>
      </c>
      <c r="S11" s="856">
        <f>VLOOKUP(S$3,'FE - Aluminum'!$E$11:$BF$54,$B11,FALSE)</f>
        <v>0</v>
      </c>
      <c r="T11" s="856">
        <f>VLOOKUP(T$3,'FE - Aluminum'!$E$11:$BF$54,$B11,FALSE)</f>
        <v>0</v>
      </c>
      <c r="U11" s="856">
        <f>VLOOKUP(U$3,'FE - Aluminum'!$E$11:$BF$54,$B11,FALSE)</f>
        <v>0</v>
      </c>
      <c r="V11" s="856">
        <f>VLOOKUP(V$3,'FE - Aluminum'!$E$11:$BF$54,$B11,FALSE)</f>
        <v>0</v>
      </c>
      <c r="W11" s="856">
        <f>VLOOKUP(W$3,'FE - Aluminum'!$E$11:$BF$54,$B11,FALSE)</f>
        <v>0</v>
      </c>
      <c r="X11" s="856">
        <f>VLOOKUP(X$3,'FE - Aluminum'!$E$11:$BF$54,$B11,FALSE)</f>
        <v>0</v>
      </c>
      <c r="Y11" s="856">
        <f>VLOOKUP(Y$3,'FE - Aluminum'!$E$11:$BF$54,$B11,FALSE)</f>
        <v>0</v>
      </c>
      <c r="Z11" s="856">
        <f>VLOOKUP(Z$3,'FE - Aluminum'!$E$11:$BF$54,$B11,FALSE)</f>
        <v>0</v>
      </c>
      <c r="AA11" s="856">
        <f>VLOOKUP(AA$3,'FE - Aluminum'!$E$11:$BF$54,$B11,FALSE)</f>
        <v>0</v>
      </c>
      <c r="AB11" s="856">
        <f>VLOOKUP(AB$3,'FE - Aluminum'!$E$11:$BF$54,$B11,FALSE)</f>
        <v>0</v>
      </c>
      <c r="AC11" s="856">
        <f>VLOOKUP(AC$3,'FE - Aluminum'!$E$11:$BF$54,$B11,FALSE)</f>
        <v>0</v>
      </c>
      <c r="AD11" s="856">
        <f>VLOOKUP(AD$3,'FE - Aluminum'!$E$11:$BF$54,$B11,FALSE)</f>
        <v>0</v>
      </c>
      <c r="AE11" s="856">
        <f>VLOOKUP(AE$3,'FE - Aluminum'!$E$11:$BF$54,$B11,FALSE)</f>
        <v>0</v>
      </c>
      <c r="AF11" s="856">
        <f>VLOOKUP(AF$3,'FE - Aluminum'!$E$11:$BF$54,$B11,FALSE)</f>
        <v>0</v>
      </c>
      <c r="AG11" s="856">
        <f>VLOOKUP(AG$3,'FE - Aluminum'!$E$11:$BF$54,$B11,FALSE)</f>
        <v>0</v>
      </c>
      <c r="AH11" s="856">
        <f>VLOOKUP(AH$3,'FE - Aluminum'!$E$11:$BF$54,$B11,FALSE)</f>
        <v>0</v>
      </c>
      <c r="AI11" s="856">
        <f>VLOOKUP(AI$3,'FE - Aluminum'!$E$11:$BF$54,$B11,FALSE)</f>
        <v>0</v>
      </c>
      <c r="AJ11" s="856">
        <f>VLOOKUP(AJ$3,'FE - Aluminum'!$E$11:$BF$54,$B11,FALSE)</f>
        <v>0</v>
      </c>
      <c r="AK11" s="856">
        <f>VLOOKUP(AK$3,'FE - Aluminum'!$E$11:$BF$54,$B11,FALSE)</f>
        <v>0</v>
      </c>
      <c r="AL11" s="856">
        <f>VLOOKUP(AL$3,'FE - Aluminum'!$E$11:$BF$54,$B11,FALSE)</f>
        <v>0</v>
      </c>
      <c r="AM11" s="856">
        <f>VLOOKUP(AM$3,'FE - Aluminum'!$E$11:$BF$54,$B11,FALSE)</f>
        <v>0</v>
      </c>
      <c r="AN11" s="856">
        <f>VLOOKUP(AN$3,'FE - Aluminum'!$E$11:$BF$54,$B11,FALSE)</f>
        <v>0</v>
      </c>
      <c r="AO11" s="856">
        <f>VLOOKUP(AO$3,'FE - Aluminum'!$E$11:$BF$54,$B11,FALSE)</f>
        <v>0</v>
      </c>
      <c r="AP11" s="856">
        <f>VLOOKUP(AP$3,'FE - Aluminum'!$E$11:$BF$54,$B11,FALSE)</f>
        <v>0</v>
      </c>
      <c r="AQ11" s="856">
        <f>VLOOKUP(AQ$3,'FE - Aluminum'!$E$11:$BF$54,$B11,FALSE)</f>
        <v>0</v>
      </c>
      <c r="AR11" s="880"/>
      <c r="AS11" s="879">
        <f t="shared" si="3"/>
        <v>0</v>
      </c>
      <c r="AT11" s="888"/>
      <c r="AU11" s="888">
        <f t="shared" si="4"/>
        <v>0</v>
      </c>
      <c r="AV11" s="888">
        <f t="shared" si="5"/>
        <v>0</v>
      </c>
      <c r="AW11" s="888">
        <f t="shared" si="6"/>
        <v>0</v>
      </c>
      <c r="AX11" s="888">
        <f t="shared" si="7"/>
        <v>0</v>
      </c>
      <c r="AY11" s="888">
        <f t="shared" si="8"/>
        <v>0</v>
      </c>
      <c r="AZ11" s="888">
        <f t="shared" si="9"/>
        <v>0</v>
      </c>
      <c r="BA11" s="888">
        <f t="shared" si="10"/>
        <v>0</v>
      </c>
      <c r="BB11" s="888">
        <f t="shared" si="11"/>
        <v>0</v>
      </c>
      <c r="BC11" s="888"/>
      <c r="BD11" s="888">
        <f t="shared" si="2"/>
        <v>0</v>
      </c>
      <c r="BE11" s="888"/>
      <c r="BF11" s="888">
        <f t="shared" si="12"/>
        <v>0</v>
      </c>
      <c r="BG11" s="888">
        <f t="shared" si="13"/>
        <v>0</v>
      </c>
      <c r="BH11" s="889"/>
      <c r="BI11" s="866">
        <f>IFERROR(VLOOKUP(CONCATENATE(BI$3,$D11),'LCI - Simapro'!$A$2:$N$284,11,FALSE),0)</f>
        <v>0</v>
      </c>
      <c r="BJ11" s="866">
        <f>IFERROR(VLOOKUP(CONCATENATE(BJ$3,$D11),'LCI - Simapro'!$A$2:$N$284,11,FALSE),0)</f>
        <v>0</v>
      </c>
      <c r="BK11" s="866">
        <f>IFERROR(VLOOKUP(CONCATENATE(BK$3,$D11),'LCI - Simapro'!$A$2:$N$284,11,FALSE),0)</f>
        <v>0</v>
      </c>
      <c r="BL11" s="866">
        <f>IFERROR(VLOOKUP(CONCATENATE(BL$3,$D11),'LCI - Simapro'!$A$2:$N$284,11,FALSE),0)</f>
        <v>0</v>
      </c>
      <c r="BM11" s="866">
        <f>IFERROR(VLOOKUP(CONCATENATE(BM$3,$D11),'LCI - Simapro'!$A$2:$N$284,11,FALSE),0)</f>
        <v>0</v>
      </c>
      <c r="BN11" s="866">
        <f>IFERROR(VLOOKUP(CONCATENATE(BN$3,$D11),'LCI - Simapro'!$A$2:$N$284,11,FALSE),0)</f>
        <v>0</v>
      </c>
      <c r="BO11" s="866">
        <f>IFERROR(VLOOKUP(CONCATENATE(BO$3,$D11),'LCI - Simapro'!$A$2:$N$284,11,FALSE),0)</f>
        <v>0</v>
      </c>
      <c r="BP11" s="866">
        <f>IFERROR(VLOOKUP(CONCATENATE(BP$3,$D11),'LCI - Simapro'!$A$2:$N$284,11,FALSE),0)</f>
        <v>0</v>
      </c>
      <c r="BQ11" s="866">
        <f>IFERROR(VLOOKUP(CONCATENATE(BQ$3,$D11),'LCI - Simapro'!$A$2:$N$284,11,FALSE),0)</f>
        <v>0</v>
      </c>
      <c r="BR11" s="866">
        <f>IFERROR(VLOOKUP(CONCATENATE(BR$3,$D11),'LCI - Simapro'!$A$2:$N$284,11,FALSE),0)</f>
        <v>0</v>
      </c>
      <c r="BS11" s="866">
        <f>IFERROR(VLOOKUP(CONCATENATE(BS$3,$D11),'LCI - Simapro'!$A$2:$N$284,11,FALSE),0)</f>
        <v>0</v>
      </c>
      <c r="BT11" s="866">
        <f>IFERROR(VLOOKUP(CONCATENATE(BT$3,$D11),'LCI - Simapro'!$A$2:$N$284,11,FALSE),0)</f>
        <v>0</v>
      </c>
      <c r="BU11" s="866">
        <f>IFERROR(VLOOKUP(CONCATENATE(BU$3,$D11),'LCI - Simapro'!$A$2:$N$284,11,FALSE),0)</f>
        <v>0</v>
      </c>
      <c r="BV11" s="866">
        <f>IFERROR(VLOOKUP(CONCATENATE(BV$3,$D11),'LCI - Simapro'!$A$2:$N$284,11,FALSE),0)</f>
        <v>0</v>
      </c>
      <c r="BW11" s="866">
        <f>IFERROR(VLOOKUP(CONCATENATE(BW$3,$D11),'LCI - Simapro'!$A$2:$N$284,11,FALSE),0)</f>
        <v>0</v>
      </c>
    </row>
    <row r="12" spans="1:75" ht="26.4" customHeight="1">
      <c r="A12" t="s">
        <v>5757</v>
      </c>
      <c r="B12" s="846">
        <v>33</v>
      </c>
      <c r="C12" s="902"/>
      <c r="D12" s="898" t="s">
        <v>504</v>
      </c>
      <c r="E12" s="387" t="s">
        <v>94</v>
      </c>
      <c r="F12" s="856">
        <f>VLOOKUP(F$3,'FE - Aluminum'!$E$11:$BF$54,$B12,FALSE)</f>
        <v>0</v>
      </c>
      <c r="G12" s="856">
        <f>VLOOKUP(G$3,'FE - Aluminum'!$E$11:$BF$54,$B12,FALSE)</f>
        <v>0</v>
      </c>
      <c r="H12" s="856">
        <f>VLOOKUP(H$3,'FE - Aluminum'!$E$11:$BF$54,$B12,FALSE)</f>
        <v>0</v>
      </c>
      <c r="I12" s="856">
        <f>VLOOKUP(I$3,'FE - Aluminum'!$E$11:$BF$54,$B12,FALSE)</f>
        <v>0</v>
      </c>
      <c r="J12" s="856">
        <f>VLOOKUP(J$3,'FE - Aluminum'!$E$11:$BF$54,$B12,FALSE)</f>
        <v>0</v>
      </c>
      <c r="K12" s="856">
        <f>VLOOKUP(K$3,'FE - Aluminum'!$E$11:$BF$54,$B12,FALSE)</f>
        <v>-186.32730000000004</v>
      </c>
      <c r="L12" s="856">
        <f>VLOOKUP(L$3,'FE - Aluminum'!$E$11:$BF$54,$B12,FALSE)</f>
        <v>0</v>
      </c>
      <c r="M12" s="856">
        <f>VLOOKUP(M$3,'FE - Aluminum'!$E$11:$BF$54,$B12,FALSE)</f>
        <v>0</v>
      </c>
      <c r="N12" s="856">
        <f>VLOOKUP(N$3,'FE - Aluminum'!$E$11:$BF$54,$B12,FALSE)</f>
        <v>0</v>
      </c>
      <c r="O12" s="856">
        <f>VLOOKUP(O$3,'FE - Aluminum'!$E$11:$BF$54,$B12,FALSE)</f>
        <v>0</v>
      </c>
      <c r="P12" s="856">
        <f>VLOOKUP(P$3,'FE - Aluminum'!$E$11:$BF$54,$B12,FALSE)</f>
        <v>0</v>
      </c>
      <c r="Q12" s="856">
        <f>VLOOKUP(Q$3,'FE - Aluminum'!$E$11:$BF$54,$B12,FALSE)</f>
        <v>0</v>
      </c>
      <c r="R12" s="856">
        <f>VLOOKUP(R$3,'FE - Aluminum'!$E$11:$BF$54,$B12,FALSE)</f>
        <v>0</v>
      </c>
      <c r="S12" s="856">
        <f>VLOOKUP(S$3,'FE - Aluminum'!$E$11:$BF$54,$B12,FALSE)</f>
        <v>0</v>
      </c>
      <c r="T12" s="856">
        <f>VLOOKUP(T$3,'FE - Aluminum'!$E$11:$BF$54,$B12,FALSE)</f>
        <v>186.32730000000004</v>
      </c>
      <c r="U12" s="856">
        <f>VLOOKUP(U$3,'FE - Aluminum'!$E$11:$BF$54,$B12,FALSE)</f>
        <v>0</v>
      </c>
      <c r="V12" s="856">
        <f>VLOOKUP(V$3,'FE - Aluminum'!$E$11:$BF$54,$B12,FALSE)</f>
        <v>0</v>
      </c>
      <c r="W12" s="856">
        <f>VLOOKUP(W$3,'FE - Aluminum'!$E$11:$BF$54,$B12,FALSE)</f>
        <v>0</v>
      </c>
      <c r="X12" s="856">
        <f>VLOOKUP(X$3,'FE - Aluminum'!$E$11:$BF$54,$B12,FALSE)</f>
        <v>0</v>
      </c>
      <c r="Y12" s="856">
        <f>VLOOKUP(Y$3,'FE - Aluminum'!$E$11:$BF$54,$B12,FALSE)</f>
        <v>0</v>
      </c>
      <c r="Z12" s="856">
        <f>VLOOKUP(Z$3,'FE - Aluminum'!$E$11:$BF$54,$B12,FALSE)</f>
        <v>0</v>
      </c>
      <c r="AA12" s="856">
        <f>VLOOKUP(AA$3,'FE - Aluminum'!$E$11:$BF$54,$B12,FALSE)</f>
        <v>0</v>
      </c>
      <c r="AB12" s="856">
        <f>VLOOKUP(AB$3,'FE - Aluminum'!$E$11:$BF$54,$B12,FALSE)</f>
        <v>0</v>
      </c>
      <c r="AC12" s="856">
        <f>VLOOKUP(AC$3,'FE - Aluminum'!$E$11:$BF$54,$B12,FALSE)</f>
        <v>0</v>
      </c>
      <c r="AD12" s="856">
        <f>VLOOKUP(AD$3,'FE - Aluminum'!$E$11:$BF$54,$B12,FALSE)</f>
        <v>0</v>
      </c>
      <c r="AE12" s="856">
        <f>VLOOKUP(AE$3,'FE - Aluminum'!$E$11:$BF$54,$B12,FALSE)</f>
        <v>0</v>
      </c>
      <c r="AF12" s="856">
        <f>VLOOKUP(AF$3,'FE - Aluminum'!$E$11:$BF$54,$B12,FALSE)</f>
        <v>0</v>
      </c>
      <c r="AG12" s="856">
        <f>VLOOKUP(AG$3,'FE - Aluminum'!$E$11:$BF$54,$B12,FALSE)</f>
        <v>0</v>
      </c>
      <c r="AH12" s="856">
        <f>VLOOKUP(AH$3,'FE - Aluminum'!$E$11:$BF$54,$B12,FALSE)</f>
        <v>0</v>
      </c>
      <c r="AI12" s="856">
        <f>VLOOKUP(AI$3,'FE - Aluminum'!$E$11:$BF$54,$B12,FALSE)</f>
        <v>0</v>
      </c>
      <c r="AJ12" s="856">
        <f>VLOOKUP(AJ$3,'FE - Aluminum'!$E$11:$BF$54,$B12,FALSE)</f>
        <v>0</v>
      </c>
      <c r="AK12" s="856">
        <f>VLOOKUP(AK$3,'FE - Aluminum'!$E$11:$BF$54,$B12,FALSE)</f>
        <v>0</v>
      </c>
      <c r="AL12" s="856">
        <f>VLOOKUP(AL$3,'FE - Aluminum'!$E$11:$BF$54,$B12,FALSE)</f>
        <v>0</v>
      </c>
      <c r="AM12" s="856">
        <f>VLOOKUP(AM$3,'FE - Aluminum'!$E$11:$BF$54,$B12,FALSE)</f>
        <v>0</v>
      </c>
      <c r="AN12" s="856">
        <f>VLOOKUP(AN$3,'FE - Aluminum'!$E$11:$BF$54,$B12,FALSE)</f>
        <v>0</v>
      </c>
      <c r="AO12" s="856">
        <f>VLOOKUP(AO$3,'FE - Aluminum'!$E$11:$BF$54,$B12,FALSE)</f>
        <v>0</v>
      </c>
      <c r="AP12" s="856">
        <f>VLOOKUP(AP$3,'FE - Aluminum'!$E$11:$BF$54,$B12,FALSE)</f>
        <v>0</v>
      </c>
      <c r="AQ12" s="856">
        <f>VLOOKUP(AQ$3,'FE - Aluminum'!$E$11:$BF$54,$B12,FALSE)</f>
        <v>0</v>
      </c>
      <c r="AR12" s="880"/>
      <c r="AS12" s="879">
        <f t="shared" si="3"/>
        <v>0</v>
      </c>
      <c r="AT12" s="888"/>
      <c r="AU12" s="888">
        <f t="shared" si="4"/>
        <v>0</v>
      </c>
      <c r="AV12" s="888">
        <f t="shared" si="5"/>
        <v>0</v>
      </c>
      <c r="AW12" s="888">
        <f t="shared" si="6"/>
        <v>0</v>
      </c>
      <c r="AX12" s="888">
        <f t="shared" si="7"/>
        <v>186.32730000000004</v>
      </c>
      <c r="AY12" s="888">
        <f t="shared" si="8"/>
        <v>0</v>
      </c>
      <c r="AZ12" s="888">
        <f t="shared" si="9"/>
        <v>0</v>
      </c>
      <c r="BA12" s="888">
        <f t="shared" si="10"/>
        <v>0</v>
      </c>
      <c r="BB12" s="888">
        <f t="shared" si="11"/>
        <v>0</v>
      </c>
      <c r="BC12" s="888"/>
      <c r="BD12" s="888">
        <f t="shared" si="2"/>
        <v>0</v>
      </c>
      <c r="BE12" s="888"/>
      <c r="BF12" s="888">
        <f t="shared" si="12"/>
        <v>0</v>
      </c>
      <c r="BG12" s="888">
        <f t="shared" si="13"/>
        <v>0</v>
      </c>
      <c r="BH12" s="889"/>
      <c r="BI12" s="866">
        <f>IFERROR(VLOOKUP(CONCATENATE(BI$3,$D12),'LCI - Simapro'!$A$2:$N$284,11,FALSE),0)</f>
        <v>0</v>
      </c>
      <c r="BJ12" s="866">
        <f>IFERROR(VLOOKUP(CONCATENATE(BJ$3,$D12),'LCI - Simapro'!$A$2:$N$284,11,FALSE),0)</f>
        <v>0</v>
      </c>
      <c r="BK12" s="866">
        <f>IFERROR(VLOOKUP(CONCATENATE(BK$3,$D12),'LCI - Simapro'!$A$2:$N$284,11,FALSE),0)</f>
        <v>0</v>
      </c>
      <c r="BL12" s="866">
        <f>IFERROR(VLOOKUP(CONCATENATE(BL$3,$D12),'LCI - Simapro'!$A$2:$N$284,11,FALSE),0)</f>
        <v>0</v>
      </c>
      <c r="BM12" s="866">
        <f>IFERROR(VLOOKUP(CONCATENATE(BM$3,$D12),'LCI - Simapro'!$A$2:$N$284,11,FALSE),0)</f>
        <v>0</v>
      </c>
      <c r="BN12" s="866">
        <f>IFERROR(VLOOKUP(CONCATENATE(BN$3,$D12),'LCI - Simapro'!$A$2:$N$284,11,FALSE),0)</f>
        <v>0.47499999999999998</v>
      </c>
      <c r="BO12" s="866">
        <f>IFERROR(VLOOKUP(CONCATENATE(BO$3,$D12),'LCI - Simapro'!$A$2:$N$284,11,FALSE),0)</f>
        <v>0</v>
      </c>
      <c r="BP12" s="866">
        <f>IFERROR(VLOOKUP(CONCATENATE(BP$3,$D12),'LCI - Simapro'!$A$2:$N$284,11,FALSE),0)</f>
        <v>0</v>
      </c>
      <c r="BQ12" s="866">
        <f>IFERROR(VLOOKUP(CONCATENATE(BQ$3,$D12),'LCI - Simapro'!$A$2:$N$284,11,FALSE),0)</f>
        <v>0</v>
      </c>
      <c r="BR12" s="866">
        <f>IFERROR(VLOOKUP(CONCATENATE(BR$3,$D12),'LCI - Simapro'!$A$2:$N$284,11,FALSE),0)</f>
        <v>0</v>
      </c>
      <c r="BS12" s="866">
        <f>IFERROR(VLOOKUP(CONCATENATE(BS$3,$D12),'LCI - Simapro'!$A$2:$N$284,11,FALSE),0)</f>
        <v>0</v>
      </c>
      <c r="BT12" s="866">
        <f>IFERROR(VLOOKUP(CONCATENATE(BT$3,$D12),'LCI - Simapro'!$A$2:$N$284,11,FALSE),0)</f>
        <v>0</v>
      </c>
      <c r="BU12" s="866">
        <f>IFERROR(VLOOKUP(CONCATENATE(BU$3,$D12),'LCI - Simapro'!$A$2:$N$284,11,FALSE),0)</f>
        <v>0</v>
      </c>
      <c r="BV12" s="866">
        <f>IFERROR(VLOOKUP(CONCATENATE(BV$3,$D12),'LCI - Simapro'!$A$2:$N$284,11,FALSE),0)</f>
        <v>0</v>
      </c>
      <c r="BW12" s="866">
        <f>IFERROR(VLOOKUP(CONCATENATE(BW$3,$D12),'LCI - Simapro'!$A$2:$N$284,11,FALSE),0)</f>
        <v>0</v>
      </c>
    </row>
    <row r="13" spans="1:75" ht="26.4" customHeight="1">
      <c r="A13" t="s">
        <v>5757</v>
      </c>
      <c r="B13" s="846">
        <v>34</v>
      </c>
      <c r="C13" s="902"/>
      <c r="D13" s="898" t="s">
        <v>505</v>
      </c>
      <c r="E13" s="387" t="s">
        <v>94</v>
      </c>
      <c r="F13" s="856">
        <f>VLOOKUP(F$3,'FE - Aluminum'!$E$11:$BF$54,$B13,FALSE)</f>
        <v>0</v>
      </c>
      <c r="G13" s="856">
        <f>VLOOKUP(G$3,'FE - Aluminum'!$E$11:$BF$54,$B13,FALSE)</f>
        <v>0</v>
      </c>
      <c r="H13" s="856">
        <f>VLOOKUP(H$3,'FE - Aluminum'!$E$11:$BF$54,$B13,FALSE)</f>
        <v>0</v>
      </c>
      <c r="I13" s="856">
        <f>VLOOKUP(I$3,'FE - Aluminum'!$E$11:$BF$54,$B13,FALSE)</f>
        <v>0</v>
      </c>
      <c r="J13" s="856">
        <f>VLOOKUP(J$3,'FE - Aluminum'!$E$11:$BF$54,$B13,FALSE)</f>
        <v>0</v>
      </c>
      <c r="K13" s="856">
        <f>VLOOKUP(K$3,'FE - Aluminum'!$E$11:$BF$54,$B13,FALSE)</f>
        <v>0</v>
      </c>
      <c r="L13" s="856">
        <f>VLOOKUP(L$3,'FE - Aluminum'!$E$11:$BF$54,$B13,FALSE)</f>
        <v>-97.711979999999997</v>
      </c>
      <c r="M13" s="856">
        <f>VLOOKUP(M$3,'FE - Aluminum'!$E$11:$BF$54,$B13,FALSE)</f>
        <v>0</v>
      </c>
      <c r="N13" s="856">
        <f>VLOOKUP(N$3,'FE - Aluminum'!$E$11:$BF$54,$B13,FALSE)</f>
        <v>0</v>
      </c>
      <c r="O13" s="856">
        <f>VLOOKUP(O$3,'FE - Aluminum'!$E$11:$BF$54,$B13,FALSE)</f>
        <v>0</v>
      </c>
      <c r="P13" s="856">
        <f>VLOOKUP(P$3,'FE - Aluminum'!$E$11:$BF$54,$B13,FALSE)</f>
        <v>0</v>
      </c>
      <c r="Q13" s="856">
        <f>VLOOKUP(Q$3,'FE - Aluminum'!$E$11:$BF$54,$B13,FALSE)</f>
        <v>0</v>
      </c>
      <c r="R13" s="856">
        <f>VLOOKUP(R$3,'FE - Aluminum'!$E$11:$BF$54,$B13,FALSE)</f>
        <v>0</v>
      </c>
      <c r="S13" s="856">
        <f>VLOOKUP(S$3,'FE - Aluminum'!$E$11:$BF$54,$B13,FALSE)</f>
        <v>0</v>
      </c>
      <c r="T13" s="856">
        <f>VLOOKUP(T$3,'FE - Aluminum'!$E$11:$BF$54,$B13,FALSE)</f>
        <v>0</v>
      </c>
      <c r="U13" s="856">
        <f>VLOOKUP(U$3,'FE - Aluminum'!$E$11:$BF$54,$B13,FALSE)</f>
        <v>97.711979999999997</v>
      </c>
      <c r="V13" s="856">
        <f>VLOOKUP(V$3,'FE - Aluminum'!$E$11:$BF$54,$B13,FALSE)</f>
        <v>0</v>
      </c>
      <c r="W13" s="856">
        <f>VLOOKUP(W$3,'FE - Aluminum'!$E$11:$BF$54,$B13,FALSE)</f>
        <v>0</v>
      </c>
      <c r="X13" s="856">
        <f>VLOOKUP(X$3,'FE - Aluminum'!$E$11:$BF$54,$B13,FALSE)</f>
        <v>0</v>
      </c>
      <c r="Y13" s="856">
        <f>VLOOKUP(Y$3,'FE - Aluminum'!$E$11:$BF$54,$B13,FALSE)</f>
        <v>0</v>
      </c>
      <c r="Z13" s="856">
        <f>VLOOKUP(Z$3,'FE - Aluminum'!$E$11:$BF$54,$B13,FALSE)</f>
        <v>0</v>
      </c>
      <c r="AA13" s="856">
        <f>VLOOKUP(AA$3,'FE - Aluminum'!$E$11:$BF$54,$B13,FALSE)</f>
        <v>0</v>
      </c>
      <c r="AB13" s="856">
        <f>VLOOKUP(AB$3,'FE - Aluminum'!$E$11:$BF$54,$B13,FALSE)</f>
        <v>0</v>
      </c>
      <c r="AC13" s="856">
        <f>VLOOKUP(AC$3,'FE - Aluminum'!$E$11:$BF$54,$B13,FALSE)</f>
        <v>0</v>
      </c>
      <c r="AD13" s="856">
        <f>VLOOKUP(AD$3,'FE - Aluminum'!$E$11:$BF$54,$B13,FALSE)</f>
        <v>0</v>
      </c>
      <c r="AE13" s="856">
        <f>VLOOKUP(AE$3,'FE - Aluminum'!$E$11:$BF$54,$B13,FALSE)</f>
        <v>0</v>
      </c>
      <c r="AF13" s="856">
        <f>VLOOKUP(AF$3,'FE - Aluminum'!$E$11:$BF$54,$B13,FALSE)</f>
        <v>0</v>
      </c>
      <c r="AG13" s="856">
        <f>VLOOKUP(AG$3,'FE - Aluminum'!$E$11:$BF$54,$B13,FALSE)</f>
        <v>0</v>
      </c>
      <c r="AH13" s="856">
        <f>VLOOKUP(AH$3,'FE - Aluminum'!$E$11:$BF$54,$B13,FALSE)</f>
        <v>0</v>
      </c>
      <c r="AI13" s="856">
        <f>VLOOKUP(AI$3,'FE - Aluminum'!$E$11:$BF$54,$B13,FALSE)</f>
        <v>0</v>
      </c>
      <c r="AJ13" s="856">
        <f>VLOOKUP(AJ$3,'FE - Aluminum'!$E$11:$BF$54,$B13,FALSE)</f>
        <v>0</v>
      </c>
      <c r="AK13" s="856">
        <f>VLOOKUP(AK$3,'FE - Aluminum'!$E$11:$BF$54,$B13,FALSE)</f>
        <v>0</v>
      </c>
      <c r="AL13" s="856">
        <f>VLOOKUP(AL$3,'FE - Aluminum'!$E$11:$BF$54,$B13,FALSE)</f>
        <v>0</v>
      </c>
      <c r="AM13" s="856">
        <f>VLOOKUP(AM$3,'FE - Aluminum'!$E$11:$BF$54,$B13,FALSE)</f>
        <v>0</v>
      </c>
      <c r="AN13" s="856">
        <f>VLOOKUP(AN$3,'FE - Aluminum'!$E$11:$BF$54,$B13,FALSE)</f>
        <v>0</v>
      </c>
      <c r="AO13" s="856">
        <f>VLOOKUP(AO$3,'FE - Aluminum'!$E$11:$BF$54,$B13,FALSE)</f>
        <v>0</v>
      </c>
      <c r="AP13" s="856">
        <f>VLOOKUP(AP$3,'FE - Aluminum'!$E$11:$BF$54,$B13,FALSE)</f>
        <v>0</v>
      </c>
      <c r="AQ13" s="856">
        <f>VLOOKUP(AQ$3,'FE - Aluminum'!$E$11:$BF$54,$B13,FALSE)</f>
        <v>0</v>
      </c>
      <c r="AR13" s="880"/>
      <c r="AS13" s="879">
        <f t="shared" si="3"/>
        <v>0</v>
      </c>
      <c r="AT13" s="888"/>
      <c r="AU13" s="888">
        <f t="shared" si="4"/>
        <v>0</v>
      </c>
      <c r="AV13" s="888">
        <f t="shared" si="5"/>
        <v>0</v>
      </c>
      <c r="AW13" s="888">
        <f t="shared" si="6"/>
        <v>97.711979999999997</v>
      </c>
      <c r="AX13" s="888">
        <f t="shared" si="7"/>
        <v>0</v>
      </c>
      <c r="AY13" s="888">
        <f t="shared" si="8"/>
        <v>0</v>
      </c>
      <c r="AZ13" s="888">
        <f t="shared" si="9"/>
        <v>0</v>
      </c>
      <c r="BA13" s="888">
        <f t="shared" si="10"/>
        <v>0</v>
      </c>
      <c r="BB13" s="888">
        <f t="shared" si="11"/>
        <v>0</v>
      </c>
      <c r="BC13" s="888"/>
      <c r="BD13" s="888">
        <f t="shared" si="2"/>
        <v>0</v>
      </c>
      <c r="BE13" s="888"/>
      <c r="BF13" s="888">
        <f t="shared" si="12"/>
        <v>0</v>
      </c>
      <c r="BG13" s="888">
        <f t="shared" si="13"/>
        <v>0</v>
      </c>
      <c r="BH13" s="889"/>
      <c r="BI13" s="866">
        <f>IFERROR(VLOOKUP(CONCATENATE(BI$3,$D13),'LCI - Simapro'!$A$2:$N$284,11,FALSE),0)</f>
        <v>0</v>
      </c>
      <c r="BJ13" s="866">
        <f>IFERROR(VLOOKUP(CONCATENATE(BJ$3,$D13),'LCI - Simapro'!$A$2:$N$284,11,FALSE),0)</f>
        <v>0</v>
      </c>
      <c r="BK13" s="866">
        <f>IFERROR(VLOOKUP(CONCATENATE(BK$3,$D13),'LCI - Simapro'!$A$2:$N$284,11,FALSE),0)</f>
        <v>0</v>
      </c>
      <c r="BL13" s="866">
        <f>IFERROR(VLOOKUP(CONCATENATE(BL$3,$D13),'LCI - Simapro'!$A$2:$N$284,11,FALSE),0)</f>
        <v>0</v>
      </c>
      <c r="BM13" s="866">
        <f>IFERROR(VLOOKUP(CONCATENATE(BM$3,$D13),'LCI - Simapro'!$A$2:$N$284,11,FALSE),0)</f>
        <v>0.51500000000000001</v>
      </c>
      <c r="BN13" s="866">
        <f>IFERROR(VLOOKUP(CONCATENATE(BN$3,$D13),'LCI - Simapro'!$A$2:$N$284,11,FALSE),0)</f>
        <v>0</v>
      </c>
      <c r="BO13" s="866">
        <f>IFERROR(VLOOKUP(CONCATENATE(BO$3,$D13),'LCI - Simapro'!$A$2:$N$284,11,FALSE),0)</f>
        <v>0</v>
      </c>
      <c r="BP13" s="866">
        <f>IFERROR(VLOOKUP(CONCATENATE(BP$3,$D13),'LCI - Simapro'!$A$2:$N$284,11,FALSE),0)</f>
        <v>0</v>
      </c>
      <c r="BQ13" s="866">
        <f>IFERROR(VLOOKUP(CONCATENATE(BQ$3,$D13),'LCI - Simapro'!$A$2:$N$284,11,FALSE),0)</f>
        <v>0</v>
      </c>
      <c r="BR13" s="866">
        <f>IFERROR(VLOOKUP(CONCATENATE(BR$3,$D13),'LCI - Simapro'!$A$2:$N$284,11,FALSE),0)</f>
        <v>0</v>
      </c>
      <c r="BS13" s="866">
        <f>IFERROR(VLOOKUP(CONCATENATE(BS$3,$D13),'LCI - Simapro'!$A$2:$N$284,11,FALSE),0)</f>
        <v>0</v>
      </c>
      <c r="BT13" s="866">
        <f>IFERROR(VLOOKUP(CONCATENATE(BT$3,$D13),'LCI - Simapro'!$A$2:$N$284,11,FALSE),0)</f>
        <v>0</v>
      </c>
      <c r="BU13" s="866">
        <f>IFERROR(VLOOKUP(CONCATENATE(BU$3,$D13),'LCI - Simapro'!$A$2:$N$284,11,FALSE),0)</f>
        <v>0</v>
      </c>
      <c r="BV13" s="866">
        <f>IFERROR(VLOOKUP(CONCATENATE(BV$3,$D13),'LCI - Simapro'!$A$2:$N$284,11,FALSE),0)</f>
        <v>0</v>
      </c>
      <c r="BW13" s="866">
        <f>IFERROR(VLOOKUP(CONCATENATE(BW$3,$D13),'LCI - Simapro'!$A$2:$N$284,11,FALSE),0)</f>
        <v>0</v>
      </c>
    </row>
    <row r="14" spans="1:75" ht="26.4" customHeight="1">
      <c r="A14" t="s">
        <v>5757</v>
      </c>
      <c r="B14" s="846">
        <v>35</v>
      </c>
      <c r="C14" s="902"/>
      <c r="D14" s="898" t="s">
        <v>244</v>
      </c>
      <c r="E14" s="387" t="s">
        <v>94</v>
      </c>
      <c r="F14" s="856">
        <f>VLOOKUP(F$3,'FE - Aluminum'!$E$11:$BF$54,$B14,FALSE)</f>
        <v>0</v>
      </c>
      <c r="G14" s="856">
        <f>VLOOKUP(G$3,'FE - Aluminum'!$E$11:$BF$54,$B14,FALSE)</f>
        <v>0</v>
      </c>
      <c r="H14" s="856">
        <f>VLOOKUP(H$3,'FE - Aluminum'!$E$11:$BF$54,$B14,FALSE)</f>
        <v>0</v>
      </c>
      <c r="I14" s="856">
        <f>VLOOKUP(I$3,'FE - Aluminum'!$E$11:$BF$54,$B14,FALSE)</f>
        <v>0</v>
      </c>
      <c r="J14" s="856">
        <f>VLOOKUP(J$3,'FE - Aluminum'!$E$11:$BF$54,$B14,FALSE)</f>
        <v>0</v>
      </c>
      <c r="K14" s="856">
        <f>VLOOKUP(K$3,'FE - Aluminum'!$E$11:$BF$54,$B14,FALSE)</f>
        <v>0</v>
      </c>
      <c r="L14" s="856">
        <f>VLOOKUP(L$3,'FE - Aluminum'!$E$11:$BF$54,$B14,FALSE)</f>
        <v>0</v>
      </c>
      <c r="M14" s="856">
        <f>VLOOKUP(M$3,'FE - Aluminum'!$E$11:$BF$54,$B14,FALSE)</f>
        <v>-0.93120000000000025</v>
      </c>
      <c r="N14" s="856">
        <f>VLOOKUP(N$3,'FE - Aluminum'!$E$11:$BF$54,$B14,FALSE)</f>
        <v>0</v>
      </c>
      <c r="O14" s="856">
        <f>VLOOKUP(O$3,'FE - Aluminum'!$E$11:$BF$54,$B14,FALSE)</f>
        <v>0</v>
      </c>
      <c r="P14" s="856">
        <f>VLOOKUP(P$3,'FE - Aluminum'!$E$11:$BF$54,$B14,FALSE)</f>
        <v>0</v>
      </c>
      <c r="Q14" s="856">
        <f>VLOOKUP(Q$3,'FE - Aluminum'!$E$11:$BF$54,$B14,FALSE)</f>
        <v>0</v>
      </c>
      <c r="R14" s="856">
        <f>VLOOKUP(R$3,'FE - Aluminum'!$E$11:$BF$54,$B14,FALSE)</f>
        <v>0</v>
      </c>
      <c r="S14" s="856">
        <f>VLOOKUP(S$3,'FE - Aluminum'!$E$11:$BF$54,$B14,FALSE)</f>
        <v>0</v>
      </c>
      <c r="T14" s="856">
        <f>VLOOKUP(T$3,'FE - Aluminum'!$E$11:$BF$54,$B14,FALSE)</f>
        <v>0.62762880000000021</v>
      </c>
      <c r="U14" s="856">
        <f>VLOOKUP(U$3,'FE - Aluminum'!$E$11:$BF$54,$B14,FALSE)</f>
        <v>0.30357120000000004</v>
      </c>
      <c r="V14" s="856">
        <f>VLOOKUP(V$3,'FE - Aluminum'!$E$11:$BF$54,$B14,FALSE)</f>
        <v>0</v>
      </c>
      <c r="W14" s="856">
        <f>VLOOKUP(W$3,'FE - Aluminum'!$E$11:$BF$54,$B14,FALSE)</f>
        <v>0</v>
      </c>
      <c r="X14" s="856">
        <f>VLOOKUP(X$3,'FE - Aluminum'!$E$11:$BF$54,$B14,FALSE)</f>
        <v>0</v>
      </c>
      <c r="Y14" s="856">
        <f>VLOOKUP(Y$3,'FE - Aluminum'!$E$11:$BF$54,$B14,FALSE)</f>
        <v>0</v>
      </c>
      <c r="Z14" s="856">
        <f>VLOOKUP(Z$3,'FE - Aluminum'!$E$11:$BF$54,$B14,FALSE)</f>
        <v>0</v>
      </c>
      <c r="AA14" s="856">
        <f>VLOOKUP(AA$3,'FE - Aluminum'!$E$11:$BF$54,$B14,FALSE)</f>
        <v>0</v>
      </c>
      <c r="AB14" s="856">
        <f>VLOOKUP(AB$3,'FE - Aluminum'!$E$11:$BF$54,$B14,FALSE)</f>
        <v>0</v>
      </c>
      <c r="AC14" s="856">
        <f>VLOOKUP(AC$3,'FE - Aluminum'!$E$11:$BF$54,$B14,FALSE)</f>
        <v>0</v>
      </c>
      <c r="AD14" s="856">
        <f>VLOOKUP(AD$3,'FE - Aluminum'!$E$11:$BF$54,$B14,FALSE)</f>
        <v>0</v>
      </c>
      <c r="AE14" s="856">
        <f>VLOOKUP(AE$3,'FE - Aluminum'!$E$11:$BF$54,$B14,FALSE)</f>
        <v>0</v>
      </c>
      <c r="AF14" s="856">
        <f>VLOOKUP(AF$3,'FE - Aluminum'!$E$11:$BF$54,$B14,FALSE)</f>
        <v>0</v>
      </c>
      <c r="AG14" s="856">
        <f>VLOOKUP(AG$3,'FE - Aluminum'!$E$11:$BF$54,$B14,FALSE)</f>
        <v>0</v>
      </c>
      <c r="AH14" s="856">
        <f>VLOOKUP(AH$3,'FE - Aluminum'!$E$11:$BF$54,$B14,FALSE)</f>
        <v>0</v>
      </c>
      <c r="AI14" s="856">
        <f>VLOOKUP(AI$3,'FE - Aluminum'!$E$11:$BF$54,$B14,FALSE)</f>
        <v>0</v>
      </c>
      <c r="AJ14" s="856">
        <f>VLOOKUP(AJ$3,'FE - Aluminum'!$E$11:$BF$54,$B14,FALSE)</f>
        <v>0</v>
      </c>
      <c r="AK14" s="856">
        <f>VLOOKUP(AK$3,'FE - Aluminum'!$E$11:$BF$54,$B14,FALSE)</f>
        <v>0</v>
      </c>
      <c r="AL14" s="856">
        <f>VLOOKUP(AL$3,'FE - Aluminum'!$E$11:$BF$54,$B14,FALSE)</f>
        <v>0</v>
      </c>
      <c r="AM14" s="856">
        <f>VLOOKUP(AM$3,'FE - Aluminum'!$E$11:$BF$54,$B14,FALSE)</f>
        <v>0</v>
      </c>
      <c r="AN14" s="856">
        <f>VLOOKUP(AN$3,'FE - Aluminum'!$E$11:$BF$54,$B14,FALSE)</f>
        <v>0</v>
      </c>
      <c r="AO14" s="856">
        <f>VLOOKUP(AO$3,'FE - Aluminum'!$E$11:$BF$54,$B14,FALSE)</f>
        <v>0</v>
      </c>
      <c r="AP14" s="856">
        <f>VLOOKUP(AP$3,'FE - Aluminum'!$E$11:$BF$54,$B14,FALSE)</f>
        <v>0</v>
      </c>
      <c r="AQ14" s="856">
        <f>VLOOKUP(AQ$3,'FE - Aluminum'!$E$11:$BF$54,$B14,FALSE)</f>
        <v>0</v>
      </c>
      <c r="AR14" s="880"/>
      <c r="AS14" s="879">
        <f t="shared" si="3"/>
        <v>0</v>
      </c>
      <c r="AT14" s="888"/>
      <c r="AU14" s="888">
        <f t="shared" si="4"/>
        <v>0</v>
      </c>
      <c r="AV14" s="888">
        <f t="shared" si="5"/>
        <v>0</v>
      </c>
      <c r="AW14" s="888">
        <f t="shared" si="6"/>
        <v>0.30357120000000004</v>
      </c>
      <c r="AX14" s="888">
        <f t="shared" si="7"/>
        <v>0.62762880000000021</v>
      </c>
      <c r="AY14" s="888">
        <f t="shared" si="8"/>
        <v>0</v>
      </c>
      <c r="AZ14" s="888">
        <f t="shared" si="9"/>
        <v>0</v>
      </c>
      <c r="BA14" s="888">
        <f t="shared" si="10"/>
        <v>0</v>
      </c>
      <c r="BB14" s="888">
        <f t="shared" si="11"/>
        <v>0</v>
      </c>
      <c r="BC14" s="888"/>
      <c r="BD14" s="888">
        <f t="shared" si="2"/>
        <v>0</v>
      </c>
      <c r="BE14" s="888"/>
      <c r="BF14" s="888">
        <f t="shared" si="12"/>
        <v>0</v>
      </c>
      <c r="BG14" s="888">
        <f t="shared" si="13"/>
        <v>0</v>
      </c>
      <c r="BH14" s="889"/>
      <c r="BI14" s="866">
        <f>IFERROR(VLOOKUP(CONCATENATE(BI$3,$D14),'LCI - Simapro'!$A$2:$N$284,11,FALSE),0)</f>
        <v>0</v>
      </c>
      <c r="BJ14" s="866">
        <f>IFERROR(VLOOKUP(CONCATENATE(BJ$3,$D14),'LCI - Simapro'!$A$2:$N$284,11,FALSE),0)</f>
        <v>0</v>
      </c>
      <c r="BK14" s="866">
        <f>IFERROR(VLOOKUP(CONCATENATE(BK$3,$D14),'LCI - Simapro'!$A$2:$N$284,11,FALSE),0)</f>
        <v>0</v>
      </c>
      <c r="BL14" s="866">
        <f>IFERROR(VLOOKUP(CONCATENATE(BL$3,$D14),'LCI - Simapro'!$A$2:$N$284,11,FALSE),0)</f>
        <v>0</v>
      </c>
      <c r="BM14" s="866">
        <f>IFERROR(VLOOKUP(CONCATENATE(BM$3,$D14),'LCI - Simapro'!$A$2:$N$284,11,FALSE),0)</f>
        <v>1.6000000000000001E-3</v>
      </c>
      <c r="BN14" s="866">
        <f>IFERROR(VLOOKUP(CONCATENATE(BN$3,$D14),'LCI - Simapro'!$A$2:$N$284,11,FALSE),0)</f>
        <v>1.6000000000000001E-3</v>
      </c>
      <c r="BO14" s="866">
        <f>IFERROR(VLOOKUP(CONCATENATE(BO$3,$D14),'LCI - Simapro'!$A$2:$N$284,11,FALSE),0)</f>
        <v>4.0000000000000002E-4</v>
      </c>
      <c r="BP14" s="866">
        <f>IFERROR(VLOOKUP(CONCATENATE(BP$3,$D14),'LCI - Simapro'!$A$2:$N$284,11,FALSE),0)</f>
        <v>0</v>
      </c>
      <c r="BQ14" s="866">
        <f>IFERROR(VLOOKUP(CONCATENATE(BQ$3,$D14),'LCI - Simapro'!$A$2:$N$284,11,FALSE),0)</f>
        <v>0</v>
      </c>
      <c r="BR14" s="866">
        <f>IFERROR(VLOOKUP(CONCATENATE(BR$3,$D14),'LCI - Simapro'!$A$2:$N$284,11,FALSE),0)</f>
        <v>0</v>
      </c>
      <c r="BS14" s="866">
        <f>IFERROR(VLOOKUP(CONCATENATE(BS$3,$D14),'LCI - Simapro'!$A$2:$N$284,11,FALSE),0)</f>
        <v>0</v>
      </c>
      <c r="BT14" s="866">
        <f>IFERROR(VLOOKUP(CONCATENATE(BT$3,$D14),'LCI - Simapro'!$A$2:$N$284,11,FALSE),0)</f>
        <v>0</v>
      </c>
      <c r="BU14" s="866">
        <f>IFERROR(VLOOKUP(CONCATENATE(BU$3,$D14),'LCI - Simapro'!$A$2:$N$284,11,FALSE),0)</f>
        <v>0</v>
      </c>
      <c r="BV14" s="866">
        <f>IFERROR(VLOOKUP(CONCATENATE(BV$3,$D14),'LCI - Simapro'!$A$2:$N$284,11,FALSE),0)</f>
        <v>0</v>
      </c>
      <c r="BW14" s="866">
        <f>IFERROR(VLOOKUP(CONCATENATE(BW$3,$D14),'LCI - Simapro'!$A$2:$N$284,11,FALSE),0)</f>
        <v>0</v>
      </c>
    </row>
    <row r="15" spans="1:75" ht="26.4" customHeight="1">
      <c r="A15" t="s">
        <v>5757</v>
      </c>
      <c r="B15" s="846">
        <v>36</v>
      </c>
      <c r="C15" s="902"/>
      <c r="D15" s="898" t="s">
        <v>109</v>
      </c>
      <c r="E15" s="387" t="s">
        <v>94</v>
      </c>
      <c r="F15" s="856">
        <f>VLOOKUP(F$3,'FE - Aluminum'!$E$11:$BF$54,$B15,FALSE)</f>
        <v>0</v>
      </c>
      <c r="G15" s="856">
        <f>VLOOKUP(G$3,'FE - Aluminum'!$E$11:$BF$54,$B15,FALSE)</f>
        <v>0</v>
      </c>
      <c r="H15" s="856">
        <f>VLOOKUP(H$3,'FE - Aluminum'!$E$11:$BF$54,$B15,FALSE)</f>
        <v>0</v>
      </c>
      <c r="I15" s="856">
        <f>VLOOKUP(I$3,'FE - Aluminum'!$E$11:$BF$54,$B15,FALSE)</f>
        <v>0</v>
      </c>
      <c r="J15" s="856">
        <f>VLOOKUP(J$3,'FE - Aluminum'!$E$11:$BF$54,$B15,FALSE)</f>
        <v>0</v>
      </c>
      <c r="K15" s="856">
        <f>VLOOKUP(K$3,'FE - Aluminum'!$E$11:$BF$54,$B15,FALSE)</f>
        <v>0</v>
      </c>
      <c r="L15" s="856">
        <f>VLOOKUP(L$3,'FE - Aluminum'!$E$11:$BF$54,$B15,FALSE)</f>
        <v>0</v>
      </c>
      <c r="M15" s="856">
        <f>VLOOKUP(M$3,'FE - Aluminum'!$E$11:$BF$54,$B15,FALSE)</f>
        <v>0</v>
      </c>
      <c r="N15" s="856">
        <f>VLOOKUP(N$3,'FE - Aluminum'!$E$11:$BF$54,$B15,FALSE)</f>
        <v>0</v>
      </c>
      <c r="O15" s="856">
        <f>VLOOKUP(O$3,'FE - Aluminum'!$E$11:$BF$54,$B15,FALSE)</f>
        <v>-12.165080400000003</v>
      </c>
      <c r="P15" s="856">
        <f>VLOOKUP(P$3,'FE - Aluminum'!$E$11:$BF$54,$B15,FALSE)</f>
        <v>0</v>
      </c>
      <c r="Q15" s="856">
        <f>VLOOKUP(Q$3,'FE - Aluminum'!$E$11:$BF$54,$B15,FALSE)</f>
        <v>0</v>
      </c>
      <c r="R15" s="856">
        <f>VLOOKUP(R$3,'FE - Aluminum'!$E$11:$BF$54,$B15,FALSE)</f>
        <v>0</v>
      </c>
      <c r="S15" s="856">
        <f>VLOOKUP(S$3,'FE - Aluminum'!$E$11:$BF$54,$B15,FALSE)</f>
        <v>0</v>
      </c>
      <c r="T15" s="856">
        <f>VLOOKUP(T$3,'FE - Aluminum'!$E$11:$BF$54,$B15,FALSE)</f>
        <v>8.2376280000000026</v>
      </c>
      <c r="U15" s="856">
        <f>VLOOKUP(U$3,'FE - Aluminum'!$E$11:$BF$54,$B15,FALSE)</f>
        <v>3.9274524</v>
      </c>
      <c r="V15" s="856">
        <f>VLOOKUP(V$3,'FE - Aluminum'!$E$11:$BF$54,$B15,FALSE)</f>
        <v>0</v>
      </c>
      <c r="W15" s="856">
        <f>VLOOKUP(W$3,'FE - Aluminum'!$E$11:$BF$54,$B15,FALSE)</f>
        <v>0</v>
      </c>
      <c r="X15" s="856">
        <f>VLOOKUP(X$3,'FE - Aluminum'!$E$11:$BF$54,$B15,FALSE)</f>
        <v>0</v>
      </c>
      <c r="Y15" s="856">
        <f>VLOOKUP(Y$3,'FE - Aluminum'!$E$11:$BF$54,$B15,FALSE)</f>
        <v>0</v>
      </c>
      <c r="Z15" s="856">
        <f>VLOOKUP(Z$3,'FE - Aluminum'!$E$11:$BF$54,$B15,FALSE)</f>
        <v>0</v>
      </c>
      <c r="AA15" s="856">
        <f>VLOOKUP(AA$3,'FE - Aluminum'!$E$11:$BF$54,$B15,FALSE)</f>
        <v>0</v>
      </c>
      <c r="AB15" s="856">
        <f>VLOOKUP(AB$3,'FE - Aluminum'!$E$11:$BF$54,$B15,FALSE)</f>
        <v>0</v>
      </c>
      <c r="AC15" s="856">
        <f>VLOOKUP(AC$3,'FE - Aluminum'!$E$11:$BF$54,$B15,FALSE)</f>
        <v>0</v>
      </c>
      <c r="AD15" s="856">
        <f>VLOOKUP(AD$3,'FE - Aluminum'!$E$11:$BF$54,$B15,FALSE)</f>
        <v>0</v>
      </c>
      <c r="AE15" s="856">
        <f>VLOOKUP(AE$3,'FE - Aluminum'!$E$11:$BF$54,$B15,FALSE)</f>
        <v>0</v>
      </c>
      <c r="AF15" s="856">
        <f>VLOOKUP(AF$3,'FE - Aluminum'!$E$11:$BF$54,$B15,FALSE)</f>
        <v>0</v>
      </c>
      <c r="AG15" s="856">
        <f>VLOOKUP(AG$3,'FE - Aluminum'!$E$11:$BF$54,$B15,FALSE)</f>
        <v>0</v>
      </c>
      <c r="AH15" s="856">
        <f>VLOOKUP(AH$3,'FE - Aluminum'!$E$11:$BF$54,$B15,FALSE)</f>
        <v>0</v>
      </c>
      <c r="AI15" s="856">
        <f>VLOOKUP(AI$3,'FE - Aluminum'!$E$11:$BF$54,$B15,FALSE)</f>
        <v>0</v>
      </c>
      <c r="AJ15" s="856">
        <f>VLOOKUP(AJ$3,'FE - Aluminum'!$E$11:$BF$54,$B15,FALSE)</f>
        <v>0</v>
      </c>
      <c r="AK15" s="856">
        <f>VLOOKUP(AK$3,'FE - Aluminum'!$E$11:$BF$54,$B15,FALSE)</f>
        <v>0</v>
      </c>
      <c r="AL15" s="856">
        <f>VLOOKUP(AL$3,'FE - Aluminum'!$E$11:$BF$54,$B15,FALSE)</f>
        <v>0</v>
      </c>
      <c r="AM15" s="856">
        <f>VLOOKUP(AM$3,'FE - Aluminum'!$E$11:$BF$54,$B15,FALSE)</f>
        <v>0</v>
      </c>
      <c r="AN15" s="856">
        <f>VLOOKUP(AN$3,'FE - Aluminum'!$E$11:$BF$54,$B15,FALSE)</f>
        <v>0</v>
      </c>
      <c r="AO15" s="856">
        <f>VLOOKUP(AO$3,'FE - Aluminum'!$E$11:$BF$54,$B15,FALSE)</f>
        <v>0</v>
      </c>
      <c r="AP15" s="856">
        <f>VLOOKUP(AP$3,'FE - Aluminum'!$E$11:$BF$54,$B15,FALSE)</f>
        <v>0</v>
      </c>
      <c r="AQ15" s="856">
        <f>VLOOKUP(AQ$3,'FE - Aluminum'!$E$11:$BF$54,$B15,FALSE)</f>
        <v>0</v>
      </c>
      <c r="AR15" s="880"/>
      <c r="AS15" s="879">
        <f t="shared" si="3"/>
        <v>0</v>
      </c>
      <c r="AT15" s="888"/>
      <c r="AU15" s="888">
        <f t="shared" si="4"/>
        <v>0</v>
      </c>
      <c r="AV15" s="888">
        <f t="shared" si="5"/>
        <v>0</v>
      </c>
      <c r="AW15" s="888">
        <f t="shared" si="6"/>
        <v>3.9274524</v>
      </c>
      <c r="AX15" s="888">
        <f t="shared" si="7"/>
        <v>8.2376280000000026</v>
      </c>
      <c r="AY15" s="888">
        <f t="shared" si="8"/>
        <v>0</v>
      </c>
      <c r="AZ15" s="888">
        <f t="shared" si="9"/>
        <v>0</v>
      </c>
      <c r="BA15" s="888">
        <f t="shared" si="10"/>
        <v>0</v>
      </c>
      <c r="BB15" s="888">
        <f t="shared" si="11"/>
        <v>0</v>
      </c>
      <c r="BC15" s="888"/>
      <c r="BD15" s="888">
        <f t="shared" si="2"/>
        <v>0</v>
      </c>
      <c r="BE15" s="888"/>
      <c r="BF15" s="888">
        <f t="shared" si="12"/>
        <v>0</v>
      </c>
      <c r="BG15" s="888">
        <f t="shared" si="13"/>
        <v>0</v>
      </c>
      <c r="BH15" s="889"/>
      <c r="BI15" s="866">
        <f>IFERROR(VLOOKUP(CONCATENATE(BI$3,$D15),'LCI - Simapro'!$A$2:$N$284,11,FALSE),0)</f>
        <v>0</v>
      </c>
      <c r="BJ15" s="866">
        <f>IFERROR(VLOOKUP(CONCATENATE(BJ$3,$D15),'LCI - Simapro'!$A$2:$N$284,11,FALSE),0)</f>
        <v>0</v>
      </c>
      <c r="BK15" s="866">
        <f>IFERROR(VLOOKUP(CONCATENATE(BK$3,$D15),'LCI - Simapro'!$A$2:$N$284,11,FALSE),0)</f>
        <v>0</v>
      </c>
      <c r="BL15" s="866">
        <f>IFERROR(VLOOKUP(CONCATENATE(BL$3,$D15),'LCI - Simapro'!$A$2:$N$284,11,FALSE),0)</f>
        <v>0</v>
      </c>
      <c r="BM15" s="866">
        <f>IFERROR(VLOOKUP(CONCATENATE(BM$3,$D15),'LCI - Simapro'!$A$2:$N$284,11,FALSE),0)</f>
        <v>2.07E-2</v>
      </c>
      <c r="BN15" s="866">
        <f>IFERROR(VLOOKUP(CONCATENATE(BN$3,$D15),'LCI - Simapro'!$A$2:$N$284,11,FALSE),0)</f>
        <v>2.1000000000000001E-2</v>
      </c>
      <c r="BO15" s="866">
        <f>IFERROR(VLOOKUP(CONCATENATE(BO$3,$D15),'LCI - Simapro'!$A$2:$N$284,11,FALSE),0)</f>
        <v>0</v>
      </c>
      <c r="BP15" s="866">
        <f>IFERROR(VLOOKUP(CONCATENATE(BP$3,$D15),'LCI - Simapro'!$A$2:$N$284,11,FALSE),0)</f>
        <v>0</v>
      </c>
      <c r="BQ15" s="866">
        <f>IFERROR(VLOOKUP(CONCATENATE(BQ$3,$D15),'LCI - Simapro'!$A$2:$N$284,11,FALSE),0)</f>
        <v>0</v>
      </c>
      <c r="BR15" s="866">
        <f>IFERROR(VLOOKUP(CONCATENATE(BR$3,$D15),'LCI - Simapro'!$A$2:$N$284,11,FALSE),0)</f>
        <v>0</v>
      </c>
      <c r="BS15" s="866">
        <f>IFERROR(VLOOKUP(CONCATENATE(BS$3,$D15),'LCI - Simapro'!$A$2:$N$284,11,FALSE),0)</f>
        <v>0</v>
      </c>
      <c r="BT15" s="866">
        <f>IFERROR(VLOOKUP(CONCATENATE(BT$3,$D15),'LCI - Simapro'!$A$2:$N$284,11,FALSE),0)</f>
        <v>0</v>
      </c>
      <c r="BU15" s="866">
        <f>IFERROR(VLOOKUP(CONCATENATE(BU$3,$D15),'LCI - Simapro'!$A$2:$N$284,11,FALSE),0)</f>
        <v>0</v>
      </c>
      <c r="BV15" s="866">
        <f>IFERROR(VLOOKUP(CONCATENATE(BV$3,$D15),'LCI - Simapro'!$A$2:$N$284,11,FALSE),0)</f>
        <v>0</v>
      </c>
      <c r="BW15" s="866">
        <f>IFERROR(VLOOKUP(CONCATENATE(BW$3,$D15),'LCI - Simapro'!$A$2:$N$284,11,FALSE),0)</f>
        <v>0</v>
      </c>
    </row>
    <row r="16" spans="1:75" ht="26.4" customHeight="1">
      <c r="A16" t="s">
        <v>5757</v>
      </c>
      <c r="B16" s="846">
        <v>37</v>
      </c>
      <c r="C16" s="902"/>
      <c r="D16" s="898" t="s">
        <v>517</v>
      </c>
      <c r="E16" s="387" t="s">
        <v>94</v>
      </c>
      <c r="F16" s="856">
        <f>VLOOKUP(F$3,'FE - Aluminum'!$E$11:$BF$54,$B16,FALSE)</f>
        <v>0</v>
      </c>
      <c r="G16" s="856">
        <f>VLOOKUP(G$3,'FE - Aluminum'!$E$11:$BF$54,$B16,FALSE)</f>
        <v>0</v>
      </c>
      <c r="H16" s="856">
        <f>VLOOKUP(H$3,'FE - Aluminum'!$E$11:$BF$54,$B16,FALSE)</f>
        <v>0</v>
      </c>
      <c r="I16" s="856">
        <f>VLOOKUP(I$3,'FE - Aluminum'!$E$11:$BF$54,$B16,FALSE)</f>
        <v>0</v>
      </c>
      <c r="J16" s="856">
        <f>VLOOKUP(J$3,'FE - Aluminum'!$E$11:$BF$54,$B16,FALSE)</f>
        <v>0</v>
      </c>
      <c r="K16" s="856">
        <f>VLOOKUP(K$3,'FE - Aluminum'!$E$11:$BF$54,$B16,FALSE)</f>
        <v>0</v>
      </c>
      <c r="L16" s="856">
        <f>VLOOKUP(L$3,'FE - Aluminum'!$E$11:$BF$54,$B16,FALSE)</f>
        <v>0</v>
      </c>
      <c r="M16" s="856">
        <f>VLOOKUP(M$3,'FE - Aluminum'!$E$11:$BF$54,$B16,FALSE)</f>
        <v>0</v>
      </c>
      <c r="N16" s="856">
        <f>VLOOKUP(N$3,'FE - Aluminum'!$E$11:$BF$54,$B16,FALSE)</f>
        <v>0</v>
      </c>
      <c r="O16" s="856">
        <f>VLOOKUP(O$3,'FE - Aluminum'!$E$11:$BF$54,$B16,FALSE)</f>
        <v>0</v>
      </c>
      <c r="P16" s="856">
        <f>VLOOKUP(P$3,'FE - Aluminum'!$E$11:$BF$54,$B16,FALSE)</f>
        <v>0</v>
      </c>
      <c r="Q16" s="856">
        <f>VLOOKUP(Q$3,'FE - Aluminum'!$E$11:$BF$54,$B16,FALSE)</f>
        <v>-2664.4716454945069</v>
      </c>
      <c r="R16" s="856">
        <f>VLOOKUP(R$3,'FE - Aluminum'!$E$11:$BF$54,$B16,FALSE)</f>
        <v>2664.4716454945069</v>
      </c>
      <c r="S16" s="856">
        <f>VLOOKUP(S$3,'FE - Aluminum'!$E$11:$BF$54,$B16,FALSE)</f>
        <v>0</v>
      </c>
      <c r="T16" s="856">
        <f>VLOOKUP(T$3,'FE - Aluminum'!$E$11:$BF$54,$B16,FALSE)</f>
        <v>0</v>
      </c>
      <c r="U16" s="856">
        <f>VLOOKUP(U$3,'FE - Aluminum'!$E$11:$BF$54,$B16,FALSE)</f>
        <v>0</v>
      </c>
      <c r="V16" s="856">
        <f>VLOOKUP(V$3,'FE - Aluminum'!$E$11:$BF$54,$B16,FALSE)</f>
        <v>0</v>
      </c>
      <c r="W16" s="856">
        <f>VLOOKUP(W$3,'FE - Aluminum'!$E$11:$BF$54,$B16,FALSE)</f>
        <v>0</v>
      </c>
      <c r="X16" s="856">
        <f>VLOOKUP(X$3,'FE - Aluminum'!$E$11:$BF$54,$B16,FALSE)</f>
        <v>0</v>
      </c>
      <c r="Y16" s="856">
        <f>VLOOKUP(Y$3,'FE - Aluminum'!$E$11:$BF$54,$B16,FALSE)</f>
        <v>0</v>
      </c>
      <c r="Z16" s="856">
        <f>VLOOKUP(Z$3,'FE - Aluminum'!$E$11:$BF$54,$B16,FALSE)</f>
        <v>0</v>
      </c>
      <c r="AA16" s="856">
        <f>VLOOKUP(AA$3,'FE - Aluminum'!$E$11:$BF$54,$B16,FALSE)</f>
        <v>0</v>
      </c>
      <c r="AB16" s="856">
        <f>VLOOKUP(AB$3,'FE - Aluminum'!$E$11:$BF$54,$B16,FALSE)</f>
        <v>0</v>
      </c>
      <c r="AC16" s="856">
        <f>VLOOKUP(AC$3,'FE - Aluminum'!$E$11:$BF$54,$B16,FALSE)</f>
        <v>0</v>
      </c>
      <c r="AD16" s="856">
        <f>VLOOKUP(AD$3,'FE - Aluminum'!$E$11:$BF$54,$B16,FALSE)</f>
        <v>0</v>
      </c>
      <c r="AE16" s="856">
        <f>VLOOKUP(AE$3,'FE - Aluminum'!$E$11:$BF$54,$B16,FALSE)</f>
        <v>0</v>
      </c>
      <c r="AF16" s="856">
        <f>VLOOKUP(AF$3,'FE - Aluminum'!$E$11:$BF$54,$B16,FALSE)</f>
        <v>0</v>
      </c>
      <c r="AG16" s="856">
        <f>VLOOKUP(AG$3,'FE - Aluminum'!$E$11:$BF$54,$B16,FALSE)</f>
        <v>0</v>
      </c>
      <c r="AH16" s="856">
        <f>VLOOKUP(AH$3,'FE - Aluminum'!$E$11:$BF$54,$B16,FALSE)</f>
        <v>0</v>
      </c>
      <c r="AI16" s="856">
        <f>VLOOKUP(AI$3,'FE - Aluminum'!$E$11:$BF$54,$B16,FALSE)</f>
        <v>0</v>
      </c>
      <c r="AJ16" s="856">
        <f>VLOOKUP(AJ$3,'FE - Aluminum'!$E$11:$BF$54,$B16,FALSE)</f>
        <v>0</v>
      </c>
      <c r="AK16" s="856">
        <f>VLOOKUP(AK$3,'FE - Aluminum'!$E$11:$BF$54,$B16,FALSE)</f>
        <v>0</v>
      </c>
      <c r="AL16" s="856">
        <f>VLOOKUP(AL$3,'FE - Aluminum'!$E$11:$BF$54,$B16,FALSE)</f>
        <v>0</v>
      </c>
      <c r="AM16" s="856">
        <f>VLOOKUP(AM$3,'FE - Aluminum'!$E$11:$BF$54,$B16,FALSE)</f>
        <v>0</v>
      </c>
      <c r="AN16" s="856">
        <f>VLOOKUP(AN$3,'FE - Aluminum'!$E$11:$BF$54,$B16,FALSE)</f>
        <v>0</v>
      </c>
      <c r="AO16" s="856">
        <f>VLOOKUP(AO$3,'FE - Aluminum'!$E$11:$BF$54,$B16,FALSE)</f>
        <v>0</v>
      </c>
      <c r="AP16" s="856">
        <f>VLOOKUP(AP$3,'FE - Aluminum'!$E$11:$BF$54,$B16,FALSE)</f>
        <v>0</v>
      </c>
      <c r="AQ16" s="856">
        <f>VLOOKUP(AQ$3,'FE - Aluminum'!$E$11:$BF$54,$B16,FALSE)</f>
        <v>0</v>
      </c>
      <c r="AR16" s="880"/>
      <c r="AS16" s="879">
        <f t="shared" si="3"/>
        <v>0</v>
      </c>
      <c r="AT16" s="888"/>
      <c r="AU16" s="888">
        <f t="shared" si="4"/>
        <v>0</v>
      </c>
      <c r="AV16" s="888">
        <f t="shared" si="5"/>
        <v>0</v>
      </c>
      <c r="AW16" s="888">
        <f t="shared" si="6"/>
        <v>0</v>
      </c>
      <c r="AX16" s="888">
        <f t="shared" si="7"/>
        <v>0</v>
      </c>
      <c r="AY16" s="888">
        <f t="shared" si="8"/>
        <v>0</v>
      </c>
      <c r="AZ16" s="888">
        <f t="shared" si="9"/>
        <v>0</v>
      </c>
      <c r="BA16" s="888">
        <f t="shared" si="10"/>
        <v>0</v>
      </c>
      <c r="BB16" s="888">
        <f t="shared" si="11"/>
        <v>0</v>
      </c>
      <c r="BC16" s="888"/>
      <c r="BD16" s="888">
        <f t="shared" si="2"/>
        <v>0</v>
      </c>
      <c r="BE16" s="888"/>
      <c r="BF16" s="888">
        <f t="shared" si="12"/>
        <v>0</v>
      </c>
      <c r="BG16" s="888">
        <f t="shared" si="13"/>
        <v>0</v>
      </c>
      <c r="BH16" s="889"/>
      <c r="BI16" s="866">
        <f>IFERROR(VLOOKUP(CONCATENATE(BI$3,$D16),'LCI - Simapro'!$A$2:$N$284,11,FALSE),0)</f>
        <v>0</v>
      </c>
      <c r="BJ16" s="866">
        <f>IFERROR(VLOOKUP(CONCATENATE(BJ$3,$D16),'LCI - Simapro'!$A$2:$N$284,11,FALSE),0)</f>
        <v>0</v>
      </c>
      <c r="BK16" s="866">
        <f>IFERROR(VLOOKUP(CONCATENATE(BK$3,$D16),'LCI - Simapro'!$A$2:$N$284,11,FALSE),0)</f>
        <v>0</v>
      </c>
      <c r="BL16" s="866">
        <f>IFERROR(VLOOKUP(CONCATENATE(BL$3,$D16),'LCI - Simapro'!$A$2:$N$284,11,FALSE),0)</f>
        <v>0</v>
      </c>
      <c r="BM16" s="866">
        <f>IFERROR(VLOOKUP(CONCATENATE(BM$3,$D16),'LCI - Simapro'!$A$2:$N$284,11,FALSE),0)</f>
        <v>0</v>
      </c>
      <c r="BN16" s="866">
        <f>IFERROR(VLOOKUP(CONCATENATE(BN$3,$D16),'LCI - Simapro'!$A$2:$N$284,11,FALSE),0)</f>
        <v>0</v>
      </c>
      <c r="BO16" s="866">
        <f>IFERROR(VLOOKUP(CONCATENATE(BO$3,$D16),'LCI - Simapro'!$A$2:$N$284,11,FALSE),0)</f>
        <v>0</v>
      </c>
      <c r="BP16" s="866">
        <f>IFERROR(VLOOKUP(CONCATENATE(BP$3,$D16),'LCI - Simapro'!$A$2:$N$284,11,FALSE),0)</f>
        <v>0</v>
      </c>
      <c r="BQ16" s="866">
        <f>IFERROR(VLOOKUP(CONCATENATE(BQ$3,$D16),'LCI - Simapro'!$A$2:$N$284,11,FALSE),0)</f>
        <v>0</v>
      </c>
      <c r="BR16" s="866">
        <f>IFERROR(VLOOKUP(CONCATENATE(BR$3,$D16),'LCI - Simapro'!$A$2:$N$284,11,FALSE),0)</f>
        <v>0</v>
      </c>
      <c r="BS16" s="866">
        <f>IFERROR(VLOOKUP(CONCATENATE(BS$3,$D16),'LCI - Simapro'!$A$2:$N$284,11,FALSE),0)</f>
        <v>0</v>
      </c>
      <c r="BT16" s="866">
        <f>IFERROR(VLOOKUP(CONCATENATE(BT$3,$D16),'LCI - Simapro'!$A$2:$N$284,11,FALSE),0)</f>
        <v>0</v>
      </c>
      <c r="BU16" s="866">
        <f>IFERROR(VLOOKUP(CONCATENATE(BU$3,$D16),'LCI - Simapro'!$A$2:$N$284,11,FALSE),0)</f>
        <v>0</v>
      </c>
      <c r="BV16" s="866">
        <f>IFERROR(VLOOKUP(CONCATENATE(BV$3,$D16),'LCI - Simapro'!$A$2:$N$284,11,FALSE),0)</f>
        <v>0</v>
      </c>
      <c r="BW16" s="866">
        <f>IFERROR(VLOOKUP(CONCATENATE(BW$3,$D16),'LCI - Simapro'!$A$2:$N$284,11,FALSE),0)</f>
        <v>0</v>
      </c>
    </row>
    <row r="17" spans="1:75" ht="26.4" customHeight="1">
      <c r="A17" t="s">
        <v>5757</v>
      </c>
      <c r="B17" s="846">
        <v>38</v>
      </c>
      <c r="C17" s="902"/>
      <c r="D17" s="898" t="s">
        <v>105</v>
      </c>
      <c r="E17" s="387" t="s">
        <v>94</v>
      </c>
      <c r="F17" s="856">
        <f>VLOOKUP(F$3,'FE - Aluminum'!$E$11:$BF$54,$B17,FALSE)</f>
        <v>0</v>
      </c>
      <c r="G17" s="856">
        <f>VLOOKUP(G$3,'FE - Aluminum'!$E$11:$BF$54,$B17,FALSE)</f>
        <v>0</v>
      </c>
      <c r="H17" s="856">
        <f>VLOOKUP(H$3,'FE - Aluminum'!$E$11:$BF$54,$B17,FALSE)</f>
        <v>0</v>
      </c>
      <c r="I17" s="856">
        <f>VLOOKUP(I$3,'FE - Aluminum'!$E$11:$BF$54,$B17,FALSE)</f>
        <v>0</v>
      </c>
      <c r="J17" s="856">
        <f>VLOOKUP(J$3,'FE - Aluminum'!$E$11:$BF$54,$B17,FALSE)</f>
        <v>0</v>
      </c>
      <c r="K17" s="856">
        <f>VLOOKUP(K$3,'FE - Aluminum'!$E$11:$BF$54,$B17,FALSE)</f>
        <v>0</v>
      </c>
      <c r="L17" s="856">
        <f>VLOOKUP(L$3,'FE - Aluminum'!$E$11:$BF$54,$B17,FALSE)</f>
        <v>0</v>
      </c>
      <c r="M17" s="856">
        <f>VLOOKUP(M$3,'FE - Aluminum'!$E$11:$BF$54,$B17,FALSE)</f>
        <v>0</v>
      </c>
      <c r="N17" s="856">
        <f>VLOOKUP(N$3,'FE - Aluminum'!$E$11:$BF$54,$B17,FALSE)</f>
        <v>0</v>
      </c>
      <c r="O17" s="856">
        <f>VLOOKUP(O$3,'FE - Aluminum'!$E$11:$BF$54,$B17,FALSE)</f>
        <v>0</v>
      </c>
      <c r="P17" s="856">
        <f>VLOOKUP(P$3,'FE - Aluminum'!$E$11:$BF$54,$B17,FALSE)</f>
        <v>0</v>
      </c>
      <c r="Q17" s="856">
        <f>VLOOKUP(Q$3,'FE - Aluminum'!$E$11:$BF$54,$B17,FALSE)</f>
        <v>0</v>
      </c>
      <c r="R17" s="856">
        <f>VLOOKUP(R$3,'FE - Aluminum'!$E$11:$BF$54,$B17,FALSE)</f>
        <v>-1761.2609182082333</v>
      </c>
      <c r="S17" s="856">
        <f>VLOOKUP(S$3,'FE - Aluminum'!$E$11:$BF$54,$B17,FALSE)</f>
        <v>1761.2609182082333</v>
      </c>
      <c r="T17" s="856">
        <f>VLOOKUP(T$3,'FE - Aluminum'!$E$11:$BF$54,$B17,FALSE)</f>
        <v>0</v>
      </c>
      <c r="U17" s="856">
        <f>VLOOKUP(U$3,'FE - Aluminum'!$E$11:$BF$54,$B17,FALSE)</f>
        <v>0</v>
      </c>
      <c r="V17" s="856">
        <f>VLOOKUP(V$3,'FE - Aluminum'!$E$11:$BF$54,$B17,FALSE)</f>
        <v>0</v>
      </c>
      <c r="W17" s="856">
        <f>VLOOKUP(W$3,'FE - Aluminum'!$E$11:$BF$54,$B17,FALSE)</f>
        <v>0</v>
      </c>
      <c r="X17" s="856">
        <f>VLOOKUP(X$3,'FE - Aluminum'!$E$11:$BF$54,$B17,FALSE)</f>
        <v>0</v>
      </c>
      <c r="Y17" s="856">
        <f>VLOOKUP(Y$3,'FE - Aluminum'!$E$11:$BF$54,$B17,FALSE)</f>
        <v>0</v>
      </c>
      <c r="Z17" s="856">
        <f>VLOOKUP(Z$3,'FE - Aluminum'!$E$11:$BF$54,$B17,FALSE)</f>
        <v>0</v>
      </c>
      <c r="AA17" s="856">
        <f>VLOOKUP(AA$3,'FE - Aluminum'!$E$11:$BF$54,$B17,FALSE)</f>
        <v>0</v>
      </c>
      <c r="AB17" s="856">
        <f>VLOOKUP(AB$3,'FE - Aluminum'!$E$11:$BF$54,$B17,FALSE)</f>
        <v>0</v>
      </c>
      <c r="AC17" s="856">
        <f>VLOOKUP(AC$3,'FE - Aluminum'!$E$11:$BF$54,$B17,FALSE)</f>
        <v>0</v>
      </c>
      <c r="AD17" s="856">
        <f>VLOOKUP(AD$3,'FE - Aluminum'!$E$11:$BF$54,$B17,FALSE)</f>
        <v>0</v>
      </c>
      <c r="AE17" s="856">
        <f>VLOOKUP(AE$3,'FE - Aluminum'!$E$11:$BF$54,$B17,FALSE)</f>
        <v>0</v>
      </c>
      <c r="AF17" s="856">
        <f>VLOOKUP(AF$3,'FE - Aluminum'!$E$11:$BF$54,$B17,FALSE)</f>
        <v>0</v>
      </c>
      <c r="AG17" s="856">
        <f>VLOOKUP(AG$3,'FE - Aluminum'!$E$11:$BF$54,$B17,FALSE)</f>
        <v>0</v>
      </c>
      <c r="AH17" s="856">
        <f>VLOOKUP(AH$3,'FE - Aluminum'!$E$11:$BF$54,$B17,FALSE)</f>
        <v>0</v>
      </c>
      <c r="AI17" s="856">
        <f>VLOOKUP(AI$3,'FE - Aluminum'!$E$11:$BF$54,$B17,FALSE)</f>
        <v>0</v>
      </c>
      <c r="AJ17" s="856">
        <f>VLOOKUP(AJ$3,'FE - Aluminum'!$E$11:$BF$54,$B17,FALSE)</f>
        <v>0</v>
      </c>
      <c r="AK17" s="856">
        <f>VLOOKUP(AK$3,'FE - Aluminum'!$E$11:$BF$54,$B17,FALSE)</f>
        <v>0</v>
      </c>
      <c r="AL17" s="856">
        <f>VLOOKUP(AL$3,'FE - Aluminum'!$E$11:$BF$54,$B17,FALSE)</f>
        <v>0</v>
      </c>
      <c r="AM17" s="856">
        <f>VLOOKUP(AM$3,'FE - Aluminum'!$E$11:$BF$54,$B17,FALSE)</f>
        <v>0</v>
      </c>
      <c r="AN17" s="856">
        <f>VLOOKUP(AN$3,'FE - Aluminum'!$E$11:$BF$54,$B17,FALSE)</f>
        <v>0</v>
      </c>
      <c r="AO17" s="856">
        <f>VLOOKUP(AO$3,'FE - Aluminum'!$E$11:$BF$54,$B17,FALSE)</f>
        <v>0</v>
      </c>
      <c r="AP17" s="856">
        <f>VLOOKUP(AP$3,'FE - Aluminum'!$E$11:$BF$54,$B17,FALSE)</f>
        <v>0</v>
      </c>
      <c r="AQ17" s="856">
        <f>VLOOKUP(AQ$3,'FE - Aluminum'!$E$11:$BF$54,$B17,FALSE)</f>
        <v>0</v>
      </c>
      <c r="AR17" s="880"/>
      <c r="AS17" s="879">
        <f t="shared" si="3"/>
        <v>0</v>
      </c>
      <c r="AT17" s="888"/>
      <c r="AU17" s="888">
        <f t="shared" si="4"/>
        <v>-1761.2609182082333</v>
      </c>
      <c r="AV17" s="888">
        <f t="shared" si="5"/>
        <v>1761.2609182082333</v>
      </c>
      <c r="AW17" s="888">
        <f t="shared" si="6"/>
        <v>0</v>
      </c>
      <c r="AX17" s="888">
        <f t="shared" si="7"/>
        <v>0</v>
      </c>
      <c r="AY17" s="888">
        <f t="shared" si="8"/>
        <v>0</v>
      </c>
      <c r="AZ17" s="888">
        <f t="shared" si="9"/>
        <v>0</v>
      </c>
      <c r="BA17" s="888">
        <f t="shared" si="10"/>
        <v>0</v>
      </c>
      <c r="BB17" s="888">
        <f t="shared" si="11"/>
        <v>0</v>
      </c>
      <c r="BC17" s="888"/>
      <c r="BD17" s="888">
        <f t="shared" si="2"/>
        <v>0</v>
      </c>
      <c r="BE17" s="888"/>
      <c r="BF17" s="888">
        <f t="shared" si="12"/>
        <v>0</v>
      </c>
      <c r="BG17" s="888">
        <f t="shared" si="13"/>
        <v>0</v>
      </c>
      <c r="BH17" s="889"/>
      <c r="BI17" s="866">
        <f>IFERROR(VLOOKUP(CONCATENATE(BI$3,$D17),'LCI - Simapro'!$A$2:$N$284,11,FALSE),0)</f>
        <v>0</v>
      </c>
      <c r="BJ17" s="866">
        <f>IFERROR(VLOOKUP(CONCATENATE(BJ$3,$D17),'LCI - Simapro'!$A$2:$N$284,11,FALSE),0)</f>
        <v>0</v>
      </c>
      <c r="BK17" s="866">
        <f>IFERROR(VLOOKUP(CONCATENATE(BK$3,$D17),'LCI - Simapro'!$A$2:$N$284,11,FALSE),0)</f>
        <v>1</v>
      </c>
      <c r="BL17" s="866">
        <f>IFERROR(VLOOKUP(CONCATENATE(BL$3,$D17),'LCI - Simapro'!$A$2:$N$284,11,FALSE),0)</f>
        <v>1.53</v>
      </c>
      <c r="BM17" s="866">
        <f>IFERROR(VLOOKUP(CONCATENATE(BM$3,$D17),'LCI - Simapro'!$A$2:$N$284,11,FALSE),0)</f>
        <v>0</v>
      </c>
      <c r="BN17" s="866">
        <f>IFERROR(VLOOKUP(CONCATENATE(BN$3,$D17),'LCI - Simapro'!$A$2:$N$284,11,FALSE),0)</f>
        <v>0</v>
      </c>
      <c r="BO17" s="866">
        <f>IFERROR(VLOOKUP(CONCATENATE(BO$3,$D17),'LCI - Simapro'!$A$2:$N$284,11,FALSE),0)</f>
        <v>0</v>
      </c>
      <c r="BP17" s="866">
        <f>IFERROR(VLOOKUP(CONCATENATE(BP$3,$D17),'LCI - Simapro'!$A$2:$N$284,11,FALSE),0)</f>
        <v>0</v>
      </c>
      <c r="BQ17" s="866">
        <f>IFERROR(VLOOKUP(CONCATENATE(BQ$3,$D17),'LCI - Simapro'!$A$2:$N$284,11,FALSE),0)</f>
        <v>0</v>
      </c>
      <c r="BR17" s="866">
        <f>IFERROR(VLOOKUP(CONCATENATE(BR$3,$D17),'LCI - Simapro'!$A$2:$N$284,11,FALSE),0)</f>
        <v>0</v>
      </c>
      <c r="BS17" s="866">
        <f>IFERROR(VLOOKUP(CONCATENATE(BS$3,$D17),'LCI - Simapro'!$A$2:$N$284,11,FALSE),0)</f>
        <v>0</v>
      </c>
      <c r="BT17" s="866">
        <f>IFERROR(VLOOKUP(CONCATENATE(BT$3,$D17),'LCI - Simapro'!$A$2:$N$284,11,FALSE),0)</f>
        <v>0</v>
      </c>
      <c r="BU17" s="866">
        <f>IFERROR(VLOOKUP(CONCATENATE(BU$3,$D17),'LCI - Simapro'!$A$2:$N$284,11,FALSE),0)</f>
        <v>0</v>
      </c>
      <c r="BV17" s="866">
        <f>IFERROR(VLOOKUP(CONCATENATE(BV$3,$D17),'LCI - Simapro'!$A$2:$N$284,11,FALSE),0)</f>
        <v>0</v>
      </c>
      <c r="BW17" s="866">
        <f>IFERROR(VLOOKUP(CONCATENATE(BW$3,$D17),'LCI - Simapro'!$A$2:$N$284,11,FALSE),0)</f>
        <v>0</v>
      </c>
    </row>
    <row r="18" spans="1:75" ht="26.4" customHeight="1">
      <c r="A18" t="s">
        <v>5757</v>
      </c>
      <c r="B18" s="846">
        <v>39</v>
      </c>
      <c r="C18" s="902"/>
      <c r="D18" s="898" t="s">
        <v>492</v>
      </c>
      <c r="E18" s="387" t="s">
        <v>94</v>
      </c>
      <c r="F18" s="856">
        <f>VLOOKUP(F$3,'FE - Aluminum'!$E$11:$BF$54,$B18,FALSE)</f>
        <v>0</v>
      </c>
      <c r="G18" s="856">
        <f>VLOOKUP(G$3,'FE - Aluminum'!$E$11:$BF$54,$B18,FALSE)</f>
        <v>0</v>
      </c>
      <c r="H18" s="856">
        <f>VLOOKUP(H$3,'FE - Aluminum'!$E$11:$BF$54,$B18,FALSE)</f>
        <v>0</v>
      </c>
      <c r="I18" s="856">
        <f>VLOOKUP(I$3,'FE - Aluminum'!$E$11:$BF$54,$B18,FALSE)</f>
        <v>0</v>
      </c>
      <c r="J18" s="856">
        <f>VLOOKUP(J$3,'FE - Aluminum'!$E$11:$BF$54,$B18,FALSE)</f>
        <v>0</v>
      </c>
      <c r="K18" s="856">
        <f>VLOOKUP(K$3,'FE - Aluminum'!$E$11:$BF$54,$B18,FALSE)</f>
        <v>0</v>
      </c>
      <c r="L18" s="856">
        <f>VLOOKUP(L$3,'FE - Aluminum'!$E$11:$BF$54,$B18,FALSE)</f>
        <v>0</v>
      </c>
      <c r="M18" s="856">
        <f>VLOOKUP(M$3,'FE - Aluminum'!$E$11:$BF$54,$B18,FALSE)</f>
        <v>0</v>
      </c>
      <c r="N18" s="856">
        <f>VLOOKUP(N$3,'FE - Aluminum'!$E$11:$BF$54,$B18,FALSE)</f>
        <v>0</v>
      </c>
      <c r="O18" s="856">
        <f>VLOOKUP(O$3,'FE - Aluminum'!$E$11:$BF$54,$B18,FALSE)</f>
        <v>0</v>
      </c>
      <c r="P18" s="856">
        <f>VLOOKUP(P$3,'FE - Aluminum'!$E$11:$BF$54,$B18,FALSE)</f>
        <v>0</v>
      </c>
      <c r="Q18" s="856">
        <f>VLOOKUP(Q$3,'FE - Aluminum'!$E$11:$BF$54,$B18,FALSE)</f>
        <v>0</v>
      </c>
      <c r="R18" s="856">
        <f>VLOOKUP(R$3,'FE - Aluminum'!$E$11:$BF$54,$B18,FALSE)</f>
        <v>0</v>
      </c>
      <c r="S18" s="856">
        <f>VLOOKUP(S$3,'FE - Aluminum'!$E$11:$BF$54,$B18,FALSE)</f>
        <v>0</v>
      </c>
      <c r="T18" s="856">
        <f>VLOOKUP(T$3,'FE - Aluminum'!$E$11:$BF$54,$B18,FALSE)</f>
        <v>-392.26800000000009</v>
      </c>
      <c r="U18" s="856">
        <f>VLOOKUP(U$3,'FE - Aluminum'!$E$11:$BF$54,$B18,FALSE)</f>
        <v>-189.732</v>
      </c>
      <c r="V18" s="856">
        <f>VLOOKUP(V$3,'FE - Aluminum'!$E$11:$BF$54,$B18,FALSE)</f>
        <v>0</v>
      </c>
      <c r="W18" s="856">
        <f>VLOOKUP(W$3,'FE - Aluminum'!$E$11:$BF$54,$B18,FALSE)</f>
        <v>582.00000000000011</v>
      </c>
      <c r="X18" s="856">
        <f>VLOOKUP(X$3,'FE - Aluminum'!$E$11:$BF$54,$B18,FALSE)</f>
        <v>0</v>
      </c>
      <c r="Y18" s="856">
        <f>VLOOKUP(Y$3,'FE - Aluminum'!$E$11:$BF$54,$B18,FALSE)</f>
        <v>0</v>
      </c>
      <c r="Z18" s="856">
        <f>VLOOKUP(Z$3,'FE - Aluminum'!$E$11:$BF$54,$B18,FALSE)</f>
        <v>0</v>
      </c>
      <c r="AA18" s="856">
        <f>VLOOKUP(AA$3,'FE - Aluminum'!$E$11:$BF$54,$B18,FALSE)</f>
        <v>0</v>
      </c>
      <c r="AB18" s="856">
        <f>VLOOKUP(AB$3,'FE - Aluminum'!$E$11:$BF$54,$B18,FALSE)</f>
        <v>0</v>
      </c>
      <c r="AC18" s="856">
        <f>VLOOKUP(AC$3,'FE - Aluminum'!$E$11:$BF$54,$B18,FALSE)</f>
        <v>0</v>
      </c>
      <c r="AD18" s="856">
        <f>VLOOKUP(AD$3,'FE - Aluminum'!$E$11:$BF$54,$B18,FALSE)</f>
        <v>0</v>
      </c>
      <c r="AE18" s="856">
        <f>VLOOKUP(AE$3,'FE - Aluminum'!$E$11:$BF$54,$B18,FALSE)</f>
        <v>0</v>
      </c>
      <c r="AF18" s="856">
        <f>VLOOKUP(AF$3,'FE - Aluminum'!$E$11:$BF$54,$B18,FALSE)</f>
        <v>0</v>
      </c>
      <c r="AG18" s="856">
        <f>VLOOKUP(AG$3,'FE - Aluminum'!$E$11:$BF$54,$B18,FALSE)</f>
        <v>0</v>
      </c>
      <c r="AH18" s="856">
        <f>VLOOKUP(AH$3,'FE - Aluminum'!$E$11:$BF$54,$B18,FALSE)</f>
        <v>0</v>
      </c>
      <c r="AI18" s="856">
        <f>VLOOKUP(AI$3,'FE - Aluminum'!$E$11:$BF$54,$B18,FALSE)</f>
        <v>0</v>
      </c>
      <c r="AJ18" s="856">
        <f>VLOOKUP(AJ$3,'FE - Aluminum'!$E$11:$BF$54,$B18,FALSE)</f>
        <v>0</v>
      </c>
      <c r="AK18" s="856">
        <f>VLOOKUP(AK$3,'FE - Aluminum'!$E$11:$BF$54,$B18,FALSE)</f>
        <v>0</v>
      </c>
      <c r="AL18" s="856">
        <f>VLOOKUP(AL$3,'FE - Aluminum'!$E$11:$BF$54,$B18,FALSE)</f>
        <v>0</v>
      </c>
      <c r="AM18" s="856">
        <f>VLOOKUP(AM$3,'FE - Aluminum'!$E$11:$BF$54,$B18,FALSE)</f>
        <v>0</v>
      </c>
      <c r="AN18" s="856">
        <f>VLOOKUP(AN$3,'FE - Aluminum'!$E$11:$BF$54,$B18,FALSE)</f>
        <v>0</v>
      </c>
      <c r="AO18" s="856">
        <f>VLOOKUP(AO$3,'FE - Aluminum'!$E$11:$BF$54,$B18,FALSE)</f>
        <v>0</v>
      </c>
      <c r="AP18" s="856">
        <f>VLOOKUP(AP$3,'FE - Aluminum'!$E$11:$BF$54,$B18,FALSE)</f>
        <v>0</v>
      </c>
      <c r="AQ18" s="856">
        <f>VLOOKUP(AQ$3,'FE - Aluminum'!$E$11:$BF$54,$B18,FALSE)</f>
        <v>0</v>
      </c>
      <c r="AR18" s="880"/>
      <c r="AS18" s="879">
        <f t="shared" si="3"/>
        <v>0</v>
      </c>
      <c r="AT18" s="888"/>
      <c r="AU18" s="888">
        <f t="shared" si="4"/>
        <v>0</v>
      </c>
      <c r="AV18" s="888">
        <f t="shared" si="5"/>
        <v>0</v>
      </c>
      <c r="AW18" s="888">
        <f t="shared" si="6"/>
        <v>-189.732</v>
      </c>
      <c r="AX18" s="888">
        <f t="shared" si="7"/>
        <v>-392.26800000000009</v>
      </c>
      <c r="AY18" s="888">
        <f t="shared" si="8"/>
        <v>582.00000000000011</v>
      </c>
      <c r="AZ18" s="888">
        <f t="shared" si="9"/>
        <v>0</v>
      </c>
      <c r="BA18" s="888">
        <f t="shared" si="10"/>
        <v>0</v>
      </c>
      <c r="BB18" s="888">
        <f t="shared" si="11"/>
        <v>0</v>
      </c>
      <c r="BC18" s="888"/>
      <c r="BD18" s="888">
        <f t="shared" si="2"/>
        <v>0</v>
      </c>
      <c r="BE18" s="888"/>
      <c r="BF18" s="888">
        <f t="shared" si="12"/>
        <v>0</v>
      </c>
      <c r="BG18" s="888">
        <f t="shared" si="13"/>
        <v>0</v>
      </c>
      <c r="BH18" s="889"/>
      <c r="BI18" s="866">
        <f>IFERROR(VLOOKUP(CONCATENATE(BI$3,$D18),'LCI - Simapro'!$A$2:$N$284,11,FALSE),0)</f>
        <v>0</v>
      </c>
      <c r="BJ18" s="866">
        <f>IFERROR(VLOOKUP(CONCATENATE(BJ$3,$D18),'LCI - Simapro'!$A$2:$N$284,11,FALSE),0)</f>
        <v>0</v>
      </c>
      <c r="BK18" s="866">
        <f>IFERROR(VLOOKUP(CONCATENATE(BK$3,$D18),'LCI - Simapro'!$A$2:$N$284,11,FALSE),0)</f>
        <v>0</v>
      </c>
      <c r="BL18" s="866">
        <f>IFERROR(VLOOKUP(CONCATENATE(BL$3,$D18),'LCI - Simapro'!$A$2:$N$284,11,FALSE),0)</f>
        <v>0</v>
      </c>
      <c r="BM18" s="866">
        <f>IFERROR(VLOOKUP(CONCATENATE(BM$3,$D18),'LCI - Simapro'!$A$2:$N$284,11,FALSE),0)</f>
        <v>1</v>
      </c>
      <c r="BN18" s="866">
        <f>IFERROR(VLOOKUP(CONCATENATE(BN$3,$D18),'LCI - Simapro'!$A$2:$N$284,11,FALSE),0)</f>
        <v>1</v>
      </c>
      <c r="BO18" s="866">
        <f>IFERROR(VLOOKUP(CONCATENATE(BO$3,$D18),'LCI - Simapro'!$A$2:$N$284,11,FALSE),0)</f>
        <v>0.67400000000000004</v>
      </c>
      <c r="BP18" s="866">
        <f>IFERROR(VLOOKUP(CONCATENATE(BP$3,$D18),'LCI - Simapro'!$A$2:$N$284,11,FALSE),0)</f>
        <v>0</v>
      </c>
      <c r="BQ18" s="866">
        <f>IFERROR(VLOOKUP(CONCATENATE(BQ$3,$D18),'LCI - Simapro'!$A$2:$N$284,11,FALSE),0)</f>
        <v>0</v>
      </c>
      <c r="BR18" s="866">
        <f>IFERROR(VLOOKUP(CONCATENATE(BR$3,$D18),'LCI - Simapro'!$A$2:$N$284,11,FALSE),0)</f>
        <v>0</v>
      </c>
      <c r="BS18" s="866">
        <f>IFERROR(VLOOKUP(CONCATENATE(BS$3,$D18),'LCI - Simapro'!$A$2:$N$284,11,FALSE),0)</f>
        <v>0</v>
      </c>
      <c r="BT18" s="866">
        <f>IFERROR(VLOOKUP(CONCATENATE(BT$3,$D18),'LCI - Simapro'!$A$2:$N$284,11,FALSE),0)</f>
        <v>0</v>
      </c>
      <c r="BU18" s="866">
        <f>IFERROR(VLOOKUP(CONCATENATE(BU$3,$D18),'LCI - Simapro'!$A$2:$N$284,11,FALSE),0)</f>
        <v>0</v>
      </c>
      <c r="BV18" s="866">
        <f>IFERROR(VLOOKUP(CONCATENATE(BV$3,$D18),'LCI - Simapro'!$A$2:$N$284,11,FALSE),0)</f>
        <v>0</v>
      </c>
      <c r="BW18" s="866">
        <f>IFERROR(VLOOKUP(CONCATENATE(BW$3,$D18),'LCI - Simapro'!$A$2:$N$284,11,FALSE),0)</f>
        <v>0</v>
      </c>
    </row>
    <row r="19" spans="1:75" ht="26.4" customHeight="1">
      <c r="A19" t="s">
        <v>5757</v>
      </c>
      <c r="B19" s="846">
        <v>40</v>
      </c>
      <c r="C19" s="902"/>
      <c r="D19" s="898" t="s">
        <v>5373</v>
      </c>
      <c r="E19" s="387" t="s">
        <v>94</v>
      </c>
      <c r="F19" s="856">
        <f>VLOOKUP(F$3,'FE - Aluminum'!$E$11:$BF$54,$B19,FALSE)</f>
        <v>0</v>
      </c>
      <c r="G19" s="856">
        <f>VLOOKUP(G$3,'FE - Aluminum'!$E$11:$BF$54,$B19,FALSE)</f>
        <v>0</v>
      </c>
      <c r="H19" s="856">
        <f>VLOOKUP(H$3,'FE - Aluminum'!$E$11:$BF$54,$B19,FALSE)</f>
        <v>0</v>
      </c>
      <c r="I19" s="856">
        <f>VLOOKUP(I$3,'FE - Aluminum'!$E$11:$BF$54,$B19,FALSE)</f>
        <v>0</v>
      </c>
      <c r="J19" s="856">
        <f>VLOOKUP(J$3,'FE - Aluminum'!$E$11:$BF$54,$B19,FALSE)</f>
        <v>0</v>
      </c>
      <c r="K19" s="856">
        <f>VLOOKUP(K$3,'FE - Aluminum'!$E$11:$BF$54,$B19,FALSE)</f>
        <v>0</v>
      </c>
      <c r="L19" s="856">
        <f>VLOOKUP(L$3,'FE - Aluminum'!$E$11:$BF$54,$B19,FALSE)</f>
        <v>0</v>
      </c>
      <c r="M19" s="856">
        <f>VLOOKUP(M$3,'FE - Aluminum'!$E$11:$BF$54,$B19,FALSE)</f>
        <v>0</v>
      </c>
      <c r="N19" s="856">
        <f>VLOOKUP(N$3,'FE - Aluminum'!$E$11:$BF$54,$B19,FALSE)</f>
        <v>0</v>
      </c>
      <c r="O19" s="856">
        <f>VLOOKUP(O$3,'FE - Aluminum'!$E$11:$BF$54,$B19,FALSE)</f>
        <v>0</v>
      </c>
      <c r="P19" s="856">
        <f>VLOOKUP(P$3,'FE - Aluminum'!$E$11:$BF$54,$B19,FALSE)</f>
        <v>0</v>
      </c>
      <c r="Q19" s="856">
        <f>VLOOKUP(Q$3,'FE - Aluminum'!$E$11:$BF$54,$B19,FALSE)</f>
        <v>0</v>
      </c>
      <c r="R19" s="856">
        <f>VLOOKUP(R$3,'FE - Aluminum'!$E$11:$BF$54,$B19,FALSE)</f>
        <v>0</v>
      </c>
      <c r="S19" s="856">
        <f>VLOOKUP(S$3,'FE - Aluminum'!$E$11:$BF$54,$B19,FALSE)</f>
        <v>0</v>
      </c>
      <c r="T19" s="856">
        <f>VLOOKUP(T$3,'FE - Aluminum'!$E$11:$BF$54,$B19,FALSE)</f>
        <v>0</v>
      </c>
      <c r="U19" s="856">
        <f>VLOOKUP(U$3,'FE - Aluminum'!$E$11:$BF$54,$B19,FALSE)</f>
        <v>0</v>
      </c>
      <c r="V19" s="856">
        <f>VLOOKUP(V$3,'FE - Aluminum'!$E$11:$BF$54,$B19,FALSE)</f>
        <v>0</v>
      </c>
      <c r="W19" s="856">
        <f>VLOOKUP(W$3,'FE - Aluminum'!$E$11:$BF$54,$B19,FALSE)</f>
        <v>-582.00000000000011</v>
      </c>
      <c r="X19" s="856">
        <f>VLOOKUP(X$3,'FE - Aluminum'!$E$11:$BF$54,$B19,FALSE)</f>
        <v>582.00000000000011</v>
      </c>
      <c r="Y19" s="856">
        <f>VLOOKUP(Y$3,'FE - Aluminum'!$E$11:$BF$54,$B19,FALSE)</f>
        <v>0</v>
      </c>
      <c r="Z19" s="856">
        <f>VLOOKUP(Z$3,'FE - Aluminum'!$E$11:$BF$54,$B19,FALSE)</f>
        <v>0</v>
      </c>
      <c r="AA19" s="856">
        <f>VLOOKUP(AA$3,'FE - Aluminum'!$E$11:$BF$54,$B19,FALSE)</f>
        <v>0</v>
      </c>
      <c r="AB19" s="856">
        <f>VLOOKUP(AB$3,'FE - Aluminum'!$E$11:$BF$54,$B19,FALSE)</f>
        <v>0</v>
      </c>
      <c r="AC19" s="856">
        <f>VLOOKUP(AC$3,'FE - Aluminum'!$E$11:$BF$54,$B19,FALSE)</f>
        <v>0</v>
      </c>
      <c r="AD19" s="856">
        <f>VLOOKUP(AD$3,'FE - Aluminum'!$E$11:$BF$54,$B19,FALSE)</f>
        <v>0</v>
      </c>
      <c r="AE19" s="856">
        <f>VLOOKUP(AE$3,'FE - Aluminum'!$E$11:$BF$54,$B19,FALSE)</f>
        <v>0</v>
      </c>
      <c r="AF19" s="856">
        <f>VLOOKUP(AF$3,'FE - Aluminum'!$E$11:$BF$54,$B19,FALSE)</f>
        <v>0</v>
      </c>
      <c r="AG19" s="856">
        <f>VLOOKUP(AG$3,'FE - Aluminum'!$E$11:$BF$54,$B19,FALSE)</f>
        <v>0</v>
      </c>
      <c r="AH19" s="856">
        <f>VLOOKUP(AH$3,'FE - Aluminum'!$E$11:$BF$54,$B19,FALSE)</f>
        <v>0</v>
      </c>
      <c r="AI19" s="856">
        <f>VLOOKUP(AI$3,'FE - Aluminum'!$E$11:$BF$54,$B19,FALSE)</f>
        <v>0</v>
      </c>
      <c r="AJ19" s="856">
        <f>VLOOKUP(AJ$3,'FE - Aluminum'!$E$11:$BF$54,$B19,FALSE)</f>
        <v>0</v>
      </c>
      <c r="AK19" s="856">
        <f>VLOOKUP(AK$3,'FE - Aluminum'!$E$11:$BF$54,$B19,FALSE)</f>
        <v>0</v>
      </c>
      <c r="AL19" s="856">
        <f>VLOOKUP(AL$3,'FE - Aluminum'!$E$11:$BF$54,$B19,FALSE)</f>
        <v>0</v>
      </c>
      <c r="AM19" s="856">
        <f>VLOOKUP(AM$3,'FE - Aluminum'!$E$11:$BF$54,$B19,FALSE)</f>
        <v>0</v>
      </c>
      <c r="AN19" s="856">
        <f>VLOOKUP(AN$3,'FE - Aluminum'!$E$11:$BF$54,$B19,FALSE)</f>
        <v>0</v>
      </c>
      <c r="AO19" s="856">
        <f>VLOOKUP(AO$3,'FE - Aluminum'!$E$11:$BF$54,$B19,FALSE)</f>
        <v>0</v>
      </c>
      <c r="AP19" s="856">
        <f>VLOOKUP(AP$3,'FE - Aluminum'!$E$11:$BF$54,$B19,FALSE)</f>
        <v>0</v>
      </c>
      <c r="AQ19" s="856">
        <f>VLOOKUP(AQ$3,'FE - Aluminum'!$E$11:$BF$54,$B19,FALSE)</f>
        <v>0</v>
      </c>
      <c r="AR19" s="880"/>
      <c r="AS19" s="879">
        <f t="shared" si="3"/>
        <v>0</v>
      </c>
      <c r="AT19" s="888"/>
      <c r="AU19" s="888">
        <f t="shared" si="4"/>
        <v>0</v>
      </c>
      <c r="AV19" s="888">
        <f t="shared" si="5"/>
        <v>0</v>
      </c>
      <c r="AW19" s="888">
        <f t="shared" si="6"/>
        <v>0</v>
      </c>
      <c r="AX19" s="888">
        <f t="shared" si="7"/>
        <v>0</v>
      </c>
      <c r="AY19" s="888">
        <f t="shared" si="8"/>
        <v>-582.00000000000011</v>
      </c>
      <c r="AZ19" s="888">
        <f t="shared" si="9"/>
        <v>0</v>
      </c>
      <c r="BA19" s="888">
        <f t="shared" si="10"/>
        <v>0</v>
      </c>
      <c r="BB19" s="888">
        <f t="shared" si="11"/>
        <v>0</v>
      </c>
      <c r="BC19" s="888"/>
      <c r="BD19" s="888">
        <f t="shared" si="2"/>
        <v>0</v>
      </c>
      <c r="BE19" s="888"/>
      <c r="BF19" s="888">
        <f t="shared" si="12"/>
        <v>0</v>
      </c>
      <c r="BG19" s="888">
        <f t="shared" si="13"/>
        <v>0</v>
      </c>
      <c r="BH19" s="889"/>
      <c r="BI19" s="866">
        <f>IFERROR(VLOOKUP(CONCATENATE(BI$3,$D19),'LCI - Simapro'!$A$2:$N$284,11,FALSE),0)</f>
        <v>0</v>
      </c>
      <c r="BJ19" s="866">
        <f>IFERROR(VLOOKUP(CONCATENATE(BJ$3,$D19),'LCI - Simapro'!$A$2:$N$284,11,FALSE),0)</f>
        <v>0</v>
      </c>
      <c r="BK19" s="866">
        <f>IFERROR(VLOOKUP(CONCATENATE(BK$3,$D19),'LCI - Simapro'!$A$2:$N$284,11,FALSE),0)</f>
        <v>0</v>
      </c>
      <c r="BL19" s="866">
        <f>IFERROR(VLOOKUP(CONCATENATE(BL$3,$D19),'LCI - Simapro'!$A$2:$N$284,11,FALSE),0)</f>
        <v>0</v>
      </c>
      <c r="BM19" s="866">
        <f>IFERROR(VLOOKUP(CONCATENATE(BM$3,$D19),'LCI - Simapro'!$A$2:$N$284,11,FALSE),0)</f>
        <v>0</v>
      </c>
      <c r="BN19" s="866">
        <f>IFERROR(VLOOKUP(CONCATENATE(BN$3,$D19),'LCI - Simapro'!$A$2:$N$284,11,FALSE),0)</f>
        <v>0</v>
      </c>
      <c r="BO19" s="866">
        <f>IFERROR(VLOOKUP(CONCATENATE(BO$3,$D19),'LCI - Simapro'!$A$2:$N$284,11,FALSE),0)</f>
        <v>1</v>
      </c>
      <c r="BP19" s="866">
        <f>IFERROR(VLOOKUP(CONCATENATE(BP$3,$D19),'LCI - Simapro'!$A$2:$N$284,11,FALSE),0)</f>
        <v>1</v>
      </c>
      <c r="BQ19" s="866">
        <f>IFERROR(VLOOKUP(CONCATENATE(BQ$3,$D19),'LCI - Simapro'!$A$2:$N$284,11,FALSE),0)</f>
        <v>1</v>
      </c>
      <c r="BR19" s="866" t="str">
        <f>IFERROR(VLOOKUP(CONCATENATE(BR$3,$D19),'LCI - Simapro'!$A$2:$N$284,11,FALSE),0)</f>
        <v>1-al_recycle</v>
      </c>
      <c r="BS19" s="866">
        <f>IFERROR(VLOOKUP(CONCATENATE(BS$3,$D19),'LCI - Simapro'!$A$2:$N$284,11,FALSE),0)</f>
        <v>0</v>
      </c>
      <c r="BT19" s="866" t="str">
        <f>IFERROR(VLOOKUP(CONCATENATE(BT$3,$D19),'LCI - Simapro'!$A$2:$N$284,11,FALSE),0)</f>
        <v>1-al_recycle</v>
      </c>
      <c r="BU19" s="866">
        <f>IFERROR(VLOOKUP(CONCATENATE(BU$3,$D19),'LCI - Simapro'!$A$2:$N$284,11,FALSE),0)</f>
        <v>0</v>
      </c>
      <c r="BV19" s="866">
        <f>IFERROR(VLOOKUP(CONCATENATE(BV$3,$D19),'LCI - Simapro'!$A$2:$N$284,11,FALSE),0)</f>
        <v>0</v>
      </c>
      <c r="BW19" s="866">
        <f>IFERROR(VLOOKUP(CONCATENATE(BW$3,$D19),'LCI - Simapro'!$A$2:$N$284,11,FALSE),0)</f>
        <v>0</v>
      </c>
    </row>
    <row r="20" spans="1:75" ht="26.4" customHeight="1">
      <c r="A20" t="s">
        <v>5757</v>
      </c>
      <c r="B20" s="846">
        <v>41</v>
      </c>
      <c r="C20" s="902"/>
      <c r="D20" s="898" t="s">
        <v>5375</v>
      </c>
      <c r="E20" s="865" t="s">
        <v>94</v>
      </c>
      <c r="F20" s="856">
        <f>VLOOKUP(F$3,'FE - Aluminum'!$E$11:$BF$54,$B20,FALSE)</f>
        <v>0</v>
      </c>
      <c r="G20" s="856">
        <f>VLOOKUP(G$3,'FE - Aluminum'!$E$11:$BF$54,$B20,FALSE)</f>
        <v>0</v>
      </c>
      <c r="H20" s="856">
        <f>VLOOKUP(H$3,'FE - Aluminum'!$E$11:$BF$54,$B20,FALSE)</f>
        <v>0</v>
      </c>
      <c r="I20" s="856">
        <f>VLOOKUP(I$3,'FE - Aluminum'!$E$11:$BF$54,$B20,FALSE)</f>
        <v>0</v>
      </c>
      <c r="J20" s="856">
        <f>VLOOKUP(J$3,'FE - Aluminum'!$E$11:$BF$54,$B20,FALSE)</f>
        <v>0</v>
      </c>
      <c r="K20" s="856">
        <f>VLOOKUP(K$3,'FE - Aluminum'!$E$11:$BF$54,$B20,FALSE)</f>
        <v>0</v>
      </c>
      <c r="L20" s="856">
        <f>VLOOKUP(L$3,'FE - Aluminum'!$E$11:$BF$54,$B20,FALSE)</f>
        <v>0</v>
      </c>
      <c r="M20" s="856">
        <f>VLOOKUP(M$3,'FE - Aluminum'!$E$11:$BF$54,$B20,FALSE)</f>
        <v>0</v>
      </c>
      <c r="N20" s="856">
        <f>VLOOKUP(N$3,'FE - Aluminum'!$E$11:$BF$54,$B20,FALSE)</f>
        <v>0</v>
      </c>
      <c r="O20" s="856">
        <f>VLOOKUP(O$3,'FE - Aluminum'!$E$11:$BF$54,$B20,FALSE)</f>
        <v>0</v>
      </c>
      <c r="P20" s="856">
        <f>VLOOKUP(P$3,'FE - Aluminum'!$E$11:$BF$54,$B20,FALSE)</f>
        <v>0</v>
      </c>
      <c r="Q20" s="856">
        <f>VLOOKUP(Q$3,'FE - Aluminum'!$E$11:$BF$54,$B20,FALSE)</f>
        <v>0</v>
      </c>
      <c r="R20" s="856">
        <f>VLOOKUP(R$3,'FE - Aluminum'!$E$11:$BF$54,$B20,FALSE)</f>
        <v>0</v>
      </c>
      <c r="S20" s="856">
        <f>VLOOKUP(S$3,'FE - Aluminum'!$E$11:$BF$54,$B20,FALSE)</f>
        <v>0</v>
      </c>
      <c r="T20" s="856">
        <f>VLOOKUP(T$3,'FE - Aluminum'!$E$11:$BF$54,$B20,FALSE)</f>
        <v>0</v>
      </c>
      <c r="U20" s="856">
        <f>VLOOKUP(U$3,'FE - Aluminum'!$E$11:$BF$54,$B20,FALSE)</f>
        <v>0</v>
      </c>
      <c r="V20" s="856">
        <f>VLOOKUP(V$3,'FE - Aluminum'!$E$11:$BF$54,$B20,FALSE)</f>
        <v>0</v>
      </c>
      <c r="W20" s="856">
        <f>VLOOKUP(W$3,'FE - Aluminum'!$E$11:$BF$54,$B20,FALSE)</f>
        <v>0</v>
      </c>
      <c r="X20" s="856">
        <f>VLOOKUP(X$3,'FE - Aluminum'!$E$11:$BF$54,$B20,FALSE)</f>
        <v>0</v>
      </c>
      <c r="Y20" s="856">
        <f>VLOOKUP(Y$3,'FE - Aluminum'!$E$11:$BF$54,$B20,FALSE)</f>
        <v>0</v>
      </c>
      <c r="Z20" s="856">
        <f>VLOOKUP(Z$3,'FE - Aluminum'!$E$11:$BF$54,$B20,FALSE)</f>
        <v>0</v>
      </c>
      <c r="AA20" s="856">
        <f>VLOOKUP(AA$3,'FE - Aluminum'!$E$11:$BF$54,$B20,FALSE)</f>
        <v>0</v>
      </c>
      <c r="AB20" s="856">
        <f>VLOOKUP(AB$3,'FE - Aluminum'!$E$11:$BF$54,$B20,FALSE)</f>
        <v>0</v>
      </c>
      <c r="AC20" s="856">
        <f>VLOOKUP(AC$3,'FE - Aluminum'!$E$11:$BF$54,$B20,FALSE)</f>
        <v>0</v>
      </c>
      <c r="AD20" s="856">
        <f>VLOOKUP(AD$3,'FE - Aluminum'!$E$11:$BF$54,$B20,FALSE)</f>
        <v>0</v>
      </c>
      <c r="AE20" s="856">
        <f>VLOOKUP(AE$3,'FE - Aluminum'!$E$11:$BF$54,$B20,FALSE)</f>
        <v>0</v>
      </c>
      <c r="AF20" s="856">
        <f>VLOOKUP(AF$3,'FE - Aluminum'!$E$11:$BF$54,$B20,FALSE)</f>
        <v>0</v>
      </c>
      <c r="AG20" s="856">
        <f>VLOOKUP(AG$3,'FE - Aluminum'!$E$11:$BF$54,$B20,FALSE)</f>
        <v>0</v>
      </c>
      <c r="AH20" s="856">
        <f>VLOOKUP(AH$3,'FE - Aluminum'!$E$11:$BF$54,$B20,FALSE)</f>
        <v>0</v>
      </c>
      <c r="AI20" s="856">
        <f>VLOOKUP(AI$3,'FE - Aluminum'!$E$11:$BF$54,$B20,FALSE)</f>
        <v>0</v>
      </c>
      <c r="AJ20" s="856">
        <f>VLOOKUP(AJ$3,'FE - Aluminum'!$E$11:$BF$54,$B20,FALSE)</f>
        <v>0</v>
      </c>
      <c r="AK20" s="856">
        <f>VLOOKUP(AK$3,'FE - Aluminum'!$E$11:$BF$54,$B20,FALSE)</f>
        <v>0</v>
      </c>
      <c r="AL20" s="856">
        <f>VLOOKUP(AL$3,'FE - Aluminum'!$E$11:$BF$54,$B20,FALSE)</f>
        <v>0</v>
      </c>
      <c r="AM20" s="856">
        <f>VLOOKUP(AM$3,'FE - Aluminum'!$E$11:$BF$54,$B20,FALSE)</f>
        <v>0</v>
      </c>
      <c r="AN20" s="856">
        <f>VLOOKUP(AN$3,'FE - Aluminum'!$E$11:$BF$54,$B20,FALSE)</f>
        <v>0</v>
      </c>
      <c r="AO20" s="856">
        <f>VLOOKUP(AO$3,'FE - Aluminum'!$E$11:$BF$54,$B20,FALSE)</f>
        <v>0</v>
      </c>
      <c r="AP20" s="856">
        <f>VLOOKUP(AP$3,'FE - Aluminum'!$E$11:$BF$54,$B20,FALSE)</f>
        <v>0</v>
      </c>
      <c r="AQ20" s="856">
        <f>VLOOKUP(AQ$3,'FE - Aluminum'!$E$11:$BF$54,$B20,FALSE)</f>
        <v>0</v>
      </c>
      <c r="AR20" s="880"/>
      <c r="AS20" s="879">
        <f t="shared" si="3"/>
        <v>0</v>
      </c>
      <c r="AT20" s="888"/>
      <c r="AU20" s="888">
        <f t="shared" si="4"/>
        <v>0</v>
      </c>
      <c r="AV20" s="888">
        <f t="shared" ref="AV20" si="14">S20</f>
        <v>0</v>
      </c>
      <c r="AW20" s="888">
        <f t="shared" ref="AW20" si="15">U20</f>
        <v>0</v>
      </c>
      <c r="AX20" s="888">
        <f t="shared" ref="AX20" si="16">T20</f>
        <v>0</v>
      </c>
      <c r="AY20" s="888">
        <f t="shared" ref="AY20" si="17">W20</f>
        <v>0</v>
      </c>
      <c r="AZ20" s="888">
        <f t="shared" si="9"/>
        <v>0</v>
      </c>
      <c r="BA20" s="888">
        <f t="shared" si="10"/>
        <v>0</v>
      </c>
      <c r="BB20" s="888">
        <f t="shared" si="11"/>
        <v>0</v>
      </c>
      <c r="BC20" s="888"/>
      <c r="BD20" s="888">
        <f t="shared" ref="BD20" si="18">$AD$23/1000*V20</f>
        <v>0</v>
      </c>
      <c r="BE20" s="888"/>
      <c r="BF20" s="888">
        <f t="shared" ref="BF20" si="19">AI20</f>
        <v>0</v>
      </c>
      <c r="BG20" s="888">
        <f t="shared" ref="BG20" si="20">SUM(AE20:AF20)+AH20</f>
        <v>0</v>
      </c>
      <c r="BH20" s="889"/>
      <c r="BI20" s="866">
        <f>IFERROR(VLOOKUP(CONCATENATE(BI$3,$D20),'LCI - Simapro'!$A$2:$N$284,11,FALSE),0)</f>
        <v>0</v>
      </c>
      <c r="BJ20" s="866">
        <f>IFERROR(VLOOKUP(CONCATENATE(BJ$3,$D20),'LCI - Simapro'!$A$2:$N$284,11,FALSE),0)</f>
        <v>0</v>
      </c>
      <c r="BK20" s="866">
        <f>IFERROR(VLOOKUP(CONCATENATE(BK$3,$D20),'LCI - Simapro'!$A$2:$N$284,11,FALSE),0)</f>
        <v>0</v>
      </c>
      <c r="BL20" s="866">
        <f>IFERROR(VLOOKUP(CONCATENATE(BL$3,$D20),'LCI - Simapro'!$A$2:$N$284,11,FALSE),0)</f>
        <v>0</v>
      </c>
      <c r="BM20" s="866">
        <f>IFERROR(VLOOKUP(CONCATENATE(BM$3,$D20),'LCI - Simapro'!$A$2:$N$284,11,FALSE),0)</f>
        <v>0</v>
      </c>
      <c r="BN20" s="866">
        <f>IFERROR(VLOOKUP(CONCATENATE(BN$3,$D20),'LCI - Simapro'!$A$2:$N$284,11,FALSE),0)</f>
        <v>0</v>
      </c>
      <c r="BO20" s="866">
        <f>IFERROR(VLOOKUP(CONCATENATE(BO$3,$D20),'LCI - Simapro'!$A$2:$N$284,11,FALSE),0)</f>
        <v>0</v>
      </c>
      <c r="BP20" s="866">
        <f>IFERROR(VLOOKUP(CONCATENATE(BP$3,$D20),'LCI - Simapro'!$A$2:$N$284,11,FALSE),0)</f>
        <v>0</v>
      </c>
      <c r="BQ20" s="866">
        <f>IFERROR(VLOOKUP(CONCATENATE(BQ$3,$D20),'LCI - Simapro'!$A$2:$N$284,11,FALSE),0)</f>
        <v>0</v>
      </c>
      <c r="BR20" s="866">
        <f>IFERROR(VLOOKUP(CONCATENATE(BR$3,$D20),'LCI - Simapro'!$A$2:$N$284,11,FALSE),0)</f>
        <v>0</v>
      </c>
      <c r="BS20" s="866">
        <f>IFERROR(VLOOKUP(CONCATENATE(BS$3,$D20),'LCI - Simapro'!$A$2:$N$284,11,FALSE),0)</f>
        <v>0</v>
      </c>
      <c r="BT20" s="866">
        <f>IFERROR(VLOOKUP(CONCATENATE(BT$3,$D20),'LCI - Simapro'!$A$2:$N$284,11,FALSE),0)</f>
        <v>0</v>
      </c>
      <c r="BU20" s="866">
        <f>IFERROR(VLOOKUP(CONCATENATE(BU$3,$D20),'LCI - Simapro'!$A$2:$N$284,11,FALSE),0)</f>
        <v>0</v>
      </c>
      <c r="BV20" s="866">
        <f>IFERROR(VLOOKUP(CONCATENATE(BV$3,$D20),'LCI - Simapro'!$A$2:$N$284,11,FALSE),0)</f>
        <v>0</v>
      </c>
      <c r="BW20" s="866">
        <f>IFERROR(VLOOKUP(CONCATENATE(BW$3,$D20),'LCI - Simapro'!$A$2:$N$284,11,FALSE),0)</f>
        <v>0</v>
      </c>
    </row>
    <row r="21" spans="1:75" ht="26.4" customHeight="1">
      <c r="A21" t="s">
        <v>5757</v>
      </c>
      <c r="B21" s="846">
        <v>42</v>
      </c>
      <c r="C21" s="903"/>
      <c r="D21" s="899" t="s">
        <v>203</v>
      </c>
      <c r="E21" s="387" t="s">
        <v>94</v>
      </c>
      <c r="F21" s="856">
        <f>VLOOKUP(F$3,'FE - Aluminum'!$E$11:$BF$54,$B21,FALSE)</f>
        <v>0</v>
      </c>
      <c r="G21" s="856">
        <f>VLOOKUP(G$3,'FE - Aluminum'!$E$11:$BF$54,$B21,FALSE)</f>
        <v>-772.64325323475055</v>
      </c>
      <c r="H21" s="856">
        <f>VLOOKUP(H$3,'FE - Aluminum'!$E$11:$BF$54,$B21,FALSE)</f>
        <v>0</v>
      </c>
      <c r="I21" s="856">
        <f>VLOOKUP(I$3,'FE - Aluminum'!$E$11:$BF$54,$B21,FALSE)</f>
        <v>0</v>
      </c>
      <c r="J21" s="856">
        <f>VLOOKUP(J$3,'FE - Aluminum'!$E$11:$BF$54,$B21,FALSE)</f>
        <v>0</v>
      </c>
      <c r="K21" s="856">
        <f>VLOOKUP(K$3,'FE - Aluminum'!$E$11:$BF$54,$B21,FALSE)</f>
        <v>0</v>
      </c>
      <c r="L21" s="856">
        <f>VLOOKUP(L$3,'FE - Aluminum'!$E$11:$BF$54,$B21,FALSE)</f>
        <v>0</v>
      </c>
      <c r="M21" s="856">
        <f>VLOOKUP(M$3,'FE - Aluminum'!$E$11:$BF$54,$B21,FALSE)</f>
        <v>0</v>
      </c>
      <c r="N21" s="856">
        <f>VLOOKUP(N$3,'FE - Aluminum'!$E$11:$BF$54,$B21,FALSE)</f>
        <v>0</v>
      </c>
      <c r="O21" s="856">
        <f>VLOOKUP(O$3,'FE - Aluminum'!$E$11:$BF$54,$B21,FALSE)</f>
        <v>0</v>
      </c>
      <c r="P21" s="856">
        <f>VLOOKUP(P$3,'FE - Aluminum'!$E$11:$BF$54,$B21,FALSE)</f>
        <v>0</v>
      </c>
      <c r="Q21" s="856">
        <f>VLOOKUP(Q$3,'FE - Aluminum'!$E$11:$BF$54,$B21,FALSE)</f>
        <v>0</v>
      </c>
      <c r="R21" s="856">
        <f>VLOOKUP(R$3,'FE - Aluminum'!$E$11:$BF$54,$B21,FALSE)</f>
        <v>0</v>
      </c>
      <c r="S21" s="856">
        <f>VLOOKUP(S$3,'FE - Aluminum'!$E$11:$BF$54,$B21,FALSE)</f>
        <v>0</v>
      </c>
      <c r="T21" s="856">
        <f>VLOOKUP(T$3,'FE - Aluminum'!$E$11:$BF$54,$B21,FALSE)</f>
        <v>0</v>
      </c>
      <c r="U21" s="856">
        <f>VLOOKUP(U$3,'FE - Aluminum'!$E$11:$BF$54,$B21,FALSE)</f>
        <v>0</v>
      </c>
      <c r="V21" s="856">
        <f>VLOOKUP(V$3,'FE - Aluminum'!$E$11:$BF$54,$B21,FALSE)</f>
        <v>772.64325323475055</v>
      </c>
      <c r="W21" s="856">
        <f>VLOOKUP(W$3,'FE - Aluminum'!$E$11:$BF$54,$B21,FALSE)</f>
        <v>0</v>
      </c>
      <c r="X21" s="856">
        <f>VLOOKUP(X$3,'FE - Aluminum'!$E$11:$BF$54,$B21,FALSE)</f>
        <v>0</v>
      </c>
      <c r="Y21" s="856">
        <f>VLOOKUP(Y$3,'FE - Aluminum'!$E$11:$BF$54,$B21,FALSE)</f>
        <v>0</v>
      </c>
      <c r="Z21" s="856">
        <f>VLOOKUP(Z$3,'FE - Aluminum'!$E$11:$BF$54,$B21,FALSE)</f>
        <v>0</v>
      </c>
      <c r="AA21" s="856">
        <f>VLOOKUP(AA$3,'FE - Aluminum'!$E$11:$BF$54,$B21,FALSE)</f>
        <v>0</v>
      </c>
      <c r="AB21" s="856">
        <f>VLOOKUP(AB$3,'FE - Aluminum'!$E$11:$BF$54,$B21,FALSE)</f>
        <v>0</v>
      </c>
      <c r="AC21" s="856">
        <f>VLOOKUP(AC$3,'FE - Aluminum'!$E$11:$BF$54,$B21,FALSE)</f>
        <v>0</v>
      </c>
      <c r="AD21" s="856">
        <f>VLOOKUP(AD$3,'FE - Aluminum'!$E$11:$BF$54,$B21,FALSE)</f>
        <v>0</v>
      </c>
      <c r="AE21" s="856">
        <f>VLOOKUP(AE$3,'FE - Aluminum'!$E$11:$BF$54,$B21,FALSE)</f>
        <v>0</v>
      </c>
      <c r="AF21" s="856">
        <f>VLOOKUP(AF$3,'FE - Aluminum'!$E$11:$BF$54,$B21,FALSE)</f>
        <v>0</v>
      </c>
      <c r="AG21" s="856">
        <f>VLOOKUP(AG$3,'FE - Aluminum'!$E$11:$BF$54,$B21,FALSE)</f>
        <v>0</v>
      </c>
      <c r="AH21" s="856">
        <f>VLOOKUP(AH$3,'FE - Aluminum'!$E$11:$BF$54,$B21,FALSE)</f>
        <v>0</v>
      </c>
      <c r="AI21" s="856">
        <f>VLOOKUP(AI$3,'FE - Aluminum'!$E$11:$BF$54,$B21,FALSE)</f>
        <v>0</v>
      </c>
      <c r="AJ21" s="856">
        <f>VLOOKUP(AJ$3,'FE - Aluminum'!$E$11:$BF$54,$B21,FALSE)</f>
        <v>0</v>
      </c>
      <c r="AK21" s="856">
        <f>VLOOKUP(AK$3,'FE - Aluminum'!$E$11:$BF$54,$B21,FALSE)</f>
        <v>0</v>
      </c>
      <c r="AL21" s="856">
        <f>VLOOKUP(AL$3,'FE - Aluminum'!$E$11:$BF$54,$B21,FALSE)</f>
        <v>0</v>
      </c>
      <c r="AM21" s="856">
        <f>VLOOKUP(AM$3,'FE - Aluminum'!$E$11:$BF$54,$B21,FALSE)</f>
        <v>0</v>
      </c>
      <c r="AN21" s="856">
        <f>VLOOKUP(AN$3,'FE - Aluminum'!$E$11:$BF$54,$B21,FALSE)</f>
        <v>0</v>
      </c>
      <c r="AO21" s="856">
        <f>VLOOKUP(AO$3,'FE - Aluminum'!$E$11:$BF$54,$B21,FALSE)</f>
        <v>0</v>
      </c>
      <c r="AP21" s="856">
        <f>VLOOKUP(AP$3,'FE - Aluminum'!$E$11:$BF$54,$B21,FALSE)</f>
        <v>0</v>
      </c>
      <c r="AQ21" s="856">
        <f>VLOOKUP(AQ$3,'FE - Aluminum'!$E$11:$BF$54,$B21,FALSE)</f>
        <v>0</v>
      </c>
      <c r="AR21" s="880"/>
      <c r="AS21" s="879">
        <f t="shared" si="3"/>
        <v>0</v>
      </c>
      <c r="AT21" s="888"/>
      <c r="AU21" s="888">
        <f t="shared" si="4"/>
        <v>0</v>
      </c>
      <c r="AV21" s="888">
        <f t="shared" si="5"/>
        <v>0</v>
      </c>
      <c r="AW21" s="888">
        <f t="shared" si="6"/>
        <v>0</v>
      </c>
      <c r="AX21" s="888">
        <f t="shared" si="7"/>
        <v>0</v>
      </c>
      <c r="AY21" s="888">
        <f t="shared" si="8"/>
        <v>0</v>
      </c>
      <c r="AZ21" s="888">
        <f t="shared" si="9"/>
        <v>0</v>
      </c>
      <c r="BA21" s="888">
        <f t="shared" si="10"/>
        <v>0</v>
      </c>
      <c r="BB21" s="888">
        <f t="shared" si="11"/>
        <v>463.58595194085029</v>
      </c>
      <c r="BC21" s="888"/>
      <c r="BD21" s="888">
        <f t="shared" ref="BD21:BD40" si="21">$AD$23/1000*V21</f>
        <v>309.05730129390025</v>
      </c>
      <c r="BE21" s="888"/>
      <c r="BF21" s="888">
        <f t="shared" si="12"/>
        <v>0</v>
      </c>
      <c r="BG21" s="888">
        <f t="shared" si="13"/>
        <v>0</v>
      </c>
      <c r="BH21" s="889"/>
      <c r="BI21" s="866">
        <f>IFERROR(VLOOKUP(CONCATENATE(BI$3,$D21),'LCI - Simapro'!$A$2:$N$284,11,FALSE),0)</f>
        <v>0</v>
      </c>
      <c r="BJ21" s="866">
        <f>IFERROR(VLOOKUP(CONCATENATE(BJ$3,$D21),'LCI - Simapro'!$A$2:$N$284,11,FALSE),0)</f>
        <v>0</v>
      </c>
      <c r="BK21" s="866">
        <f>IFERROR(VLOOKUP(CONCATENATE(BK$3,$D21),'LCI - Simapro'!$A$2:$N$284,11,FALSE),0)</f>
        <v>0</v>
      </c>
      <c r="BL21" s="866">
        <f>IFERROR(VLOOKUP(CONCATENATE(BL$3,$D21),'LCI - Simapro'!$A$2:$N$284,11,FALSE),0)</f>
        <v>0</v>
      </c>
      <c r="BM21" s="866">
        <f>IFERROR(VLOOKUP(CONCATENATE(BM$3,$D21),'LCI - Simapro'!$A$2:$N$284,11,FALSE),0)</f>
        <v>0</v>
      </c>
      <c r="BN21" s="866">
        <f>IFERROR(VLOOKUP(CONCATENATE(BN$3,$D21),'LCI - Simapro'!$A$2:$N$284,11,FALSE),0)</f>
        <v>0</v>
      </c>
      <c r="BO21" s="866">
        <f>IFERROR(VLOOKUP(CONCATENATE(BO$3,$D21),'LCI - Simapro'!$A$2:$N$284,11,FALSE),0)</f>
        <v>0</v>
      </c>
      <c r="BP21" s="866">
        <f>IFERROR(VLOOKUP(CONCATENATE(BP$3,$D21),'LCI - Simapro'!$A$2:$N$284,11,FALSE),0)</f>
        <v>0</v>
      </c>
      <c r="BQ21" s="866">
        <f>IFERROR(VLOOKUP(CONCATENATE(BQ$3,$D21),'LCI - Simapro'!$A$2:$N$284,11,FALSE),0)</f>
        <v>0</v>
      </c>
      <c r="BR21" s="866">
        <f>IFERROR(VLOOKUP(CONCATENATE(BR$3,$D21),'LCI - Simapro'!$A$2:$N$284,11,FALSE),0)</f>
        <v>0</v>
      </c>
      <c r="BS21" s="866">
        <f>IFERROR(VLOOKUP(CONCATENATE(BS$3,$D21),'LCI - Simapro'!$A$2:$N$284,11,FALSE),0)</f>
        <v>0</v>
      </c>
      <c r="BT21" s="866">
        <f>IFERROR(VLOOKUP(CONCATENATE(BT$3,$D21),'LCI - Simapro'!$A$2:$N$284,11,FALSE),0)</f>
        <v>0</v>
      </c>
      <c r="BU21" s="866">
        <f>IFERROR(VLOOKUP(CONCATENATE(BU$3,$D21),'LCI - Simapro'!$A$2:$N$284,11,FALSE),0)</f>
        <v>0</v>
      </c>
      <c r="BV21" s="866">
        <f>IFERROR(VLOOKUP(CONCATENATE(BV$3,$D21),'LCI - Simapro'!$A$2:$N$284,11,FALSE),0)</f>
        <v>0</v>
      </c>
      <c r="BW21" s="866">
        <f>IFERROR(VLOOKUP(CONCATENATE(BW$3,$D21),'LCI - Simapro'!$A$2:$N$284,11,FALSE),0)</f>
        <v>0</v>
      </c>
    </row>
    <row r="22" spans="1:75" ht="26.4" customHeight="1">
      <c r="A22" t="s">
        <v>5757</v>
      </c>
      <c r="B22" s="846">
        <v>43</v>
      </c>
      <c r="C22" s="903"/>
      <c r="D22" s="899" t="s">
        <v>521</v>
      </c>
      <c r="E22" s="387" t="s">
        <v>94</v>
      </c>
      <c r="F22" s="856">
        <f>VLOOKUP(F$3,'FE - Aluminum'!$E$11:$BF$54,$B22,FALSE)</f>
        <v>0</v>
      </c>
      <c r="G22" s="856">
        <f>VLOOKUP(G$3,'FE - Aluminum'!$E$11:$BF$54,$B22,FALSE)</f>
        <v>0</v>
      </c>
      <c r="H22" s="856">
        <f>VLOOKUP(H$3,'FE - Aluminum'!$E$11:$BF$54,$B22,FALSE)</f>
        <v>0</v>
      </c>
      <c r="I22" s="856">
        <f>VLOOKUP(I$3,'FE - Aluminum'!$E$11:$BF$54,$B22,FALSE)</f>
        <v>0</v>
      </c>
      <c r="J22" s="856">
        <f>VLOOKUP(J$3,'FE - Aluminum'!$E$11:$BF$54,$B22,FALSE)</f>
        <v>0</v>
      </c>
      <c r="K22" s="856">
        <f>VLOOKUP(K$3,'FE - Aluminum'!$E$11:$BF$54,$B22,FALSE)</f>
        <v>0</v>
      </c>
      <c r="L22" s="856">
        <f>VLOOKUP(L$3,'FE - Aluminum'!$E$11:$BF$54,$B22,FALSE)</f>
        <v>0</v>
      </c>
      <c r="M22" s="856">
        <f>VLOOKUP(M$3,'FE - Aluminum'!$E$11:$BF$54,$B22,FALSE)</f>
        <v>0</v>
      </c>
      <c r="N22" s="856">
        <f>VLOOKUP(N$3,'FE - Aluminum'!$E$11:$BF$54,$B22,FALSE)</f>
        <v>0</v>
      </c>
      <c r="O22" s="856">
        <f>VLOOKUP(O$3,'FE - Aluminum'!$E$11:$BF$54,$B22,FALSE)</f>
        <v>0</v>
      </c>
      <c r="P22" s="856">
        <f>VLOOKUP(P$3,'FE - Aluminum'!$E$11:$BF$54,$B22,FALSE)</f>
        <v>0</v>
      </c>
      <c r="Q22" s="856">
        <f>VLOOKUP(Q$3,'FE - Aluminum'!$E$11:$BF$54,$B22,FALSE)</f>
        <v>0</v>
      </c>
      <c r="R22" s="856">
        <f>VLOOKUP(R$3,'FE - Aluminum'!$E$11:$BF$54,$B22,FALSE)</f>
        <v>0</v>
      </c>
      <c r="S22" s="856">
        <f>VLOOKUP(S$3,'FE - Aluminum'!$E$11:$BF$54,$B22,FALSE)</f>
        <v>0</v>
      </c>
      <c r="T22" s="856">
        <f>VLOOKUP(T$3,'FE - Aluminum'!$E$11:$BF$54,$B22,FALSE)</f>
        <v>0</v>
      </c>
      <c r="U22" s="856">
        <f>VLOOKUP(U$3,'FE - Aluminum'!$E$11:$BF$54,$B22,FALSE)</f>
        <v>0</v>
      </c>
      <c r="V22" s="856">
        <f>VLOOKUP(V$3,'FE - Aluminum'!$E$11:$BF$54,$B22,FALSE)</f>
        <v>-418</v>
      </c>
      <c r="W22" s="856">
        <f>VLOOKUP(W$3,'FE - Aluminum'!$E$11:$BF$54,$B22,FALSE)</f>
        <v>0</v>
      </c>
      <c r="X22" s="856">
        <f>VLOOKUP(X$3,'FE - Aluminum'!$E$11:$BF$54,$B22,FALSE)</f>
        <v>418</v>
      </c>
      <c r="Y22" s="856">
        <f>VLOOKUP(Y$3,'FE - Aluminum'!$E$11:$BF$54,$B22,FALSE)</f>
        <v>0</v>
      </c>
      <c r="Z22" s="856">
        <f>VLOOKUP(Z$3,'FE - Aluminum'!$E$11:$BF$54,$B22,FALSE)</f>
        <v>0</v>
      </c>
      <c r="AA22" s="856">
        <f>VLOOKUP(AA$3,'FE - Aluminum'!$E$11:$BF$54,$B22,FALSE)</f>
        <v>0</v>
      </c>
      <c r="AB22" s="856">
        <f>VLOOKUP(AB$3,'FE - Aluminum'!$E$11:$BF$54,$B22,FALSE)</f>
        <v>0</v>
      </c>
      <c r="AC22" s="856">
        <f>VLOOKUP(AC$3,'FE - Aluminum'!$E$11:$BF$54,$B22,FALSE)</f>
        <v>0</v>
      </c>
      <c r="AD22" s="856">
        <f>VLOOKUP(AD$3,'FE - Aluminum'!$E$11:$BF$54,$B22,FALSE)</f>
        <v>0</v>
      </c>
      <c r="AE22" s="856">
        <f>VLOOKUP(AE$3,'FE - Aluminum'!$E$11:$BF$54,$B22,FALSE)</f>
        <v>0</v>
      </c>
      <c r="AF22" s="856">
        <f>VLOOKUP(AF$3,'FE - Aluminum'!$E$11:$BF$54,$B22,FALSE)</f>
        <v>0</v>
      </c>
      <c r="AG22" s="856">
        <f>VLOOKUP(AG$3,'FE - Aluminum'!$E$11:$BF$54,$B22,FALSE)</f>
        <v>0</v>
      </c>
      <c r="AH22" s="856">
        <f>VLOOKUP(AH$3,'FE - Aluminum'!$E$11:$BF$54,$B22,FALSE)</f>
        <v>0</v>
      </c>
      <c r="AI22" s="856">
        <f>VLOOKUP(AI$3,'FE - Aluminum'!$E$11:$BF$54,$B22,FALSE)</f>
        <v>0</v>
      </c>
      <c r="AJ22" s="856">
        <f>VLOOKUP(AJ$3,'FE - Aluminum'!$E$11:$BF$54,$B22,FALSE)</f>
        <v>0</v>
      </c>
      <c r="AK22" s="856">
        <f>VLOOKUP(AK$3,'FE - Aluminum'!$E$11:$BF$54,$B22,FALSE)</f>
        <v>0</v>
      </c>
      <c r="AL22" s="856">
        <f>VLOOKUP(AL$3,'FE - Aluminum'!$E$11:$BF$54,$B22,FALSE)</f>
        <v>0</v>
      </c>
      <c r="AM22" s="856">
        <f>VLOOKUP(AM$3,'FE - Aluminum'!$E$11:$BF$54,$B22,FALSE)</f>
        <v>0</v>
      </c>
      <c r="AN22" s="856">
        <f>VLOOKUP(AN$3,'FE - Aluminum'!$E$11:$BF$54,$B22,FALSE)</f>
        <v>0</v>
      </c>
      <c r="AO22" s="856">
        <f>VLOOKUP(AO$3,'FE - Aluminum'!$E$11:$BF$54,$B22,FALSE)</f>
        <v>0</v>
      </c>
      <c r="AP22" s="856">
        <f>VLOOKUP(AP$3,'FE - Aluminum'!$E$11:$BF$54,$B22,FALSE)</f>
        <v>0</v>
      </c>
      <c r="AQ22" s="856">
        <f>VLOOKUP(AQ$3,'FE - Aluminum'!$E$11:$BF$54,$B22,FALSE)</f>
        <v>0</v>
      </c>
      <c r="AR22" s="880"/>
      <c r="AS22" s="879">
        <f t="shared" si="3"/>
        <v>0</v>
      </c>
      <c r="AT22" s="888"/>
      <c r="AU22" s="888">
        <f t="shared" si="4"/>
        <v>0</v>
      </c>
      <c r="AV22" s="888">
        <f t="shared" si="5"/>
        <v>0</v>
      </c>
      <c r="AW22" s="888">
        <f t="shared" si="6"/>
        <v>0</v>
      </c>
      <c r="AX22" s="888">
        <f t="shared" si="7"/>
        <v>0</v>
      </c>
      <c r="AY22" s="888">
        <f t="shared" si="8"/>
        <v>0</v>
      </c>
      <c r="AZ22" s="888">
        <f t="shared" si="9"/>
        <v>0</v>
      </c>
      <c r="BA22" s="888">
        <f t="shared" si="10"/>
        <v>0</v>
      </c>
      <c r="BB22" s="888">
        <f t="shared" si="11"/>
        <v>-250.79999999999998</v>
      </c>
      <c r="BC22" s="888"/>
      <c r="BD22" s="888">
        <f t="shared" si="21"/>
        <v>-167.20000000000002</v>
      </c>
      <c r="BE22" s="888"/>
      <c r="BF22" s="888">
        <f t="shared" si="12"/>
        <v>0</v>
      </c>
      <c r="BG22" s="888">
        <f t="shared" si="13"/>
        <v>0</v>
      </c>
      <c r="BH22" s="889"/>
      <c r="BI22" s="866">
        <f>IFERROR(VLOOKUP(CONCATENATE(BI$3,$D22),'LCI - Simapro'!$A$2:$N$284,11,FALSE),0)</f>
        <v>0</v>
      </c>
      <c r="BJ22" s="866">
        <f>IFERROR(VLOOKUP(CONCATENATE(BJ$3,$D22),'LCI - Simapro'!$A$2:$N$284,11,FALSE),0)</f>
        <v>0</v>
      </c>
      <c r="BK22" s="866">
        <f>IFERROR(VLOOKUP(CONCATENATE(BK$3,$D22),'LCI - Simapro'!$A$2:$N$284,11,FALSE),0)</f>
        <v>0</v>
      </c>
      <c r="BL22" s="866">
        <f>IFERROR(VLOOKUP(CONCATENATE(BL$3,$D22),'LCI - Simapro'!$A$2:$N$284,11,FALSE),0)</f>
        <v>0</v>
      </c>
      <c r="BM22" s="866">
        <f>IFERROR(VLOOKUP(CONCATENATE(BM$3,$D22),'LCI - Simapro'!$A$2:$N$284,11,FALSE),0)</f>
        <v>0</v>
      </c>
      <c r="BN22" s="866">
        <f>IFERROR(VLOOKUP(CONCATENATE(BN$3,$D22),'LCI - Simapro'!$A$2:$N$284,11,FALSE),0)</f>
        <v>0</v>
      </c>
      <c r="BO22" s="866">
        <f>IFERROR(VLOOKUP(CONCATENATE(BO$3,$D22),'LCI - Simapro'!$A$2:$N$284,11,FALSE),0)</f>
        <v>0</v>
      </c>
      <c r="BP22" s="866">
        <f>IFERROR(VLOOKUP(CONCATENATE(BP$3,$D22),'LCI - Simapro'!$A$2:$N$284,11,FALSE),0)</f>
        <v>0</v>
      </c>
      <c r="BQ22" s="866">
        <f>IFERROR(VLOOKUP(CONCATENATE(BQ$3,$D22),'LCI - Simapro'!$A$2:$N$284,11,FALSE),0)</f>
        <v>0</v>
      </c>
      <c r="BR22" s="866">
        <f>IFERROR(VLOOKUP(CONCATENATE(BR$3,$D22),'LCI - Simapro'!$A$2:$N$284,11,FALSE),0)</f>
        <v>0</v>
      </c>
      <c r="BS22" s="866">
        <f>IFERROR(VLOOKUP(CONCATENATE(BS$3,$D22),'LCI - Simapro'!$A$2:$N$284,11,FALSE),0)</f>
        <v>0</v>
      </c>
      <c r="BT22" s="866">
        <f>IFERROR(VLOOKUP(CONCATENATE(BT$3,$D22),'LCI - Simapro'!$A$2:$N$284,11,FALSE),0)</f>
        <v>0</v>
      </c>
      <c r="BU22" s="866">
        <f>IFERROR(VLOOKUP(CONCATENATE(BU$3,$D22),'LCI - Simapro'!$A$2:$N$284,11,FALSE),0)</f>
        <v>0</v>
      </c>
      <c r="BV22" s="866">
        <f>IFERROR(VLOOKUP(CONCATENATE(BV$3,$D22),'LCI - Simapro'!$A$2:$N$284,11,FALSE),0)</f>
        <v>0</v>
      </c>
      <c r="BW22" s="866">
        <f>IFERROR(VLOOKUP(CONCATENATE(BW$3,$D22),'LCI - Simapro'!$A$2:$N$284,11,FALSE),0)</f>
        <v>0</v>
      </c>
    </row>
    <row r="23" spans="1:75" ht="26.4" customHeight="1">
      <c r="A23" t="s">
        <v>5757</v>
      </c>
      <c r="B23" s="846">
        <v>44</v>
      </c>
      <c r="C23" s="903"/>
      <c r="D23" s="900" t="s">
        <v>530</v>
      </c>
      <c r="E23" s="387" t="s">
        <v>94</v>
      </c>
      <c r="F23" s="856">
        <f>VLOOKUP(F$3,'FE - Aluminum'!$E$11:$BF$54,$B23,FALSE)</f>
        <v>0</v>
      </c>
      <c r="G23" s="856">
        <f>VLOOKUP(G$3,'FE - Aluminum'!$E$11:$BF$54,$B23,FALSE)</f>
        <v>0</v>
      </c>
      <c r="H23" s="856">
        <f>VLOOKUP(H$3,'FE - Aluminum'!$E$11:$BF$54,$B23,FALSE)</f>
        <v>0</v>
      </c>
      <c r="I23" s="856">
        <f>VLOOKUP(I$3,'FE - Aluminum'!$E$11:$BF$54,$B23,FALSE)</f>
        <v>0</v>
      </c>
      <c r="J23" s="856">
        <f>VLOOKUP(J$3,'FE - Aluminum'!$E$11:$BF$54,$B23,FALSE)</f>
        <v>0</v>
      </c>
      <c r="K23" s="856">
        <f>VLOOKUP(K$3,'FE - Aluminum'!$E$11:$BF$54,$B23,FALSE)</f>
        <v>0</v>
      </c>
      <c r="L23" s="856">
        <f>VLOOKUP(L$3,'FE - Aluminum'!$E$11:$BF$54,$B23,FALSE)</f>
        <v>0</v>
      </c>
      <c r="M23" s="856">
        <f>VLOOKUP(M$3,'FE - Aluminum'!$E$11:$BF$54,$B23,FALSE)</f>
        <v>0</v>
      </c>
      <c r="N23" s="856">
        <f>VLOOKUP(N$3,'FE - Aluminum'!$E$11:$BF$54,$B23,FALSE)</f>
        <v>0</v>
      </c>
      <c r="O23" s="856">
        <f>VLOOKUP(O$3,'FE - Aluminum'!$E$11:$BF$54,$B23,FALSE)</f>
        <v>0</v>
      </c>
      <c r="P23" s="856">
        <f>VLOOKUP(P$3,'FE - Aluminum'!$E$11:$BF$54,$B23,FALSE)</f>
        <v>0</v>
      </c>
      <c r="Q23" s="856">
        <f>VLOOKUP(Q$3,'FE - Aluminum'!$E$11:$BF$54,$B23,FALSE)</f>
        <v>0</v>
      </c>
      <c r="R23" s="856">
        <f>VLOOKUP(R$3,'FE - Aluminum'!$E$11:$BF$54,$B23,FALSE)</f>
        <v>0</v>
      </c>
      <c r="S23" s="856">
        <f>VLOOKUP(S$3,'FE - Aluminum'!$E$11:$BF$54,$B23,FALSE)</f>
        <v>0</v>
      </c>
      <c r="T23" s="856">
        <f>VLOOKUP(T$3,'FE - Aluminum'!$E$11:$BF$54,$B23,FALSE)</f>
        <v>0</v>
      </c>
      <c r="U23" s="856">
        <f>VLOOKUP(U$3,'FE - Aluminum'!$E$11:$BF$54,$B23,FALSE)</f>
        <v>0</v>
      </c>
      <c r="V23" s="856">
        <f>VLOOKUP(V$3,'FE - Aluminum'!$E$11:$BF$54,$B23,FALSE)</f>
        <v>0</v>
      </c>
      <c r="W23" s="856">
        <f>VLOOKUP(W$3,'FE - Aluminum'!$E$11:$BF$54,$B23,FALSE)</f>
        <v>0</v>
      </c>
      <c r="X23" s="856">
        <f>VLOOKUP(X$3,'FE - Aluminum'!$E$11:$BF$54,$B23,FALSE)</f>
        <v>-1000</v>
      </c>
      <c r="Y23" s="856">
        <f>VLOOKUP(Y$3,'FE - Aluminum'!$E$11:$BF$54,$B23,FALSE)</f>
        <v>0</v>
      </c>
      <c r="Z23" s="856">
        <f>VLOOKUP(Z$3,'FE - Aluminum'!$E$11:$BF$54,$B23,FALSE)</f>
        <v>0</v>
      </c>
      <c r="AA23" s="856">
        <f>VLOOKUP(AA$3,'FE - Aluminum'!$E$11:$BF$54,$B23,FALSE)</f>
        <v>0</v>
      </c>
      <c r="AB23" s="856">
        <f>VLOOKUP(AB$3,'FE - Aluminum'!$E$11:$BF$54,$B23,FALSE)</f>
        <v>0</v>
      </c>
      <c r="AC23" s="856">
        <f>VLOOKUP(AC$3,'FE - Aluminum'!$E$11:$BF$54,$B23,FALSE)</f>
        <v>0</v>
      </c>
      <c r="AD23" s="856">
        <f>VLOOKUP(AD$3,'FE - Aluminum'!$E$11:$BF$54,$B23,FALSE)</f>
        <v>400</v>
      </c>
      <c r="AE23" s="856">
        <f>VLOOKUP(AE$3,'FE - Aluminum'!$E$11:$BF$54,$B23,FALSE)</f>
        <v>0</v>
      </c>
      <c r="AF23" s="856">
        <f>VLOOKUP(AF$3,'FE - Aluminum'!$E$11:$BF$54,$B23,FALSE)</f>
        <v>0</v>
      </c>
      <c r="AG23" s="856">
        <f>VLOOKUP(AG$3,'FE - Aluminum'!$E$11:$BF$54,$B23,FALSE)</f>
        <v>600</v>
      </c>
      <c r="AH23" s="856">
        <f>VLOOKUP(AH$3,'FE - Aluminum'!$E$11:$BF$54,$B23,FALSE)</f>
        <v>0</v>
      </c>
      <c r="AI23" s="856">
        <f>VLOOKUP(AI$3,'FE - Aluminum'!$E$11:$BF$54,$B23,FALSE)</f>
        <v>0</v>
      </c>
      <c r="AJ23" s="856">
        <f>VLOOKUP(AJ$3,'FE - Aluminum'!$E$11:$BF$54,$B23,FALSE)</f>
        <v>0</v>
      </c>
      <c r="AK23" s="856">
        <f>VLOOKUP(AK$3,'FE - Aluminum'!$E$11:$BF$54,$B23,FALSE)</f>
        <v>0</v>
      </c>
      <c r="AL23" s="856">
        <f>VLOOKUP(AL$3,'FE - Aluminum'!$E$11:$BF$54,$B23,FALSE)</f>
        <v>0</v>
      </c>
      <c r="AM23" s="856">
        <f>VLOOKUP(AM$3,'FE - Aluminum'!$E$11:$BF$54,$B23,FALSE)</f>
        <v>0</v>
      </c>
      <c r="AN23" s="856">
        <f>VLOOKUP(AN$3,'FE - Aluminum'!$E$11:$BF$54,$B23,FALSE)</f>
        <v>0</v>
      </c>
      <c r="AO23" s="856">
        <f>VLOOKUP(AO$3,'FE - Aluminum'!$E$11:$BF$54,$B23,FALSE)</f>
        <v>0</v>
      </c>
      <c r="AP23" s="856">
        <f>VLOOKUP(AP$3,'FE - Aluminum'!$E$11:$BF$54,$B23,FALSE)</f>
        <v>0</v>
      </c>
      <c r="AQ23" s="856">
        <f>VLOOKUP(AQ$3,'FE - Aluminum'!$E$11:$BF$54,$B23,FALSE)</f>
        <v>0</v>
      </c>
      <c r="AR23" s="880"/>
      <c r="AS23" s="879">
        <f t="shared" si="3"/>
        <v>0</v>
      </c>
      <c r="AT23" s="888"/>
      <c r="AU23" s="888">
        <f t="shared" si="4"/>
        <v>0</v>
      </c>
      <c r="AV23" s="888">
        <f t="shared" si="5"/>
        <v>0</v>
      </c>
      <c r="AW23" s="888">
        <f t="shared" si="6"/>
        <v>0</v>
      </c>
      <c r="AX23" s="888">
        <f t="shared" si="7"/>
        <v>0</v>
      </c>
      <c r="AY23" s="888">
        <f t="shared" si="8"/>
        <v>0</v>
      </c>
      <c r="AZ23" s="888">
        <f t="shared" si="9"/>
        <v>0</v>
      </c>
      <c r="BA23" s="888">
        <f t="shared" si="10"/>
        <v>0</v>
      </c>
      <c r="BB23" s="888">
        <f t="shared" si="11"/>
        <v>0</v>
      </c>
      <c r="BC23" s="888"/>
      <c r="BD23" s="888">
        <f t="shared" si="21"/>
        <v>0</v>
      </c>
      <c r="BE23" s="888"/>
      <c r="BF23" s="888">
        <f t="shared" si="12"/>
        <v>0</v>
      </c>
      <c r="BG23" s="888">
        <f t="shared" si="13"/>
        <v>0</v>
      </c>
      <c r="BH23" s="889"/>
      <c r="BI23" s="866">
        <f>IFERROR(VLOOKUP(CONCATENATE(BI$3,$D23),'LCI - Simapro'!$A$2:$N$284,11,FALSE),0)</f>
        <v>0</v>
      </c>
      <c r="BJ23" s="866">
        <f>IFERROR(VLOOKUP(CONCATENATE(BJ$3,$D23),'LCI - Simapro'!$A$2:$N$284,11,FALSE),0)</f>
        <v>0</v>
      </c>
      <c r="BK23" s="866">
        <f>IFERROR(VLOOKUP(CONCATENATE(BK$3,$D23),'LCI - Simapro'!$A$2:$N$284,11,FALSE),0)</f>
        <v>0</v>
      </c>
      <c r="BL23" s="866">
        <f>IFERROR(VLOOKUP(CONCATENATE(BL$3,$D23),'LCI - Simapro'!$A$2:$N$284,11,FALSE),0)</f>
        <v>0</v>
      </c>
      <c r="BM23" s="866">
        <f>IFERROR(VLOOKUP(CONCATENATE(BM$3,$D23),'LCI - Simapro'!$A$2:$N$284,11,FALSE),0)</f>
        <v>0</v>
      </c>
      <c r="BN23" s="866">
        <f>IFERROR(VLOOKUP(CONCATENATE(BN$3,$D23),'LCI - Simapro'!$A$2:$N$284,11,FALSE),0)</f>
        <v>0</v>
      </c>
      <c r="BO23" s="866">
        <f>IFERROR(VLOOKUP(CONCATENATE(BO$3,$D23),'LCI - Simapro'!$A$2:$N$284,11,FALSE),0)</f>
        <v>0</v>
      </c>
      <c r="BP23" s="866">
        <f>IFERROR(VLOOKUP(CONCATENATE(BP$3,$D23),'LCI - Simapro'!$A$2:$N$284,11,FALSE),0)</f>
        <v>0</v>
      </c>
      <c r="BQ23" s="866">
        <f>IFERROR(VLOOKUP(CONCATENATE(BQ$3,$D23),'LCI - Simapro'!$A$2:$N$284,11,FALSE),0)</f>
        <v>0</v>
      </c>
      <c r="BR23" s="866" t="str">
        <f>IFERROR(VLOOKUP(CONCATENATE(BR$3,$D23),'LCI - Simapro'!$A$2:$N$284,11,FALSE),0)</f>
        <v>al_recycle</v>
      </c>
      <c r="BS23" s="866">
        <f>IFERROR(VLOOKUP(CONCATENATE(BS$3,$D23),'LCI - Simapro'!$A$2:$N$284,11,FALSE),0)</f>
        <v>0</v>
      </c>
      <c r="BT23" s="866" t="str">
        <f>IFERROR(VLOOKUP(CONCATENATE(BT$3,$D23),'LCI - Simapro'!$A$2:$N$284,11,FALSE),0)</f>
        <v>al_recycle</v>
      </c>
      <c r="BU23" s="866">
        <f>IFERROR(VLOOKUP(CONCATENATE(BU$3,$D23),'LCI - Simapro'!$A$2:$N$284,11,FALSE),0)</f>
        <v>0</v>
      </c>
      <c r="BV23" s="866">
        <f>IFERROR(VLOOKUP(CONCATENATE(BV$3,$D23),'LCI - Simapro'!$A$2:$N$284,11,FALSE),0)</f>
        <v>0</v>
      </c>
      <c r="BW23" s="866">
        <f>IFERROR(VLOOKUP(CONCATENATE(BW$3,$D23),'LCI - Simapro'!$A$2:$N$284,11,FALSE),0)</f>
        <v>0</v>
      </c>
    </row>
    <row r="24" spans="1:75" ht="26.4" customHeight="1">
      <c r="A24" t="s">
        <v>5757</v>
      </c>
      <c r="B24" s="846">
        <v>45</v>
      </c>
      <c r="C24" s="903"/>
      <c r="D24" s="899" t="s">
        <v>5552</v>
      </c>
      <c r="E24" s="387" t="s">
        <v>94</v>
      </c>
      <c r="F24" s="856">
        <f>VLOOKUP(F$3,'FE - Aluminum'!$E$11:$BF$54,$B24,FALSE)</f>
        <v>0</v>
      </c>
      <c r="G24" s="856">
        <f>VLOOKUP(G$3,'FE - Aluminum'!$E$11:$BF$54,$B24,FALSE)</f>
        <v>0</v>
      </c>
      <c r="H24" s="856">
        <f>VLOOKUP(H$3,'FE - Aluminum'!$E$11:$BF$54,$B24,FALSE)</f>
        <v>0</v>
      </c>
      <c r="I24" s="856">
        <f>VLOOKUP(I$3,'FE - Aluminum'!$E$11:$BF$54,$B24,FALSE)</f>
        <v>0</v>
      </c>
      <c r="J24" s="856">
        <f>VLOOKUP(J$3,'FE - Aluminum'!$E$11:$BF$54,$B24,FALSE)</f>
        <v>0</v>
      </c>
      <c r="K24" s="856">
        <f>VLOOKUP(K$3,'FE - Aluminum'!$E$11:$BF$54,$B24,FALSE)</f>
        <v>0</v>
      </c>
      <c r="L24" s="856">
        <f>VLOOKUP(L$3,'FE - Aluminum'!$E$11:$BF$54,$B24,FALSE)</f>
        <v>0</v>
      </c>
      <c r="M24" s="856">
        <f>VLOOKUP(M$3,'FE - Aluminum'!$E$11:$BF$54,$B24,FALSE)</f>
        <v>0</v>
      </c>
      <c r="N24" s="856">
        <f>VLOOKUP(N$3,'FE - Aluminum'!$E$11:$BF$54,$B24,FALSE)</f>
        <v>0</v>
      </c>
      <c r="O24" s="856">
        <f>VLOOKUP(O$3,'FE - Aluminum'!$E$11:$BF$54,$B24,FALSE)</f>
        <v>0</v>
      </c>
      <c r="P24" s="856">
        <f>VLOOKUP(P$3,'FE - Aluminum'!$E$11:$BF$54,$B24,FALSE)</f>
        <v>0</v>
      </c>
      <c r="Q24" s="856">
        <f>VLOOKUP(Q$3,'FE - Aluminum'!$E$11:$BF$54,$B24,FALSE)</f>
        <v>0</v>
      </c>
      <c r="R24" s="856">
        <f>VLOOKUP(R$3,'FE - Aluminum'!$E$11:$BF$54,$B24,FALSE)</f>
        <v>0</v>
      </c>
      <c r="S24" s="856">
        <f>VLOOKUP(S$3,'FE - Aluminum'!$E$11:$BF$54,$B24,FALSE)</f>
        <v>0</v>
      </c>
      <c r="T24" s="856">
        <f>VLOOKUP(T$3,'FE - Aluminum'!$E$11:$BF$54,$B24,FALSE)</f>
        <v>0</v>
      </c>
      <c r="U24" s="856">
        <f>VLOOKUP(U$3,'FE - Aluminum'!$E$11:$BF$54,$B24,FALSE)</f>
        <v>0</v>
      </c>
      <c r="V24" s="856">
        <f>VLOOKUP(V$3,'FE - Aluminum'!$E$11:$BF$54,$B24,FALSE)</f>
        <v>0</v>
      </c>
      <c r="W24" s="856">
        <f>VLOOKUP(W$3,'FE - Aluminum'!$E$11:$BF$54,$B24,FALSE)</f>
        <v>0</v>
      </c>
      <c r="X24" s="856">
        <f>VLOOKUP(X$3,'FE - Aluminum'!$E$11:$BF$54,$B24,FALSE)</f>
        <v>0</v>
      </c>
      <c r="Y24" s="856">
        <f>VLOOKUP(Y$3,'FE - Aluminum'!$E$11:$BF$54,$B24,FALSE)</f>
        <v>0</v>
      </c>
      <c r="Z24" s="856">
        <f>VLOOKUP(Z$3,'FE - Aluminum'!$E$11:$BF$54,$B24,FALSE)</f>
        <v>0</v>
      </c>
      <c r="AA24" s="856">
        <f>VLOOKUP(AA$3,'FE - Aluminum'!$E$11:$BF$54,$B24,FALSE)</f>
        <v>0</v>
      </c>
      <c r="AB24" s="856">
        <f>VLOOKUP(AB$3,'FE - Aluminum'!$E$11:$BF$54,$B24,FALSE)</f>
        <v>0</v>
      </c>
      <c r="AC24" s="856">
        <f>VLOOKUP(AC$3,'FE - Aluminum'!$E$11:$BF$54,$B24,FALSE)</f>
        <v>0</v>
      </c>
      <c r="AD24" s="856">
        <f>VLOOKUP(AD$3,'FE - Aluminum'!$E$11:$BF$54,$B24,FALSE)</f>
        <v>-400</v>
      </c>
      <c r="AE24" s="856">
        <f>VLOOKUP(AE$3,'FE - Aluminum'!$E$11:$BF$54,$B24,FALSE)</f>
        <v>265</v>
      </c>
      <c r="AF24" s="856">
        <f>VLOOKUP(AF$3,'FE - Aluminum'!$E$11:$BF$54,$B24,FALSE)</f>
        <v>135</v>
      </c>
      <c r="AG24" s="856">
        <f>VLOOKUP(AG$3,'FE - Aluminum'!$E$11:$BF$54,$B24,FALSE)</f>
        <v>-600</v>
      </c>
      <c r="AH24" s="856">
        <f>VLOOKUP(AH$3,'FE - Aluminum'!$E$11:$BF$54,$B24,FALSE)</f>
        <v>600</v>
      </c>
      <c r="AI24" s="856">
        <f>VLOOKUP(AI$3,'FE - Aluminum'!$E$11:$BF$54,$B24,FALSE)</f>
        <v>0</v>
      </c>
      <c r="AJ24" s="856">
        <f>VLOOKUP(AJ$3,'FE - Aluminum'!$E$11:$BF$54,$B24,FALSE)</f>
        <v>0</v>
      </c>
      <c r="AK24" s="856">
        <f>VLOOKUP(AK$3,'FE - Aluminum'!$E$11:$BF$54,$B24,FALSE)</f>
        <v>0</v>
      </c>
      <c r="AL24" s="856">
        <f>VLOOKUP(AL$3,'FE - Aluminum'!$E$11:$BF$54,$B24,FALSE)</f>
        <v>0</v>
      </c>
      <c r="AM24" s="856">
        <f>VLOOKUP(AM$3,'FE - Aluminum'!$E$11:$BF$54,$B24,FALSE)</f>
        <v>0</v>
      </c>
      <c r="AN24" s="856">
        <f>VLOOKUP(AN$3,'FE - Aluminum'!$E$11:$BF$54,$B24,FALSE)</f>
        <v>0</v>
      </c>
      <c r="AO24" s="856">
        <f>VLOOKUP(AO$3,'FE - Aluminum'!$E$11:$BF$54,$B24,FALSE)</f>
        <v>0</v>
      </c>
      <c r="AP24" s="856">
        <f>VLOOKUP(AP$3,'FE - Aluminum'!$E$11:$BF$54,$B24,FALSE)</f>
        <v>0</v>
      </c>
      <c r="AQ24" s="856">
        <f>VLOOKUP(AQ$3,'FE - Aluminum'!$E$11:$BF$54,$B24,FALSE)</f>
        <v>0</v>
      </c>
      <c r="AR24" s="880"/>
      <c r="AS24" s="879">
        <f t="shared" si="3"/>
        <v>0</v>
      </c>
      <c r="AT24" s="888"/>
      <c r="AU24" s="888">
        <f t="shared" si="4"/>
        <v>0</v>
      </c>
      <c r="AV24" s="888">
        <f t="shared" si="5"/>
        <v>0</v>
      </c>
      <c r="AW24" s="888">
        <f t="shared" si="6"/>
        <v>0</v>
      </c>
      <c r="AX24" s="888">
        <f t="shared" si="7"/>
        <v>0</v>
      </c>
      <c r="AY24" s="888">
        <f t="shared" si="8"/>
        <v>0</v>
      </c>
      <c r="AZ24" s="888">
        <f t="shared" si="9"/>
        <v>600</v>
      </c>
      <c r="BA24" s="888">
        <f t="shared" si="10"/>
        <v>400</v>
      </c>
      <c r="BB24" s="888">
        <f t="shared" si="11"/>
        <v>0</v>
      </c>
      <c r="BC24" s="888"/>
      <c r="BD24" s="888">
        <f t="shared" si="21"/>
        <v>0</v>
      </c>
      <c r="BE24" s="888"/>
      <c r="BF24" s="888">
        <f t="shared" si="12"/>
        <v>0</v>
      </c>
      <c r="BG24" s="888">
        <f t="shared" si="13"/>
        <v>1000</v>
      </c>
      <c r="BH24" s="889"/>
      <c r="BI24" s="866">
        <f>IFERROR(VLOOKUP(CONCATENATE(BI$3,$D24),'LCI - Simapro'!$A$2:$N$284,11,FALSE),0)</f>
        <v>0</v>
      </c>
      <c r="BJ24" s="866">
        <f>IFERROR(VLOOKUP(CONCATENATE(BJ$3,$D24),'LCI - Simapro'!$A$2:$N$284,11,FALSE),0)</f>
        <v>0</v>
      </c>
      <c r="BK24" s="866">
        <f>IFERROR(VLOOKUP(CONCATENATE(BK$3,$D24),'LCI - Simapro'!$A$2:$N$284,11,FALSE),0)</f>
        <v>0</v>
      </c>
      <c r="BL24" s="866">
        <f>IFERROR(VLOOKUP(CONCATENATE(BL$3,$D24),'LCI - Simapro'!$A$2:$N$284,11,FALSE),0)</f>
        <v>0</v>
      </c>
      <c r="BM24" s="866">
        <f>IFERROR(VLOOKUP(CONCATENATE(BM$3,$D24),'LCI - Simapro'!$A$2:$N$284,11,FALSE),0)</f>
        <v>0</v>
      </c>
      <c r="BN24" s="866">
        <f>IFERROR(VLOOKUP(CONCATENATE(BN$3,$D24),'LCI - Simapro'!$A$2:$N$284,11,FALSE),0)</f>
        <v>0</v>
      </c>
      <c r="BO24" s="866">
        <f>IFERROR(VLOOKUP(CONCATENATE(BO$3,$D24),'LCI - Simapro'!$A$2:$N$284,11,FALSE),0)</f>
        <v>0</v>
      </c>
      <c r="BP24" s="866">
        <f>IFERROR(VLOOKUP(CONCATENATE(BP$3,$D24),'LCI - Simapro'!$A$2:$N$284,11,FALSE),0)</f>
        <v>1</v>
      </c>
      <c r="BQ24" s="866">
        <f>IFERROR(VLOOKUP(CONCATENATE(BQ$3,$D24),'LCI - Simapro'!$A$2:$N$284,11,FALSE),0)</f>
        <v>1</v>
      </c>
      <c r="BR24" s="866">
        <f>IFERROR(VLOOKUP(CONCATENATE(BR$3,$D24),'LCI - Simapro'!$A$2:$N$284,11,FALSE),0)</f>
        <v>1</v>
      </c>
      <c r="BS24" s="866">
        <f>IFERROR(VLOOKUP(CONCATENATE(BS$3,$D24),'LCI - Simapro'!$A$2:$N$284,11,FALSE),0)</f>
        <v>0</v>
      </c>
      <c r="BT24" s="866">
        <f>IFERROR(VLOOKUP(CONCATENATE(BT$3,$D24),'LCI - Simapro'!$A$2:$N$284,11,FALSE),0)</f>
        <v>1</v>
      </c>
      <c r="BU24" s="866">
        <f>IFERROR(VLOOKUP(CONCATENATE(BU$3,$D24),'LCI - Simapro'!$A$2:$N$284,11,FALSE),0)</f>
        <v>0</v>
      </c>
      <c r="BV24" s="866">
        <f>IFERROR(VLOOKUP(CONCATENATE(BV$3,$D24),'LCI - Simapro'!$A$2:$N$284,11,FALSE),0)</f>
        <v>0.36042377185980701</v>
      </c>
      <c r="BW24" s="866">
        <f>IFERROR(VLOOKUP(CONCATENATE(BW$3,$D24),'LCI - Simapro'!$A$2:$N$284,11,FALSE),0)</f>
        <v>0</v>
      </c>
    </row>
    <row r="25" spans="1:75" ht="26.4" customHeight="1">
      <c r="A25" t="s">
        <v>5757</v>
      </c>
      <c r="B25" s="846">
        <v>46</v>
      </c>
      <c r="C25" s="903"/>
      <c r="D25" s="899" t="s">
        <v>515</v>
      </c>
      <c r="E25" s="387" t="s">
        <v>94</v>
      </c>
      <c r="F25" s="856">
        <f>VLOOKUP(F$3,'FE - Aluminum'!$E$11:$BF$54,$B25,FALSE)</f>
        <v>0</v>
      </c>
      <c r="G25" s="856">
        <f>VLOOKUP(G$3,'FE - Aluminum'!$E$11:$BF$54,$B25,FALSE)</f>
        <v>0</v>
      </c>
      <c r="H25" s="856">
        <f>VLOOKUP(H$3,'FE - Aluminum'!$E$11:$BF$54,$B25,FALSE)</f>
        <v>0</v>
      </c>
      <c r="I25" s="856">
        <f>VLOOKUP(I$3,'FE - Aluminum'!$E$11:$BF$54,$B25,FALSE)</f>
        <v>0</v>
      </c>
      <c r="J25" s="856">
        <f>VLOOKUP(J$3,'FE - Aluminum'!$E$11:$BF$54,$B25,FALSE)</f>
        <v>0</v>
      </c>
      <c r="K25" s="856">
        <f>VLOOKUP(K$3,'FE - Aluminum'!$E$11:$BF$54,$B25,FALSE)</f>
        <v>0</v>
      </c>
      <c r="L25" s="856">
        <f>VLOOKUP(L$3,'FE - Aluminum'!$E$11:$BF$54,$B25,FALSE)</f>
        <v>0</v>
      </c>
      <c r="M25" s="856">
        <f>VLOOKUP(M$3,'FE - Aluminum'!$E$11:$BF$54,$B25,FALSE)</f>
        <v>0</v>
      </c>
      <c r="N25" s="856">
        <f>VLOOKUP(N$3,'FE - Aluminum'!$E$11:$BF$54,$B25,FALSE)</f>
        <v>0</v>
      </c>
      <c r="O25" s="856">
        <f>VLOOKUP(O$3,'FE - Aluminum'!$E$11:$BF$54,$B25,FALSE)</f>
        <v>0</v>
      </c>
      <c r="P25" s="856">
        <f>VLOOKUP(P$3,'FE - Aluminum'!$E$11:$BF$54,$B25,FALSE)</f>
        <v>0</v>
      </c>
      <c r="Q25" s="856">
        <f>VLOOKUP(Q$3,'FE - Aluminum'!$E$11:$BF$54,$B25,FALSE)</f>
        <v>0</v>
      </c>
      <c r="R25" s="856">
        <f>VLOOKUP(R$3,'FE - Aluminum'!$E$11:$BF$54,$B25,FALSE)</f>
        <v>0</v>
      </c>
      <c r="S25" s="856">
        <f>VLOOKUP(S$3,'FE - Aluminum'!$E$11:$BF$54,$B25,FALSE)</f>
        <v>0</v>
      </c>
      <c r="T25" s="856">
        <f>VLOOKUP(T$3,'FE - Aluminum'!$E$11:$BF$54,$B25,FALSE)</f>
        <v>0</v>
      </c>
      <c r="U25" s="856">
        <f>VLOOKUP(U$3,'FE - Aluminum'!$E$11:$BF$54,$B25,FALSE)</f>
        <v>0</v>
      </c>
      <c r="V25" s="856">
        <f>VLOOKUP(V$3,'FE - Aluminum'!$E$11:$BF$54,$B25,FALSE)</f>
        <v>0</v>
      </c>
      <c r="W25" s="856">
        <f>VLOOKUP(W$3,'FE - Aluminum'!$E$11:$BF$54,$B25,FALSE)</f>
        <v>0</v>
      </c>
      <c r="X25" s="856">
        <f>VLOOKUP(X$3,'FE - Aluminum'!$E$11:$BF$54,$B25,FALSE)</f>
        <v>0</v>
      </c>
      <c r="Y25" s="856">
        <f>VLOOKUP(Y$3,'FE - Aluminum'!$E$11:$BF$54,$B25,FALSE)</f>
        <v>0</v>
      </c>
      <c r="Z25" s="856">
        <f>VLOOKUP(Z$3,'FE - Aluminum'!$E$11:$BF$54,$B25,FALSE)</f>
        <v>0</v>
      </c>
      <c r="AA25" s="856">
        <f>VLOOKUP(AA$3,'FE - Aluminum'!$E$11:$BF$54,$B25,FALSE)</f>
        <v>0</v>
      </c>
      <c r="AB25" s="856">
        <f>VLOOKUP(AB$3,'FE - Aluminum'!$E$11:$BF$54,$B25,FALSE)</f>
        <v>0</v>
      </c>
      <c r="AC25" s="856">
        <f>VLOOKUP(AC$3,'FE - Aluminum'!$E$11:$BF$54,$B25,FALSE)</f>
        <v>0</v>
      </c>
      <c r="AD25" s="856">
        <f>VLOOKUP(AD$3,'FE - Aluminum'!$E$11:$BF$54,$B25,FALSE)</f>
        <v>0</v>
      </c>
      <c r="AE25" s="856">
        <f>VLOOKUP(AE$3,'FE - Aluminum'!$E$11:$BF$54,$B25,FALSE)</f>
        <v>-265</v>
      </c>
      <c r="AF25" s="856">
        <f>VLOOKUP(AF$3,'FE - Aluminum'!$E$11:$BF$54,$B25,FALSE)</f>
        <v>-135</v>
      </c>
      <c r="AG25" s="856">
        <f>VLOOKUP(AG$3,'FE - Aluminum'!$E$11:$BF$54,$B25,FALSE)</f>
        <v>0</v>
      </c>
      <c r="AH25" s="856">
        <f>VLOOKUP(AH$3,'FE - Aluminum'!$E$11:$BF$54,$B25,FALSE)</f>
        <v>-600</v>
      </c>
      <c r="AI25" s="856">
        <f>VLOOKUP(AI$3,'FE - Aluminum'!$E$11:$BF$54,$B25,FALSE)</f>
        <v>1000</v>
      </c>
      <c r="AJ25" s="856">
        <f>VLOOKUP(AJ$3,'FE - Aluminum'!$E$11:$BF$54,$B25,FALSE)</f>
        <v>0</v>
      </c>
      <c r="AK25" s="856">
        <f>VLOOKUP(AK$3,'FE - Aluminum'!$E$11:$BF$54,$B25,FALSE)</f>
        <v>0</v>
      </c>
      <c r="AL25" s="856">
        <f>VLOOKUP(AL$3,'FE - Aluminum'!$E$11:$BF$54,$B25,FALSE)</f>
        <v>0</v>
      </c>
      <c r="AM25" s="856">
        <f>VLOOKUP(AM$3,'FE - Aluminum'!$E$11:$BF$54,$B25,FALSE)</f>
        <v>0</v>
      </c>
      <c r="AN25" s="856">
        <f>VLOOKUP(AN$3,'FE - Aluminum'!$E$11:$BF$54,$B25,FALSE)</f>
        <v>0</v>
      </c>
      <c r="AO25" s="856">
        <f>VLOOKUP(AO$3,'FE - Aluminum'!$E$11:$BF$54,$B25,FALSE)</f>
        <v>0</v>
      </c>
      <c r="AP25" s="856">
        <f>VLOOKUP(AP$3,'FE - Aluminum'!$E$11:$BF$54,$B25,FALSE)</f>
        <v>0</v>
      </c>
      <c r="AQ25" s="856">
        <f>VLOOKUP(AQ$3,'FE - Aluminum'!$E$11:$BF$54,$B25,FALSE)</f>
        <v>0</v>
      </c>
      <c r="AR25" s="880"/>
      <c r="AS25" s="879">
        <f t="shared" si="3"/>
        <v>0</v>
      </c>
      <c r="AT25" s="888"/>
      <c r="AU25" s="888">
        <f t="shared" si="4"/>
        <v>0</v>
      </c>
      <c r="AV25" s="888">
        <f t="shared" si="5"/>
        <v>0</v>
      </c>
      <c r="AW25" s="888">
        <f t="shared" si="6"/>
        <v>0</v>
      </c>
      <c r="AX25" s="888">
        <f t="shared" si="7"/>
        <v>0</v>
      </c>
      <c r="AY25" s="888">
        <f t="shared" si="8"/>
        <v>0</v>
      </c>
      <c r="AZ25" s="888">
        <f t="shared" si="9"/>
        <v>-600</v>
      </c>
      <c r="BA25" s="888">
        <f t="shared" si="10"/>
        <v>-400</v>
      </c>
      <c r="BB25" s="888">
        <f t="shared" si="11"/>
        <v>0</v>
      </c>
      <c r="BC25" s="888"/>
      <c r="BD25" s="888">
        <f t="shared" si="21"/>
        <v>0</v>
      </c>
      <c r="BE25" s="888"/>
      <c r="BF25" s="888">
        <f t="shared" si="12"/>
        <v>1000</v>
      </c>
      <c r="BG25" s="888">
        <f t="shared" si="13"/>
        <v>-1000</v>
      </c>
      <c r="BH25" s="889"/>
      <c r="BI25" s="866">
        <f>IFERROR(VLOOKUP(CONCATENATE(BI$3,$D25),'LCI - Simapro'!$A$2:$N$284,11,FALSE),0)</f>
        <v>0</v>
      </c>
      <c r="BJ25" s="866">
        <f>IFERROR(VLOOKUP(CONCATENATE(BJ$3,$D25),'LCI - Simapro'!$A$2:$N$284,11,FALSE),0)</f>
        <v>0</v>
      </c>
      <c r="BK25" s="866">
        <f>IFERROR(VLOOKUP(CONCATENATE(BK$3,$D25),'LCI - Simapro'!$A$2:$N$284,11,FALSE),0)</f>
        <v>0</v>
      </c>
      <c r="BL25" s="866">
        <f>IFERROR(VLOOKUP(CONCATENATE(BL$3,$D25),'LCI - Simapro'!$A$2:$N$284,11,FALSE),0)</f>
        <v>0</v>
      </c>
      <c r="BM25" s="866">
        <f>IFERROR(VLOOKUP(CONCATENATE(BM$3,$D25),'LCI - Simapro'!$A$2:$N$284,11,FALSE),0)</f>
        <v>0</v>
      </c>
      <c r="BN25" s="866">
        <f>IFERROR(VLOOKUP(CONCATENATE(BN$3,$D25),'LCI - Simapro'!$A$2:$N$284,11,FALSE),0)</f>
        <v>0</v>
      </c>
      <c r="BO25" s="866">
        <f>IFERROR(VLOOKUP(CONCATENATE(BO$3,$D25),'LCI - Simapro'!$A$2:$N$284,11,FALSE),0)</f>
        <v>0</v>
      </c>
      <c r="BP25" s="866">
        <f>IFERROR(VLOOKUP(CONCATENATE(BP$3,$D25),'LCI - Simapro'!$A$2:$N$284,11,FALSE),0)</f>
        <v>0</v>
      </c>
      <c r="BQ25" s="866">
        <f>IFERROR(VLOOKUP(CONCATENATE(BQ$3,$D25),'LCI - Simapro'!$A$2:$N$284,11,FALSE),0)</f>
        <v>0</v>
      </c>
      <c r="BR25" s="866">
        <f>IFERROR(VLOOKUP(CONCATENATE(BR$3,$D25),'LCI - Simapro'!$A$2:$N$284,11,FALSE),0)</f>
        <v>0</v>
      </c>
      <c r="BS25" s="866">
        <f>IFERROR(VLOOKUP(CONCATENATE(BS$3,$D25),'LCI - Simapro'!$A$2:$N$284,11,FALSE),0)</f>
        <v>0</v>
      </c>
      <c r="BT25" s="866">
        <f>IFERROR(VLOOKUP(CONCATENATE(BT$3,$D25),'LCI - Simapro'!$A$2:$N$284,11,FALSE),0)</f>
        <v>0</v>
      </c>
      <c r="BU25" s="866">
        <f>IFERROR(VLOOKUP(CONCATENATE(BU$3,$D25),'LCI - Simapro'!$A$2:$N$284,11,FALSE),0)</f>
        <v>0</v>
      </c>
      <c r="BV25" s="866">
        <f>IFERROR(VLOOKUP(CONCATENATE(BV$3,$D25),'LCI - Simapro'!$A$2:$N$284,11,FALSE),0)</f>
        <v>1</v>
      </c>
      <c r="BW25" s="866" t="str">
        <f>IFERROR(VLOOKUP(CONCATENATE(BW$3,$D25),'LCI - Simapro'!$A$2:$N$284,11,FALSE),0)</f>
        <v>al_mix3_sheetrolling = 0,265</v>
      </c>
    </row>
    <row r="26" spans="1:75" ht="26.4" customHeight="1">
      <c r="A26" t="s">
        <v>5757</v>
      </c>
      <c r="B26" s="846">
        <v>47</v>
      </c>
      <c r="C26" s="903"/>
      <c r="D26" s="899" t="s">
        <v>516</v>
      </c>
      <c r="E26" s="387" t="s">
        <v>94</v>
      </c>
      <c r="F26" s="856">
        <f>VLOOKUP(F$3,'FE - Aluminum'!$E$11:$BF$54,$B26,FALSE)</f>
        <v>0</v>
      </c>
      <c r="G26" s="856">
        <f>VLOOKUP(G$3,'FE - Aluminum'!$E$11:$BF$54,$B26,FALSE)</f>
        <v>0</v>
      </c>
      <c r="H26" s="856">
        <f>VLOOKUP(H$3,'FE - Aluminum'!$E$11:$BF$54,$B26,FALSE)</f>
        <v>0</v>
      </c>
      <c r="I26" s="856">
        <f>VLOOKUP(I$3,'FE - Aluminum'!$E$11:$BF$54,$B26,FALSE)</f>
        <v>0</v>
      </c>
      <c r="J26" s="856">
        <f>VLOOKUP(J$3,'FE - Aluminum'!$E$11:$BF$54,$B26,FALSE)</f>
        <v>0</v>
      </c>
      <c r="K26" s="856">
        <f>VLOOKUP(K$3,'FE - Aluminum'!$E$11:$BF$54,$B26,FALSE)</f>
        <v>0</v>
      </c>
      <c r="L26" s="856">
        <f>VLOOKUP(L$3,'FE - Aluminum'!$E$11:$BF$54,$B26,FALSE)</f>
        <v>0</v>
      </c>
      <c r="M26" s="856">
        <f>VLOOKUP(M$3,'FE - Aluminum'!$E$11:$BF$54,$B26,FALSE)</f>
        <v>0</v>
      </c>
      <c r="N26" s="856">
        <f>VLOOKUP(N$3,'FE - Aluminum'!$E$11:$BF$54,$B26,FALSE)</f>
        <v>0</v>
      </c>
      <c r="O26" s="856">
        <f>VLOOKUP(O$3,'FE - Aluminum'!$E$11:$BF$54,$B26,FALSE)</f>
        <v>0</v>
      </c>
      <c r="P26" s="856">
        <f>VLOOKUP(P$3,'FE - Aluminum'!$E$11:$BF$54,$B26,FALSE)</f>
        <v>0</v>
      </c>
      <c r="Q26" s="856">
        <f>VLOOKUP(Q$3,'FE - Aluminum'!$E$11:$BF$54,$B26,FALSE)</f>
        <v>0</v>
      </c>
      <c r="R26" s="856">
        <f>VLOOKUP(R$3,'FE - Aluminum'!$E$11:$BF$54,$B26,FALSE)</f>
        <v>0</v>
      </c>
      <c r="S26" s="856">
        <f>VLOOKUP(S$3,'FE - Aluminum'!$E$11:$BF$54,$B26,FALSE)</f>
        <v>0</v>
      </c>
      <c r="T26" s="856">
        <f>VLOOKUP(T$3,'FE - Aluminum'!$E$11:$BF$54,$B26,FALSE)</f>
        <v>0</v>
      </c>
      <c r="U26" s="856">
        <f>VLOOKUP(U$3,'FE - Aluminum'!$E$11:$BF$54,$B26,FALSE)</f>
        <v>0</v>
      </c>
      <c r="V26" s="856">
        <f>VLOOKUP(V$3,'FE - Aluminum'!$E$11:$BF$54,$B26,FALSE)</f>
        <v>0</v>
      </c>
      <c r="W26" s="856">
        <f>VLOOKUP(W$3,'FE - Aluminum'!$E$11:$BF$54,$B26,FALSE)</f>
        <v>0</v>
      </c>
      <c r="X26" s="856">
        <f>VLOOKUP(X$3,'FE - Aluminum'!$E$11:$BF$54,$B26,FALSE)</f>
        <v>0</v>
      </c>
      <c r="Y26" s="856">
        <f>VLOOKUP(Y$3,'FE - Aluminum'!$E$11:$BF$54,$B26,FALSE)</f>
        <v>0</v>
      </c>
      <c r="Z26" s="856">
        <f>VLOOKUP(Z$3,'FE - Aluminum'!$E$11:$BF$54,$B26,FALSE)</f>
        <v>0</v>
      </c>
      <c r="AA26" s="856">
        <f>VLOOKUP(AA$3,'FE - Aluminum'!$E$11:$BF$54,$B26,FALSE)</f>
        <v>0</v>
      </c>
      <c r="AB26" s="856">
        <f>VLOOKUP(AB$3,'FE - Aluminum'!$E$11:$BF$54,$B26,FALSE)</f>
        <v>0</v>
      </c>
      <c r="AC26" s="856">
        <f>VLOOKUP(AC$3,'FE - Aluminum'!$E$11:$BF$54,$B26,FALSE)</f>
        <v>0</v>
      </c>
      <c r="AD26" s="856">
        <f>VLOOKUP(AD$3,'FE - Aluminum'!$E$11:$BF$54,$B26,FALSE)</f>
        <v>0</v>
      </c>
      <c r="AE26" s="856">
        <f>VLOOKUP(AE$3,'FE - Aluminum'!$E$11:$BF$54,$B26,FALSE)</f>
        <v>0</v>
      </c>
      <c r="AF26" s="856">
        <f>VLOOKUP(AF$3,'FE - Aluminum'!$E$11:$BF$54,$B26,FALSE)</f>
        <v>0</v>
      </c>
      <c r="AG26" s="856">
        <f>VLOOKUP(AG$3,'FE - Aluminum'!$E$11:$BF$54,$B26,FALSE)</f>
        <v>0</v>
      </c>
      <c r="AH26" s="856">
        <f>VLOOKUP(AH$3,'FE - Aluminum'!$E$11:$BF$54,$B26,FALSE)</f>
        <v>0</v>
      </c>
      <c r="AI26" s="856">
        <f>VLOOKUP(AI$3,'FE - Aluminum'!$E$11:$BF$54,$B26,FALSE)</f>
        <v>-1000</v>
      </c>
      <c r="AJ26" s="856">
        <f>VLOOKUP(AJ$3,'FE - Aluminum'!$E$11:$BF$54,$B26,FALSE)</f>
        <v>0</v>
      </c>
      <c r="AK26" s="856">
        <f>VLOOKUP(AK$3,'FE - Aluminum'!$E$11:$BF$54,$B26,FALSE)</f>
        <v>0</v>
      </c>
      <c r="AL26" s="856">
        <f>VLOOKUP(AL$3,'FE - Aluminum'!$E$11:$BF$54,$B26,FALSE)</f>
        <v>0</v>
      </c>
      <c r="AM26" s="856">
        <f>VLOOKUP(AM$3,'FE - Aluminum'!$E$11:$BF$54,$B26,FALSE)</f>
        <v>0</v>
      </c>
      <c r="AN26" s="856">
        <f>VLOOKUP(AN$3,'FE - Aluminum'!$E$11:$BF$54,$B26,FALSE)</f>
        <v>0</v>
      </c>
      <c r="AO26" s="856">
        <f>VLOOKUP(AO$3,'FE - Aluminum'!$E$11:$BF$54,$B26,FALSE)</f>
        <v>1000</v>
      </c>
      <c r="AP26" s="856">
        <f>VLOOKUP(AP$3,'FE - Aluminum'!$E$11:$BF$54,$B26,FALSE)</f>
        <v>0</v>
      </c>
      <c r="AQ26" s="856">
        <f>VLOOKUP(AQ$3,'FE - Aluminum'!$E$11:$BF$54,$B26,FALSE)</f>
        <v>0</v>
      </c>
      <c r="AR26" s="880"/>
      <c r="AS26" s="879">
        <f t="shared" si="3"/>
        <v>0</v>
      </c>
      <c r="AT26" s="888"/>
      <c r="AU26" s="888">
        <f t="shared" si="4"/>
        <v>0</v>
      </c>
      <c r="AV26" s="888">
        <f t="shared" si="5"/>
        <v>0</v>
      </c>
      <c r="AW26" s="888">
        <f t="shared" si="6"/>
        <v>0</v>
      </c>
      <c r="AX26" s="888">
        <f t="shared" si="7"/>
        <v>0</v>
      </c>
      <c r="AY26" s="888">
        <f t="shared" si="8"/>
        <v>0</v>
      </c>
      <c r="AZ26" s="888">
        <f t="shared" si="9"/>
        <v>0</v>
      </c>
      <c r="BA26" s="888">
        <f t="shared" si="10"/>
        <v>0</v>
      </c>
      <c r="BB26" s="888">
        <f t="shared" si="11"/>
        <v>0</v>
      </c>
      <c r="BC26" s="888"/>
      <c r="BD26" s="888">
        <f t="shared" si="21"/>
        <v>0</v>
      </c>
      <c r="BE26" s="888"/>
      <c r="BF26" s="888">
        <f t="shared" si="12"/>
        <v>-1000</v>
      </c>
      <c r="BG26" s="888">
        <f t="shared" si="13"/>
        <v>0</v>
      </c>
      <c r="BH26" s="889"/>
      <c r="BI26" s="866">
        <f>IFERROR(VLOOKUP(CONCATENATE(BI$3,$D26),'LCI - Simapro'!$A$2:$N$284,11,FALSE),0)</f>
        <v>0</v>
      </c>
      <c r="BJ26" s="866">
        <f>IFERROR(VLOOKUP(CONCATENATE(BJ$3,$D26),'LCI - Simapro'!$A$2:$N$284,11,FALSE),0)</f>
        <v>0</v>
      </c>
      <c r="BK26" s="866">
        <f>IFERROR(VLOOKUP(CONCATENATE(BK$3,$D26),'LCI - Simapro'!$A$2:$N$284,11,FALSE),0)</f>
        <v>0</v>
      </c>
      <c r="BL26" s="866">
        <f>IFERROR(VLOOKUP(CONCATENATE(BL$3,$D26),'LCI - Simapro'!$A$2:$N$284,11,FALSE),0)</f>
        <v>0</v>
      </c>
      <c r="BM26" s="866">
        <f>IFERROR(VLOOKUP(CONCATENATE(BM$3,$D26),'LCI - Simapro'!$A$2:$N$284,11,FALSE),0)</f>
        <v>0</v>
      </c>
      <c r="BN26" s="866">
        <f>IFERROR(VLOOKUP(CONCATENATE(BN$3,$D26),'LCI - Simapro'!$A$2:$N$284,11,FALSE),0)</f>
        <v>0</v>
      </c>
      <c r="BO26" s="866">
        <f>IFERROR(VLOOKUP(CONCATENATE(BO$3,$D26),'LCI - Simapro'!$A$2:$N$284,11,FALSE),0)</f>
        <v>0</v>
      </c>
      <c r="BP26" s="866">
        <f>IFERROR(VLOOKUP(CONCATENATE(BP$3,$D26),'LCI - Simapro'!$A$2:$N$284,11,FALSE),0)</f>
        <v>0</v>
      </c>
      <c r="BQ26" s="866">
        <f>IFERROR(VLOOKUP(CONCATENATE(BQ$3,$D26),'LCI - Simapro'!$A$2:$N$284,11,FALSE),0)</f>
        <v>0</v>
      </c>
      <c r="BR26" s="866">
        <f>IFERROR(VLOOKUP(CONCATENATE(BR$3,$D26),'LCI - Simapro'!$A$2:$N$284,11,FALSE),0)</f>
        <v>0</v>
      </c>
      <c r="BS26" s="866">
        <f>IFERROR(VLOOKUP(CONCATENATE(BS$3,$D26),'LCI - Simapro'!$A$2:$N$284,11,FALSE),0)</f>
        <v>0</v>
      </c>
      <c r="BT26" s="866">
        <f>IFERROR(VLOOKUP(CONCATENATE(BT$3,$D26),'LCI - Simapro'!$A$2:$N$284,11,FALSE),0)</f>
        <v>0</v>
      </c>
      <c r="BU26" s="866">
        <f>IFERROR(VLOOKUP(CONCATENATE(BU$3,$D26),'LCI - Simapro'!$A$2:$N$284,11,FALSE),0)</f>
        <v>0</v>
      </c>
      <c r="BV26" s="866">
        <f>IFERROR(VLOOKUP(CONCATENATE(BV$3,$D26),'LCI - Simapro'!$A$2:$N$284,11,FALSE),0)</f>
        <v>0</v>
      </c>
      <c r="BW26" s="866">
        <f>IFERROR(VLOOKUP(CONCATENATE(BW$3,$D26),'LCI - Simapro'!$A$2:$N$284,11,FALSE),0)</f>
        <v>1</v>
      </c>
    </row>
    <row r="27" spans="1:75" ht="26.4" customHeight="1">
      <c r="A27" t="s">
        <v>5757</v>
      </c>
      <c r="B27" s="846">
        <v>48</v>
      </c>
      <c r="C27" s="903"/>
      <c r="D27" s="899" t="s">
        <v>514</v>
      </c>
      <c r="E27" s="387" t="s">
        <v>94</v>
      </c>
      <c r="F27" s="856">
        <f>VLOOKUP(F$3,'FE - Aluminum'!$E$11:$BF$54,$B27,FALSE)</f>
        <v>0</v>
      </c>
      <c r="G27" s="856">
        <f>VLOOKUP(G$3,'FE - Aluminum'!$E$11:$BF$54,$B27,FALSE)</f>
        <v>0</v>
      </c>
      <c r="H27" s="856">
        <f>VLOOKUP(H$3,'FE - Aluminum'!$E$11:$BF$54,$B27,FALSE)</f>
        <v>0</v>
      </c>
      <c r="I27" s="856">
        <f>VLOOKUP(I$3,'FE - Aluminum'!$E$11:$BF$54,$B27,FALSE)</f>
        <v>0</v>
      </c>
      <c r="J27" s="856">
        <f>VLOOKUP(J$3,'FE - Aluminum'!$E$11:$BF$54,$B27,FALSE)</f>
        <v>0</v>
      </c>
      <c r="K27" s="856">
        <f>VLOOKUP(K$3,'FE - Aluminum'!$E$11:$BF$54,$B27,FALSE)</f>
        <v>0</v>
      </c>
      <c r="L27" s="856">
        <f>VLOOKUP(L$3,'FE - Aluminum'!$E$11:$BF$54,$B27,FALSE)</f>
        <v>0</v>
      </c>
      <c r="M27" s="856">
        <f>VLOOKUP(M$3,'FE - Aluminum'!$E$11:$BF$54,$B27,FALSE)</f>
        <v>0</v>
      </c>
      <c r="N27" s="856">
        <f>VLOOKUP(N$3,'FE - Aluminum'!$E$11:$BF$54,$B27,FALSE)</f>
        <v>0</v>
      </c>
      <c r="O27" s="856">
        <f>VLOOKUP(O$3,'FE - Aluminum'!$E$11:$BF$54,$B27,FALSE)</f>
        <v>0</v>
      </c>
      <c r="P27" s="856">
        <f>VLOOKUP(P$3,'FE - Aluminum'!$E$11:$BF$54,$B27,FALSE)</f>
        <v>0</v>
      </c>
      <c r="Q27" s="856">
        <f>VLOOKUP(Q$3,'FE - Aluminum'!$E$11:$BF$54,$B27,FALSE)</f>
        <v>0</v>
      </c>
      <c r="R27" s="856">
        <f>VLOOKUP(R$3,'FE - Aluminum'!$E$11:$BF$54,$B27,FALSE)</f>
        <v>0</v>
      </c>
      <c r="S27" s="856">
        <f>VLOOKUP(S$3,'FE - Aluminum'!$E$11:$BF$54,$B27,FALSE)</f>
        <v>0</v>
      </c>
      <c r="T27" s="856">
        <f>VLOOKUP(T$3,'FE - Aluminum'!$E$11:$BF$54,$B27,FALSE)</f>
        <v>0</v>
      </c>
      <c r="U27" s="856">
        <f>VLOOKUP(U$3,'FE - Aluminum'!$E$11:$BF$54,$B27,FALSE)</f>
        <v>0</v>
      </c>
      <c r="V27" s="856">
        <f>VLOOKUP(V$3,'FE - Aluminum'!$E$11:$BF$54,$B27,FALSE)</f>
        <v>0</v>
      </c>
      <c r="W27" s="856">
        <f>VLOOKUP(W$3,'FE - Aluminum'!$E$11:$BF$54,$B27,FALSE)</f>
        <v>0</v>
      </c>
      <c r="X27" s="856">
        <f>VLOOKUP(X$3,'FE - Aluminum'!$E$11:$BF$54,$B27,FALSE)</f>
        <v>0</v>
      </c>
      <c r="Y27" s="856">
        <f>VLOOKUP(Y$3,'FE - Aluminum'!$E$11:$BF$54,$B27,FALSE)</f>
        <v>0</v>
      </c>
      <c r="Z27" s="856">
        <f>VLOOKUP(Z$3,'FE - Aluminum'!$E$11:$BF$54,$B27,FALSE)</f>
        <v>0</v>
      </c>
      <c r="AA27" s="856">
        <f>VLOOKUP(AA$3,'FE - Aluminum'!$E$11:$BF$54,$B27,FALSE)</f>
        <v>0</v>
      </c>
      <c r="AB27" s="856">
        <f>VLOOKUP(AB$3,'FE - Aluminum'!$E$11:$BF$54,$B27,FALSE)</f>
        <v>0</v>
      </c>
      <c r="AC27" s="856">
        <f>VLOOKUP(AC$3,'FE - Aluminum'!$E$11:$BF$54,$B27,FALSE)</f>
        <v>0</v>
      </c>
      <c r="AD27" s="856">
        <f>VLOOKUP(AD$3,'FE - Aluminum'!$E$11:$BF$54,$B27,FALSE)</f>
        <v>0</v>
      </c>
      <c r="AE27" s="856">
        <f>VLOOKUP(AE$3,'FE - Aluminum'!$E$11:$BF$54,$B27,FALSE)</f>
        <v>0</v>
      </c>
      <c r="AF27" s="856">
        <f>VLOOKUP(AF$3,'FE - Aluminum'!$E$11:$BF$54,$B27,FALSE)</f>
        <v>0</v>
      </c>
      <c r="AG27" s="856">
        <f>VLOOKUP(AG$3,'FE - Aluminum'!$E$11:$BF$54,$B27,FALSE)</f>
        <v>0</v>
      </c>
      <c r="AH27" s="856">
        <f>VLOOKUP(AH$3,'FE - Aluminum'!$E$11:$BF$54,$B27,FALSE)</f>
        <v>0</v>
      </c>
      <c r="AI27" s="856">
        <f>VLOOKUP(AI$3,'FE - Aluminum'!$E$11:$BF$54,$B27,FALSE)</f>
        <v>0</v>
      </c>
      <c r="AJ27" s="856">
        <f>VLOOKUP(AJ$3,'FE - Aluminum'!$E$11:$BF$54,$B27,FALSE)</f>
        <v>0</v>
      </c>
      <c r="AK27" s="856">
        <f>VLOOKUP(AK$3,'FE - Aluminum'!$E$11:$BF$54,$B27,FALSE)</f>
        <v>0</v>
      </c>
      <c r="AL27" s="856">
        <f>VLOOKUP(AL$3,'FE - Aluminum'!$E$11:$BF$54,$B27,FALSE)</f>
        <v>0</v>
      </c>
      <c r="AM27" s="856">
        <f>VLOOKUP(AM$3,'FE - Aluminum'!$E$11:$BF$54,$B27,FALSE)</f>
        <v>0</v>
      </c>
      <c r="AN27" s="856">
        <f>VLOOKUP(AN$3,'FE - Aluminum'!$E$11:$BF$54,$B27,FALSE)</f>
        <v>0</v>
      </c>
      <c r="AO27" s="856">
        <f>VLOOKUP(AO$3,'FE - Aluminum'!$E$11:$BF$54,$B27,FALSE)</f>
        <v>-1000</v>
      </c>
      <c r="AP27" s="856">
        <f>VLOOKUP(AP$3,'FE - Aluminum'!$E$11:$BF$54,$B27,FALSE)</f>
        <v>0</v>
      </c>
      <c r="AQ27" s="856">
        <f>VLOOKUP(AQ$3,'FE - Aluminum'!$E$11:$BF$54,$B27,FALSE)</f>
        <v>0</v>
      </c>
      <c r="AR27" s="880"/>
      <c r="AS27" s="879">
        <f t="shared" si="3"/>
        <v>0</v>
      </c>
      <c r="AT27" s="888"/>
      <c r="AU27" s="888">
        <f t="shared" si="4"/>
        <v>0</v>
      </c>
      <c r="AV27" s="888">
        <f t="shared" si="5"/>
        <v>0</v>
      </c>
      <c r="AW27" s="888">
        <f t="shared" si="6"/>
        <v>0</v>
      </c>
      <c r="AX27" s="888">
        <f t="shared" si="7"/>
        <v>0</v>
      </c>
      <c r="AY27" s="888">
        <f t="shared" si="8"/>
        <v>0</v>
      </c>
      <c r="AZ27" s="888">
        <f t="shared" si="9"/>
        <v>0</v>
      </c>
      <c r="BA27" s="888">
        <f t="shared" si="10"/>
        <v>0</v>
      </c>
      <c r="BB27" s="888">
        <f t="shared" si="11"/>
        <v>0</v>
      </c>
      <c r="BC27" s="888"/>
      <c r="BD27" s="888">
        <f t="shared" si="21"/>
        <v>0</v>
      </c>
      <c r="BE27" s="888"/>
      <c r="BF27" s="888">
        <f t="shared" si="12"/>
        <v>0</v>
      </c>
      <c r="BG27" s="888">
        <f t="shared" si="13"/>
        <v>0</v>
      </c>
      <c r="BH27" s="889"/>
      <c r="BI27" s="866">
        <f>IFERROR(VLOOKUP(CONCATENATE(BI$3,$D27),'LCI - Simapro'!$A$2:$N$284,11,FALSE),0)</f>
        <v>0</v>
      </c>
      <c r="BJ27" s="866">
        <f>IFERROR(VLOOKUP(CONCATENATE(BJ$3,$D27),'LCI - Simapro'!$A$2:$N$284,11,FALSE),0)</f>
        <v>0</v>
      </c>
      <c r="BK27" s="866">
        <f>IFERROR(VLOOKUP(CONCATENATE(BK$3,$D27),'LCI - Simapro'!$A$2:$N$284,11,FALSE),0)</f>
        <v>0</v>
      </c>
      <c r="BL27" s="866">
        <f>IFERROR(VLOOKUP(CONCATENATE(BL$3,$D27),'LCI - Simapro'!$A$2:$N$284,11,FALSE),0)</f>
        <v>0</v>
      </c>
      <c r="BM27" s="866">
        <f>IFERROR(VLOOKUP(CONCATENATE(BM$3,$D27),'LCI - Simapro'!$A$2:$N$284,11,FALSE),0)</f>
        <v>0</v>
      </c>
      <c r="BN27" s="866">
        <f>IFERROR(VLOOKUP(CONCATENATE(BN$3,$D27),'LCI - Simapro'!$A$2:$N$284,11,FALSE),0)</f>
        <v>0</v>
      </c>
      <c r="BO27" s="866">
        <f>IFERROR(VLOOKUP(CONCATENATE(BO$3,$D27),'LCI - Simapro'!$A$2:$N$284,11,FALSE),0)</f>
        <v>0</v>
      </c>
      <c r="BP27" s="866">
        <f>IFERROR(VLOOKUP(CONCATENATE(BP$3,$D27),'LCI - Simapro'!$A$2:$N$284,11,FALSE),0)</f>
        <v>0</v>
      </c>
      <c r="BQ27" s="866">
        <f>IFERROR(VLOOKUP(CONCATENATE(BQ$3,$D27),'LCI - Simapro'!$A$2:$N$284,11,FALSE),0)</f>
        <v>0</v>
      </c>
      <c r="BR27" s="866">
        <f>IFERROR(VLOOKUP(CONCATENATE(BR$3,$D27),'LCI - Simapro'!$A$2:$N$284,11,FALSE),0)</f>
        <v>0</v>
      </c>
      <c r="BS27" s="866">
        <f>IFERROR(VLOOKUP(CONCATENATE(BS$3,$D27),'LCI - Simapro'!$A$2:$N$284,11,FALSE),0)</f>
        <v>0</v>
      </c>
      <c r="BT27" s="866">
        <f>IFERROR(VLOOKUP(CONCATENATE(BT$3,$D27),'LCI - Simapro'!$A$2:$N$284,11,FALSE),0)</f>
        <v>0</v>
      </c>
      <c r="BU27" s="866">
        <f>IFERROR(VLOOKUP(CONCATENATE(BU$3,$D27),'LCI - Simapro'!$A$2:$N$284,11,FALSE),0)</f>
        <v>0</v>
      </c>
      <c r="BV27" s="866">
        <f>IFERROR(VLOOKUP(CONCATENATE(BV$3,$D27),'LCI - Simapro'!$A$2:$N$284,11,FALSE),0)</f>
        <v>0</v>
      </c>
      <c r="BW27" s="866">
        <f>IFERROR(VLOOKUP(CONCATENATE(BW$3,$D27),'LCI - Simapro'!$A$2:$N$284,11,FALSE),0)</f>
        <v>0</v>
      </c>
    </row>
    <row r="28" spans="1:75" ht="26.4" customHeight="1">
      <c r="A28" t="s">
        <v>5760</v>
      </c>
      <c r="B28" s="846">
        <v>49</v>
      </c>
      <c r="C28" s="904"/>
      <c r="D28" s="901" t="s">
        <v>117</v>
      </c>
      <c r="E28" s="387" t="s">
        <v>94</v>
      </c>
      <c r="F28" s="856">
        <f>VLOOKUP(F$3,'FE - Aluminum'!$E$11:$BF$54,$B28,FALSE)</f>
        <v>0</v>
      </c>
      <c r="G28" s="856">
        <f>VLOOKUP(G$3,'FE - Aluminum'!$E$11:$BF$54,$B28,FALSE)</f>
        <v>0</v>
      </c>
      <c r="H28" s="856">
        <f>VLOOKUP(H$3,'FE - Aluminum'!$E$11:$BF$54,$B28,FALSE)</f>
        <v>0</v>
      </c>
      <c r="I28" s="856">
        <f>VLOOKUP(I$3,'FE - Aluminum'!$E$11:$BF$54,$B28,FALSE)</f>
        <v>0</v>
      </c>
      <c r="J28" s="856">
        <f>VLOOKUP(J$3,'FE - Aluminum'!$E$11:$BF$54,$B28,FALSE)</f>
        <v>0</v>
      </c>
      <c r="K28" s="856">
        <f>VLOOKUP(K$3,'FE - Aluminum'!$E$11:$BF$54,$B28,FALSE)</f>
        <v>0</v>
      </c>
      <c r="L28" s="856">
        <f>VLOOKUP(L$3,'FE - Aluminum'!$E$11:$BF$54,$B28,FALSE)</f>
        <v>0</v>
      </c>
      <c r="M28" s="856">
        <f>VLOOKUP(M$3,'FE - Aluminum'!$E$11:$BF$54,$B28,FALSE)</f>
        <v>0</v>
      </c>
      <c r="N28" s="856">
        <f>VLOOKUP(N$3,'FE - Aluminum'!$E$11:$BF$54,$B28,FALSE)</f>
        <v>0</v>
      </c>
      <c r="O28" s="856">
        <f>VLOOKUP(O$3,'FE - Aluminum'!$E$11:$BF$54,$B28,FALSE)</f>
        <v>0</v>
      </c>
      <c r="P28" s="856">
        <f>VLOOKUP(P$3,'FE - Aluminum'!$E$11:$BF$54,$B28,FALSE)</f>
        <v>-514.2487074966175</v>
      </c>
      <c r="Q28" s="856">
        <f>VLOOKUP(Q$3,'FE - Aluminum'!$E$11:$BF$54,$B28,FALSE)</f>
        <v>0</v>
      </c>
      <c r="R28" s="856">
        <f>VLOOKUP(R$3,'FE - Aluminum'!$E$11:$BF$54,$B28,FALSE)</f>
        <v>0</v>
      </c>
      <c r="S28" s="856">
        <f>VLOOKUP(S$3,'FE - Aluminum'!$E$11:$BF$54,$B28,FALSE)</f>
        <v>0</v>
      </c>
      <c r="T28" s="856">
        <f>VLOOKUP(T$3,'FE - Aluminum'!$E$11:$BF$54,$B28,FALSE)</f>
        <v>0</v>
      </c>
      <c r="U28" s="856">
        <f>VLOOKUP(U$3,'FE - Aluminum'!$E$11:$BF$54,$B28,FALSE)</f>
        <v>0</v>
      </c>
      <c r="V28" s="856">
        <f>VLOOKUP(V$3,'FE - Aluminum'!$E$11:$BF$54,$B28,FALSE)</f>
        <v>0</v>
      </c>
      <c r="W28" s="856">
        <f>VLOOKUP(W$3,'FE - Aluminum'!$E$11:$BF$54,$B28,FALSE)</f>
        <v>0</v>
      </c>
      <c r="X28" s="856">
        <f>VLOOKUP(X$3,'FE - Aluminum'!$E$11:$BF$54,$B28,FALSE)</f>
        <v>0</v>
      </c>
      <c r="Y28" s="856">
        <f>VLOOKUP(Y$3,'FE - Aluminum'!$E$11:$BF$54,$B28,FALSE)</f>
        <v>0</v>
      </c>
      <c r="Z28" s="856">
        <f>VLOOKUP(Z$3,'FE - Aluminum'!$E$11:$BF$54,$B28,FALSE)</f>
        <v>0</v>
      </c>
      <c r="AA28" s="856">
        <f>VLOOKUP(AA$3,'FE - Aluminum'!$E$11:$BF$54,$B28,FALSE)</f>
        <v>0</v>
      </c>
      <c r="AB28" s="856">
        <f>VLOOKUP(AB$3,'FE - Aluminum'!$E$11:$BF$54,$B28,FALSE)</f>
        <v>0</v>
      </c>
      <c r="AC28" s="856">
        <f>VLOOKUP(AC$3,'FE - Aluminum'!$E$11:$BF$54,$B28,FALSE)</f>
        <v>0</v>
      </c>
      <c r="AD28" s="856">
        <f>VLOOKUP(AD$3,'FE - Aluminum'!$E$11:$BF$54,$B28,FALSE)</f>
        <v>0</v>
      </c>
      <c r="AE28" s="856">
        <f>VLOOKUP(AE$3,'FE - Aluminum'!$E$11:$BF$54,$B28,FALSE)</f>
        <v>0</v>
      </c>
      <c r="AF28" s="856">
        <f>VLOOKUP(AF$3,'FE - Aluminum'!$E$11:$BF$54,$B28,FALSE)</f>
        <v>0</v>
      </c>
      <c r="AG28" s="856">
        <f>VLOOKUP(AG$3,'FE - Aluminum'!$E$11:$BF$54,$B28,FALSE)</f>
        <v>0</v>
      </c>
      <c r="AH28" s="856">
        <f>VLOOKUP(AH$3,'FE - Aluminum'!$E$11:$BF$54,$B28,FALSE)</f>
        <v>0</v>
      </c>
      <c r="AI28" s="856">
        <f>VLOOKUP(AI$3,'FE - Aluminum'!$E$11:$BF$54,$B28,FALSE)</f>
        <v>0</v>
      </c>
      <c r="AJ28" s="856">
        <f>VLOOKUP(AJ$3,'FE - Aluminum'!$E$11:$BF$54,$B28,FALSE)</f>
        <v>0</v>
      </c>
      <c r="AK28" s="856">
        <f>VLOOKUP(AK$3,'FE - Aluminum'!$E$11:$BF$54,$B28,FALSE)</f>
        <v>0</v>
      </c>
      <c r="AL28" s="856">
        <f>VLOOKUP(AL$3,'FE - Aluminum'!$E$11:$BF$54,$B28,FALSE)</f>
        <v>0</v>
      </c>
      <c r="AM28" s="856">
        <f>VLOOKUP(AM$3,'FE - Aluminum'!$E$11:$BF$54,$B28,FALSE)</f>
        <v>0</v>
      </c>
      <c r="AN28" s="856">
        <f>VLOOKUP(AN$3,'FE - Aluminum'!$E$11:$BF$54,$B28,FALSE)</f>
        <v>0</v>
      </c>
      <c r="AO28" s="856">
        <f>VLOOKUP(AO$3,'FE - Aluminum'!$E$11:$BF$54,$B28,FALSE)</f>
        <v>0</v>
      </c>
      <c r="AP28" s="856">
        <f>VLOOKUP(AP$3,'FE - Aluminum'!$E$11:$BF$54,$B28,FALSE)</f>
        <v>0</v>
      </c>
      <c r="AQ28" s="856">
        <f>VLOOKUP(AQ$3,'FE - Aluminum'!$E$11:$BF$54,$B28,FALSE)</f>
        <v>0</v>
      </c>
      <c r="AR28" s="880"/>
      <c r="AS28" s="879">
        <f t="shared" si="3"/>
        <v>0</v>
      </c>
      <c r="AT28" s="888"/>
      <c r="AU28" s="888">
        <f t="shared" si="4"/>
        <v>-514.2487074966175</v>
      </c>
      <c r="AV28" s="888">
        <f t="shared" si="5"/>
        <v>0</v>
      </c>
      <c r="AW28" s="888">
        <f t="shared" si="6"/>
        <v>0</v>
      </c>
      <c r="AX28" s="888">
        <f t="shared" si="7"/>
        <v>0</v>
      </c>
      <c r="AY28" s="888">
        <f t="shared" si="8"/>
        <v>0</v>
      </c>
      <c r="AZ28" s="888">
        <f t="shared" si="9"/>
        <v>0</v>
      </c>
      <c r="BA28" s="888">
        <f t="shared" si="10"/>
        <v>0</v>
      </c>
      <c r="BB28" s="888">
        <f t="shared" si="11"/>
        <v>0</v>
      </c>
      <c r="BC28" s="888"/>
      <c r="BD28" s="888">
        <f t="shared" si="21"/>
        <v>0</v>
      </c>
      <c r="BE28" s="888"/>
      <c r="BF28" s="888">
        <f t="shared" si="12"/>
        <v>0</v>
      </c>
      <c r="BG28" s="888">
        <f t="shared" si="13"/>
        <v>0</v>
      </c>
      <c r="BH28" s="889"/>
      <c r="BI28" s="866">
        <f>IFERROR(VLOOKUP(CONCATENATE(BI$3,$D28),'LCI - Simapro'!$A$2:$N$284,11,FALSE),0)</f>
        <v>0</v>
      </c>
      <c r="BJ28" s="866">
        <f>IFERROR(VLOOKUP(CONCATENATE(BJ$3,$D28),'LCI - Simapro'!$A$2:$N$284,11,FALSE),0)</f>
        <v>0</v>
      </c>
      <c r="BK28" s="866">
        <f>IFERROR(VLOOKUP(CONCATENATE(BK$3,$D28),'LCI - Simapro'!$A$2:$N$284,11,FALSE),0)</f>
        <v>0.48099999999999998</v>
      </c>
      <c r="BL28" s="866">
        <f>IFERROR(VLOOKUP(CONCATENATE(BL$3,$D28),'LCI - Simapro'!$A$2:$N$284,11,FALSE),0)</f>
        <v>0</v>
      </c>
      <c r="BM28" s="866">
        <f>IFERROR(VLOOKUP(CONCATENATE(BM$3,$D28),'LCI - Simapro'!$A$2:$N$284,11,FALSE),0)</f>
        <v>0</v>
      </c>
      <c r="BN28" s="866">
        <f>IFERROR(VLOOKUP(CONCATENATE(BN$3,$D28),'LCI - Simapro'!$A$2:$N$284,11,FALSE),0)</f>
        <v>0</v>
      </c>
      <c r="BO28" s="866">
        <f>IFERROR(VLOOKUP(CONCATENATE(BO$3,$D28),'LCI - Simapro'!$A$2:$N$284,11,FALSE),0)</f>
        <v>0</v>
      </c>
      <c r="BP28" s="866">
        <f>IFERROR(VLOOKUP(CONCATENATE(BP$3,$D28),'LCI - Simapro'!$A$2:$N$284,11,FALSE),0)</f>
        <v>0</v>
      </c>
      <c r="BQ28" s="866">
        <f>IFERROR(VLOOKUP(CONCATENATE(BQ$3,$D28),'LCI - Simapro'!$A$2:$N$284,11,FALSE),0)</f>
        <v>0</v>
      </c>
      <c r="BR28" s="866">
        <f>IFERROR(VLOOKUP(CONCATENATE(BR$3,$D28),'LCI - Simapro'!$A$2:$N$284,11,FALSE),0)</f>
        <v>0</v>
      </c>
      <c r="BS28" s="866">
        <f>IFERROR(VLOOKUP(CONCATENATE(BS$3,$D28),'LCI - Simapro'!$A$2:$N$284,11,FALSE),0)</f>
        <v>0</v>
      </c>
      <c r="BT28" s="866">
        <f>IFERROR(VLOOKUP(CONCATENATE(BT$3,$D28),'LCI - Simapro'!$A$2:$N$284,11,FALSE),0)</f>
        <v>0</v>
      </c>
      <c r="BU28" s="866">
        <f>IFERROR(VLOOKUP(CONCATENATE(BU$3,$D28),'LCI - Simapro'!$A$2:$N$284,11,FALSE),0)</f>
        <v>0</v>
      </c>
      <c r="BV28" s="866">
        <f>IFERROR(VLOOKUP(CONCATENATE(BV$3,$D28),'LCI - Simapro'!$A$2:$N$284,11,FALSE),0)</f>
        <v>0</v>
      </c>
      <c r="BW28" s="866">
        <f>IFERROR(VLOOKUP(CONCATENATE(BW$3,$D28),'LCI - Simapro'!$A$2:$N$284,11,FALSE),0)</f>
        <v>0</v>
      </c>
    </row>
    <row r="29" spans="1:75" ht="26.4" customHeight="1">
      <c r="A29" t="s">
        <v>5763</v>
      </c>
      <c r="B29" s="846">
        <v>50</v>
      </c>
      <c r="C29" s="904"/>
      <c r="D29" s="901" t="s">
        <v>3</v>
      </c>
      <c r="E29" s="865" t="s">
        <v>94</v>
      </c>
      <c r="F29" s="856">
        <f>VLOOKUP(F$3,'FE - Aluminum'!$E$11:$BF$54,$B29,FALSE)</f>
        <v>0</v>
      </c>
      <c r="G29" s="856">
        <f>VLOOKUP(G$3,'FE - Aluminum'!$E$11:$BF$54,$B29,FALSE)</f>
        <v>0</v>
      </c>
      <c r="H29" s="856">
        <f>VLOOKUP(H$3,'FE - Aluminum'!$E$11:$BF$54,$B29,FALSE)</f>
        <v>0</v>
      </c>
      <c r="I29" s="856">
        <f>VLOOKUP(I$3,'FE - Aluminum'!$E$11:$BF$54,$B29,FALSE)</f>
        <v>0</v>
      </c>
      <c r="J29" s="856">
        <f>VLOOKUP(J$3,'FE - Aluminum'!$E$11:$BF$54,$B29,FALSE)</f>
        <v>0</v>
      </c>
      <c r="K29" s="856">
        <f>VLOOKUP(K$3,'FE - Aluminum'!$E$11:$BF$54,$B29,FALSE)</f>
        <v>0</v>
      </c>
      <c r="L29" s="856">
        <f>VLOOKUP(L$3,'FE - Aluminum'!$E$11:$BF$54,$B29,FALSE)</f>
        <v>0</v>
      </c>
      <c r="M29" s="856">
        <f>VLOOKUP(M$3,'FE - Aluminum'!$E$11:$BF$54,$B29,FALSE)</f>
        <v>0</v>
      </c>
      <c r="N29" s="856">
        <f>VLOOKUP(N$3,'FE - Aluminum'!$E$11:$BF$54,$B29,FALSE)</f>
        <v>0</v>
      </c>
      <c r="O29" s="856">
        <f>VLOOKUP(O$3,'FE - Aluminum'!$E$11:$BF$54,$B29,FALSE)</f>
        <v>0</v>
      </c>
      <c r="P29" s="856">
        <f>VLOOKUP(P$3,'FE - Aluminum'!$E$11:$BF$54,$B29,FALSE)</f>
        <v>0</v>
      </c>
      <c r="Q29" s="856">
        <f>VLOOKUP(Q$3,'FE - Aluminum'!$E$11:$BF$54,$B29,FALSE)</f>
        <v>0</v>
      </c>
      <c r="R29" s="856">
        <f>VLOOKUP(R$3,'FE - Aluminum'!$E$11:$BF$54,$B29,FALSE)</f>
        <v>0</v>
      </c>
      <c r="S29" s="856">
        <f>VLOOKUP(S$3,'FE - Aluminum'!$E$11:$BF$54,$B29,FALSE)</f>
        <v>0</v>
      </c>
      <c r="T29" s="856">
        <f>VLOOKUP(T$3,'FE - Aluminum'!$E$11:$BF$54,$B29,FALSE)</f>
        <v>-587.02906200000007</v>
      </c>
      <c r="U29" s="856">
        <f>VLOOKUP(U$3,'FE - Aluminum'!$E$11:$BF$54,$B29,FALSE)</f>
        <v>-283.93393800000001</v>
      </c>
      <c r="V29" s="856">
        <f>VLOOKUP(V$3,'FE - Aluminum'!$E$11:$BF$54,$B29,FALSE)</f>
        <v>0</v>
      </c>
      <c r="W29" s="856">
        <f>VLOOKUP(W$3,'FE - Aluminum'!$E$11:$BF$54,$B29,FALSE)</f>
        <v>0</v>
      </c>
      <c r="X29" s="856">
        <f>VLOOKUP(X$3,'FE - Aluminum'!$E$11:$BF$54,$B29,FALSE)</f>
        <v>0</v>
      </c>
      <c r="Y29" s="856">
        <f>VLOOKUP(Y$3,'FE - Aluminum'!$E$11:$BF$54,$B29,FALSE)</f>
        <v>0</v>
      </c>
      <c r="Z29" s="856">
        <f>VLOOKUP(Z$3,'FE - Aluminum'!$E$11:$BF$54,$B29,FALSE)</f>
        <v>0</v>
      </c>
      <c r="AA29" s="856">
        <f>VLOOKUP(AA$3,'FE - Aluminum'!$E$11:$BF$54,$B29,FALSE)</f>
        <v>0</v>
      </c>
      <c r="AB29" s="856">
        <f>VLOOKUP(AB$3,'FE - Aluminum'!$E$11:$BF$54,$B29,FALSE)</f>
        <v>0</v>
      </c>
      <c r="AC29" s="856">
        <f>VLOOKUP(AC$3,'FE - Aluminum'!$E$11:$BF$54,$B29,FALSE)</f>
        <v>0</v>
      </c>
      <c r="AD29" s="856">
        <f>VLOOKUP(AD$3,'FE - Aluminum'!$E$11:$BF$54,$B29,FALSE)</f>
        <v>0</v>
      </c>
      <c r="AE29" s="856">
        <f>VLOOKUP(AE$3,'FE - Aluminum'!$E$11:$BF$54,$B29,FALSE)</f>
        <v>0</v>
      </c>
      <c r="AF29" s="856">
        <f>VLOOKUP(AF$3,'FE - Aluminum'!$E$11:$BF$54,$B29,FALSE)</f>
        <v>0</v>
      </c>
      <c r="AG29" s="856">
        <f>VLOOKUP(AG$3,'FE - Aluminum'!$E$11:$BF$54,$B29,FALSE)</f>
        <v>0</v>
      </c>
      <c r="AH29" s="856">
        <f>VLOOKUP(AH$3,'FE - Aluminum'!$E$11:$BF$54,$B29,FALSE)</f>
        <v>0</v>
      </c>
      <c r="AI29" s="856">
        <f>VLOOKUP(AI$3,'FE - Aluminum'!$E$11:$BF$54,$B29,FALSE)</f>
        <v>0</v>
      </c>
      <c r="AJ29" s="856">
        <f>VLOOKUP(AJ$3,'FE - Aluminum'!$E$11:$BF$54,$B29,FALSE)</f>
        <v>0</v>
      </c>
      <c r="AK29" s="856">
        <f>VLOOKUP(AK$3,'FE - Aluminum'!$E$11:$BF$54,$B29,FALSE)</f>
        <v>0</v>
      </c>
      <c r="AL29" s="856">
        <f>VLOOKUP(AL$3,'FE - Aluminum'!$E$11:$BF$54,$B29,FALSE)</f>
        <v>0</v>
      </c>
      <c r="AM29" s="856">
        <f>VLOOKUP(AM$3,'FE - Aluminum'!$E$11:$BF$54,$B29,FALSE)</f>
        <v>0</v>
      </c>
      <c r="AN29" s="856">
        <f>VLOOKUP(AN$3,'FE - Aluminum'!$E$11:$BF$54,$B29,FALSE)</f>
        <v>0</v>
      </c>
      <c r="AO29" s="856">
        <f>VLOOKUP(AO$3,'FE - Aluminum'!$E$11:$BF$54,$B29,FALSE)</f>
        <v>0</v>
      </c>
      <c r="AP29" s="856">
        <f>VLOOKUP(AP$3,'FE - Aluminum'!$E$11:$BF$54,$B29,FALSE)</f>
        <v>0</v>
      </c>
      <c r="AQ29" s="856">
        <f>VLOOKUP(AQ$3,'FE - Aluminum'!$E$11:$BF$54,$B29,FALSE)</f>
        <v>0</v>
      </c>
      <c r="AR29" s="880"/>
      <c r="AS29" s="879">
        <f t="shared" si="3"/>
        <v>0</v>
      </c>
      <c r="AT29" s="888"/>
      <c r="AU29" s="888">
        <f t="shared" si="4"/>
        <v>0</v>
      </c>
      <c r="AV29" s="888">
        <f t="shared" si="5"/>
        <v>0</v>
      </c>
      <c r="AW29" s="888">
        <f t="shared" si="6"/>
        <v>-283.93393800000001</v>
      </c>
      <c r="AX29" s="888">
        <f t="shared" si="7"/>
        <v>-587.02906200000007</v>
      </c>
      <c r="AY29" s="888">
        <f t="shared" si="8"/>
        <v>0</v>
      </c>
      <c r="AZ29" s="888">
        <f t="shared" si="9"/>
        <v>0</v>
      </c>
      <c r="BA29" s="888">
        <f t="shared" si="10"/>
        <v>0</v>
      </c>
      <c r="BB29" s="888">
        <f t="shared" si="11"/>
        <v>0</v>
      </c>
      <c r="BC29" s="888"/>
      <c r="BD29" s="888">
        <f t="shared" si="21"/>
        <v>0</v>
      </c>
      <c r="BE29" s="888"/>
      <c r="BF29" s="888">
        <f t="shared" si="12"/>
        <v>0</v>
      </c>
      <c r="BG29" s="888">
        <f t="shared" si="13"/>
        <v>0</v>
      </c>
      <c r="BH29" s="889"/>
      <c r="BI29" s="866">
        <f>IFERROR(VLOOKUP(CONCATENATE(BI$3,$D29),'LCI - Simapro'!$A$2:$N$284,11,FALSE),0)</f>
        <v>0</v>
      </c>
      <c r="BJ29" s="866">
        <f>IFERROR(VLOOKUP(CONCATENATE(BJ$3,$D29),'LCI - Simapro'!$A$2:$N$284,11,FALSE),0)</f>
        <v>0</v>
      </c>
      <c r="BK29" s="866">
        <f>IFERROR(VLOOKUP(CONCATENATE(BK$3,$D29),'LCI - Simapro'!$A$2:$N$284,11,FALSE),0)</f>
        <v>0</v>
      </c>
      <c r="BL29" s="866">
        <f>IFERROR(VLOOKUP(CONCATENATE(BL$3,$D29),'LCI - Simapro'!$A$2:$N$284,11,FALSE),0)</f>
        <v>0</v>
      </c>
      <c r="BM29" s="866">
        <f>IFERROR(VLOOKUP(CONCATENATE(BM$3,$D29),'LCI - Simapro'!$A$2:$N$284,11,FALSE),0)</f>
        <v>1.4964999999999999</v>
      </c>
      <c r="BN29" s="866">
        <f>IFERROR(VLOOKUP(CONCATENATE(BN$3,$D29),'LCI - Simapro'!$A$2:$N$284,11,FALSE),0)</f>
        <v>1.4964999999999999</v>
      </c>
      <c r="BO29" s="866">
        <f>IFERROR(VLOOKUP(CONCATENATE(BO$3,$D29),'LCI - Simapro'!$A$2:$N$284,11,FALSE),0)</f>
        <v>0</v>
      </c>
      <c r="BP29" s="866">
        <f>IFERROR(VLOOKUP(CONCATENATE(BP$3,$D29),'LCI - Simapro'!$A$2:$N$284,11,FALSE),0)</f>
        <v>0</v>
      </c>
      <c r="BQ29" s="866">
        <f>IFERROR(VLOOKUP(CONCATENATE(BQ$3,$D29),'LCI - Simapro'!$A$2:$N$284,11,FALSE),0)</f>
        <v>0</v>
      </c>
      <c r="BR29" s="866">
        <f>IFERROR(VLOOKUP(CONCATENATE(BR$3,$D29),'LCI - Simapro'!$A$2:$N$284,11,FALSE),0)</f>
        <v>0</v>
      </c>
      <c r="BS29" s="866">
        <f>IFERROR(VLOOKUP(CONCATENATE(BS$3,$D29),'LCI - Simapro'!$A$2:$N$284,11,FALSE),0)</f>
        <v>0</v>
      </c>
      <c r="BT29" s="866">
        <f>IFERROR(VLOOKUP(CONCATENATE(BT$3,$D29),'LCI - Simapro'!$A$2:$N$284,11,FALSE),0)</f>
        <v>0</v>
      </c>
      <c r="BU29" s="866">
        <f>IFERROR(VLOOKUP(CONCATENATE(BU$3,$D29),'LCI - Simapro'!$A$2:$N$284,11,FALSE),0)</f>
        <v>0</v>
      </c>
      <c r="BV29" s="866">
        <f>IFERROR(VLOOKUP(CONCATENATE(BV$3,$D29),'LCI - Simapro'!$A$2:$N$284,11,FALSE),0)</f>
        <v>0</v>
      </c>
      <c r="BW29" s="866">
        <f>IFERROR(VLOOKUP(CONCATENATE(BW$3,$D29),'LCI - Simapro'!$A$2:$N$284,11,FALSE),0)</f>
        <v>0</v>
      </c>
    </row>
    <row r="30" spans="1:75" ht="26.4" customHeight="1">
      <c r="A30" t="s">
        <v>5763</v>
      </c>
      <c r="B30" s="846">
        <v>51</v>
      </c>
      <c r="C30" s="904"/>
      <c r="D30" s="901" t="s">
        <v>4</v>
      </c>
      <c r="E30" s="865" t="s">
        <v>94</v>
      </c>
      <c r="F30" s="856">
        <f>VLOOKUP(F$3,'FE - Aluminum'!$E$11:$BF$54,$B30,FALSE)</f>
        <v>0</v>
      </c>
      <c r="G30" s="856">
        <f>VLOOKUP(G$3,'FE - Aluminum'!$E$11:$BF$54,$B30,FALSE)</f>
        <v>0</v>
      </c>
      <c r="H30" s="856">
        <f>VLOOKUP(H$3,'FE - Aluminum'!$E$11:$BF$54,$B30,FALSE)</f>
        <v>0</v>
      </c>
      <c r="I30" s="856">
        <f>VLOOKUP(I$3,'FE - Aluminum'!$E$11:$BF$54,$B30,FALSE)</f>
        <v>0</v>
      </c>
      <c r="J30" s="856">
        <f>VLOOKUP(J$3,'FE - Aluminum'!$E$11:$BF$54,$B30,FALSE)</f>
        <v>0</v>
      </c>
      <c r="K30" s="856">
        <f>VLOOKUP(K$3,'FE - Aluminum'!$E$11:$BF$54,$B30,FALSE)</f>
        <v>0</v>
      </c>
      <c r="L30" s="856">
        <f>VLOOKUP(L$3,'FE - Aluminum'!$E$11:$BF$54,$B30,FALSE)</f>
        <v>0</v>
      </c>
      <c r="M30" s="856">
        <f>VLOOKUP(M$3,'FE - Aluminum'!$E$11:$BF$54,$B30,FALSE)</f>
        <v>0</v>
      </c>
      <c r="N30" s="856">
        <f>VLOOKUP(N$3,'FE - Aluminum'!$E$11:$BF$54,$B30,FALSE)</f>
        <v>0</v>
      </c>
      <c r="O30" s="856">
        <f>VLOOKUP(O$3,'FE - Aluminum'!$E$11:$BF$54,$B30,FALSE)</f>
        <v>0</v>
      </c>
      <c r="P30" s="856">
        <f>VLOOKUP(P$3,'FE - Aluminum'!$E$11:$BF$54,$B30,FALSE)</f>
        <v>0</v>
      </c>
      <c r="Q30" s="856">
        <f>VLOOKUP(Q$3,'FE - Aluminum'!$E$11:$BF$54,$B30,FALSE)</f>
        <v>0</v>
      </c>
      <c r="R30" s="856">
        <f>VLOOKUP(R$3,'FE - Aluminum'!$E$11:$BF$54,$B30,FALSE)</f>
        <v>0</v>
      </c>
      <c r="S30" s="856">
        <f>VLOOKUP(S$3,'FE - Aluminum'!$E$11:$BF$54,$B30,FALSE)</f>
        <v>0</v>
      </c>
      <c r="T30" s="856">
        <f>VLOOKUP(T$3,'FE - Aluminum'!$E$11:$BF$54,$B30,FALSE)</f>
        <v>-35.974898280000005</v>
      </c>
      <c r="U30" s="856">
        <f>VLOOKUP(U$3,'FE - Aluminum'!$E$11:$BF$54,$B30,FALSE)</f>
        <v>-17.400321720000001</v>
      </c>
      <c r="V30" s="856">
        <f>VLOOKUP(V$3,'FE - Aluminum'!$E$11:$BF$54,$B30,FALSE)</f>
        <v>0</v>
      </c>
      <c r="W30" s="856">
        <f>VLOOKUP(W$3,'FE - Aluminum'!$E$11:$BF$54,$B30,FALSE)</f>
        <v>0</v>
      </c>
      <c r="X30" s="856">
        <f>VLOOKUP(X$3,'FE - Aluminum'!$E$11:$BF$54,$B30,FALSE)</f>
        <v>0</v>
      </c>
      <c r="Y30" s="856">
        <f>VLOOKUP(Y$3,'FE - Aluminum'!$E$11:$BF$54,$B30,FALSE)</f>
        <v>0</v>
      </c>
      <c r="Z30" s="856">
        <f>VLOOKUP(Z$3,'FE - Aluminum'!$E$11:$BF$54,$B30,FALSE)</f>
        <v>0</v>
      </c>
      <c r="AA30" s="856">
        <f>VLOOKUP(AA$3,'FE - Aluminum'!$E$11:$BF$54,$B30,FALSE)</f>
        <v>0</v>
      </c>
      <c r="AB30" s="856">
        <f>VLOOKUP(AB$3,'FE - Aluminum'!$E$11:$BF$54,$B30,FALSE)</f>
        <v>0</v>
      </c>
      <c r="AC30" s="856">
        <f>VLOOKUP(AC$3,'FE - Aluminum'!$E$11:$BF$54,$B30,FALSE)</f>
        <v>0</v>
      </c>
      <c r="AD30" s="856">
        <f>VLOOKUP(AD$3,'FE - Aluminum'!$E$11:$BF$54,$B30,FALSE)</f>
        <v>0</v>
      </c>
      <c r="AE30" s="856">
        <f>VLOOKUP(AE$3,'FE - Aluminum'!$E$11:$BF$54,$B30,FALSE)</f>
        <v>0</v>
      </c>
      <c r="AF30" s="856">
        <f>VLOOKUP(AF$3,'FE - Aluminum'!$E$11:$BF$54,$B30,FALSE)</f>
        <v>0</v>
      </c>
      <c r="AG30" s="856">
        <f>VLOOKUP(AG$3,'FE - Aluminum'!$E$11:$BF$54,$B30,FALSE)</f>
        <v>0</v>
      </c>
      <c r="AH30" s="856">
        <f>VLOOKUP(AH$3,'FE - Aluminum'!$E$11:$BF$54,$B30,FALSE)</f>
        <v>0</v>
      </c>
      <c r="AI30" s="856">
        <f>VLOOKUP(AI$3,'FE - Aluminum'!$E$11:$BF$54,$B30,FALSE)</f>
        <v>0</v>
      </c>
      <c r="AJ30" s="856">
        <f>VLOOKUP(AJ$3,'FE - Aluminum'!$E$11:$BF$54,$B30,FALSE)</f>
        <v>0</v>
      </c>
      <c r="AK30" s="856">
        <f>VLOOKUP(AK$3,'FE - Aluminum'!$E$11:$BF$54,$B30,FALSE)</f>
        <v>0</v>
      </c>
      <c r="AL30" s="856">
        <f>VLOOKUP(AL$3,'FE - Aluminum'!$E$11:$BF$54,$B30,FALSE)</f>
        <v>0</v>
      </c>
      <c r="AM30" s="856">
        <f>VLOOKUP(AM$3,'FE - Aluminum'!$E$11:$BF$54,$B30,FALSE)</f>
        <v>0</v>
      </c>
      <c r="AN30" s="856">
        <f>VLOOKUP(AN$3,'FE - Aluminum'!$E$11:$BF$54,$B30,FALSE)</f>
        <v>0</v>
      </c>
      <c r="AO30" s="856">
        <f>VLOOKUP(AO$3,'FE - Aluminum'!$E$11:$BF$54,$B30,FALSE)</f>
        <v>0</v>
      </c>
      <c r="AP30" s="856">
        <f>VLOOKUP(AP$3,'FE - Aluminum'!$E$11:$BF$54,$B30,FALSE)</f>
        <v>0</v>
      </c>
      <c r="AQ30" s="856">
        <f>VLOOKUP(AQ$3,'FE - Aluminum'!$E$11:$BF$54,$B30,FALSE)</f>
        <v>0</v>
      </c>
      <c r="AR30" s="880"/>
      <c r="AS30" s="879">
        <f t="shared" si="3"/>
        <v>0</v>
      </c>
      <c r="AT30" s="888"/>
      <c r="AU30" s="888">
        <f t="shared" si="4"/>
        <v>0</v>
      </c>
      <c r="AV30" s="888">
        <f t="shared" si="5"/>
        <v>0</v>
      </c>
      <c r="AW30" s="888">
        <f t="shared" si="6"/>
        <v>-17.400321720000001</v>
      </c>
      <c r="AX30" s="888">
        <f t="shared" si="7"/>
        <v>-35.974898280000005</v>
      </c>
      <c r="AY30" s="888">
        <f t="shared" si="8"/>
        <v>0</v>
      </c>
      <c r="AZ30" s="888">
        <f t="shared" si="9"/>
        <v>0</v>
      </c>
      <c r="BA30" s="888">
        <f t="shared" si="10"/>
        <v>0</v>
      </c>
      <c r="BB30" s="888">
        <f t="shared" si="11"/>
        <v>0</v>
      </c>
      <c r="BC30" s="888"/>
      <c r="BD30" s="888">
        <f t="shared" si="21"/>
        <v>0</v>
      </c>
      <c r="BE30" s="888"/>
      <c r="BF30" s="888">
        <f t="shared" si="12"/>
        <v>0</v>
      </c>
      <c r="BG30" s="888">
        <f t="shared" si="13"/>
        <v>0</v>
      </c>
      <c r="BH30" s="889"/>
      <c r="BI30" s="866">
        <f>IFERROR(VLOOKUP(CONCATENATE(BI$3,$D30),'LCI - Simapro'!$A$2:$N$284,11,FALSE),0)</f>
        <v>0</v>
      </c>
      <c r="BJ30" s="866">
        <f>IFERROR(VLOOKUP(CONCATENATE(BJ$3,$D30),'LCI - Simapro'!$A$2:$N$284,11,FALSE),0)</f>
        <v>0</v>
      </c>
      <c r="BK30" s="866">
        <f>IFERROR(VLOOKUP(CONCATENATE(BK$3,$D30),'LCI - Simapro'!$A$2:$N$284,11,FALSE),0)</f>
        <v>0</v>
      </c>
      <c r="BL30" s="866">
        <f>IFERROR(VLOOKUP(CONCATENATE(BL$3,$D30),'LCI - Simapro'!$A$2:$N$284,11,FALSE),0)</f>
        <v>0</v>
      </c>
      <c r="BM30" s="866">
        <f>IFERROR(VLOOKUP(CONCATENATE(BM$3,$D30),'LCI - Simapro'!$A$2:$N$284,11,FALSE),0)</f>
        <v>9.1707999999999998E-2</v>
      </c>
      <c r="BN30" s="866">
        <f>IFERROR(VLOOKUP(CONCATENATE(BN$3,$D30),'LCI - Simapro'!$A$2:$N$284,11,FALSE),0)</f>
        <v>9.1707999999999998E-2</v>
      </c>
      <c r="BO30" s="866">
        <f>IFERROR(VLOOKUP(CONCATENATE(BO$3,$D30),'LCI - Simapro'!$A$2:$N$284,11,FALSE),0)</f>
        <v>0</v>
      </c>
      <c r="BP30" s="866">
        <f>IFERROR(VLOOKUP(CONCATENATE(BP$3,$D30),'LCI - Simapro'!$A$2:$N$284,11,FALSE),0)</f>
        <v>0</v>
      </c>
      <c r="BQ30" s="866">
        <f>IFERROR(VLOOKUP(CONCATENATE(BQ$3,$D30),'LCI - Simapro'!$A$2:$N$284,11,FALSE),0)</f>
        <v>0</v>
      </c>
      <c r="BR30" s="866">
        <f>IFERROR(VLOOKUP(CONCATENATE(BR$3,$D30),'LCI - Simapro'!$A$2:$N$284,11,FALSE),0)</f>
        <v>0</v>
      </c>
      <c r="BS30" s="866">
        <f>IFERROR(VLOOKUP(CONCATENATE(BS$3,$D30),'LCI - Simapro'!$A$2:$N$284,11,FALSE),0)</f>
        <v>0</v>
      </c>
      <c r="BT30" s="866">
        <f>IFERROR(VLOOKUP(CONCATENATE(BT$3,$D30),'LCI - Simapro'!$A$2:$N$284,11,FALSE),0)</f>
        <v>0</v>
      </c>
      <c r="BU30" s="866">
        <f>IFERROR(VLOOKUP(CONCATENATE(BU$3,$D30),'LCI - Simapro'!$A$2:$N$284,11,FALSE),0)</f>
        <v>0</v>
      </c>
      <c r="BV30" s="866">
        <f>IFERROR(VLOOKUP(CONCATENATE(BV$3,$D30),'LCI - Simapro'!$A$2:$N$284,11,FALSE),0)</f>
        <v>0</v>
      </c>
      <c r="BW30" s="866">
        <f>IFERROR(VLOOKUP(CONCATENATE(BW$3,$D30),'LCI - Simapro'!$A$2:$N$284,11,FALSE),0)</f>
        <v>0</v>
      </c>
    </row>
    <row r="31" spans="1:75" ht="26.4" customHeight="1">
      <c r="B31" s="846">
        <v>52</v>
      </c>
      <c r="C31" s="904"/>
      <c r="D31" s="333" t="s">
        <v>5889</v>
      </c>
      <c r="E31" s="865" t="s">
        <v>94</v>
      </c>
      <c r="F31" s="856">
        <f>VLOOKUP(F$3,'FE - Aluminum'!$E$11:$BF$54,$B31,FALSE)</f>
        <v>0</v>
      </c>
      <c r="G31" s="856">
        <f>VLOOKUP(G$3,'FE - Aluminum'!$E$11:$BF$54,$B31,FALSE)</f>
        <v>0</v>
      </c>
      <c r="H31" s="856">
        <f>VLOOKUP(H$3,'FE - Aluminum'!$E$11:$BF$54,$B31,FALSE)</f>
        <v>0</v>
      </c>
      <c r="I31" s="856">
        <f>VLOOKUP(I$3,'FE - Aluminum'!$E$11:$BF$54,$B31,FALSE)</f>
        <v>0</v>
      </c>
      <c r="J31" s="856">
        <f>VLOOKUP(J$3,'FE - Aluminum'!$E$11:$BF$54,$B31,FALSE)</f>
        <v>0</v>
      </c>
      <c r="K31" s="856">
        <f>VLOOKUP(K$3,'FE - Aluminum'!$E$11:$BF$54,$B31,FALSE)</f>
        <v>0</v>
      </c>
      <c r="L31" s="856">
        <f>VLOOKUP(L$3,'FE - Aluminum'!$E$11:$BF$54,$B31,FALSE)</f>
        <v>0</v>
      </c>
      <c r="M31" s="856">
        <f>VLOOKUP(M$3,'FE - Aluminum'!$E$11:$BF$54,$B31,FALSE)</f>
        <v>0</v>
      </c>
      <c r="N31" s="856">
        <f>VLOOKUP(N$3,'FE - Aluminum'!$E$11:$BF$54,$B31,FALSE)</f>
        <v>0</v>
      </c>
      <c r="O31" s="856">
        <f>VLOOKUP(O$3,'FE - Aluminum'!$E$11:$BF$54,$B31,FALSE)</f>
        <v>0</v>
      </c>
      <c r="P31" s="856">
        <f>VLOOKUP(P$3,'FE - Aluminum'!$E$11:$BF$54,$B31,FALSE)</f>
        <v>0</v>
      </c>
      <c r="Q31" s="856">
        <f>VLOOKUP(Q$3,'FE - Aluminum'!$E$11:$BF$54,$B31,FALSE)</f>
        <v>0</v>
      </c>
      <c r="R31" s="856">
        <f>VLOOKUP(R$3,'FE - Aluminum'!$E$11:$BF$54,$B31,FALSE)</f>
        <v>0</v>
      </c>
      <c r="S31" s="856">
        <f>VLOOKUP(S$3,'FE - Aluminum'!$E$11:$BF$54,$B31,FALSE)</f>
        <v>0</v>
      </c>
      <c r="T31" s="856">
        <f>VLOOKUP(T$3,'FE - Aluminum'!$E$11:$BF$54,$B31,FALSE)</f>
        <v>-168.06447872400005</v>
      </c>
      <c r="U31" s="856">
        <f>VLOOKUP(U$3,'FE - Aluminum'!$E$11:$BF$54,$B31,FALSE)</f>
        <v>-214.96870867679999</v>
      </c>
      <c r="V31" s="856">
        <f>VLOOKUP(V$3,'FE - Aluminum'!$E$11:$BF$54,$B31,FALSE)</f>
        <v>0</v>
      </c>
      <c r="W31" s="856">
        <f>VLOOKUP(W$3,'FE - Aluminum'!$E$11:$BF$54,$B31,FALSE)</f>
        <v>0</v>
      </c>
      <c r="X31" s="856">
        <f>VLOOKUP(X$3,'FE - Aluminum'!$E$11:$BF$54,$B31,FALSE)</f>
        <v>0</v>
      </c>
      <c r="Y31" s="856">
        <f>VLOOKUP(Y$3,'FE - Aluminum'!$E$11:$BF$54,$B31,FALSE)</f>
        <v>0</v>
      </c>
      <c r="Z31" s="856">
        <f>VLOOKUP(Z$3,'FE - Aluminum'!$E$11:$BF$54,$B31,FALSE)</f>
        <v>0</v>
      </c>
      <c r="AA31" s="856">
        <f>VLOOKUP(AA$3,'FE - Aluminum'!$E$11:$BF$54,$B31,FALSE)</f>
        <v>0</v>
      </c>
      <c r="AB31" s="856">
        <f>VLOOKUP(AB$3,'FE - Aluminum'!$E$11:$BF$54,$B31,FALSE)</f>
        <v>0</v>
      </c>
      <c r="AC31" s="856">
        <f>VLOOKUP(AC$3,'FE - Aluminum'!$E$11:$BF$54,$B31,FALSE)</f>
        <v>0</v>
      </c>
      <c r="AD31" s="856">
        <f>VLOOKUP(AD$3,'FE - Aluminum'!$E$11:$BF$54,$B31,FALSE)</f>
        <v>0</v>
      </c>
      <c r="AE31" s="856">
        <f>VLOOKUP(AE$3,'FE - Aluminum'!$E$11:$BF$54,$B31,FALSE)</f>
        <v>0</v>
      </c>
      <c r="AF31" s="856">
        <f>VLOOKUP(AF$3,'FE - Aluminum'!$E$11:$BF$54,$B31,FALSE)</f>
        <v>0</v>
      </c>
      <c r="AG31" s="856">
        <f>VLOOKUP(AG$3,'FE - Aluminum'!$E$11:$BF$54,$B31,FALSE)</f>
        <v>0</v>
      </c>
      <c r="AH31" s="856">
        <f>VLOOKUP(AH$3,'FE - Aluminum'!$E$11:$BF$54,$B31,FALSE)</f>
        <v>0</v>
      </c>
      <c r="AI31" s="856">
        <f>VLOOKUP(AI$3,'FE - Aluminum'!$E$11:$BF$54,$B31,FALSE)</f>
        <v>0</v>
      </c>
      <c r="AJ31" s="856">
        <f>VLOOKUP(AJ$3,'FE - Aluminum'!$E$11:$BF$54,$B31,FALSE)</f>
        <v>0</v>
      </c>
      <c r="AK31" s="856">
        <f>VLOOKUP(AK$3,'FE - Aluminum'!$E$11:$BF$54,$B31,FALSE)</f>
        <v>0</v>
      </c>
      <c r="AL31" s="856">
        <f>VLOOKUP(AL$3,'FE - Aluminum'!$E$11:$BF$54,$B31,FALSE)</f>
        <v>0</v>
      </c>
      <c r="AM31" s="856">
        <f>VLOOKUP(AM$3,'FE - Aluminum'!$E$11:$BF$54,$B31,FALSE)</f>
        <v>0</v>
      </c>
      <c r="AN31" s="856">
        <f>VLOOKUP(AN$3,'FE - Aluminum'!$E$11:$BF$54,$B31,FALSE)</f>
        <v>0</v>
      </c>
      <c r="AO31" s="856">
        <f>VLOOKUP(AO$3,'FE - Aluminum'!$E$11:$BF$54,$B31,FALSE)</f>
        <v>0</v>
      </c>
      <c r="AP31" s="856">
        <f>VLOOKUP(AP$3,'FE - Aluminum'!$E$11:$BF$54,$B31,FALSE)</f>
        <v>0</v>
      </c>
      <c r="AQ31" s="856">
        <f>VLOOKUP(AQ$3,'FE - Aluminum'!$E$11:$BF$54,$B31,FALSE)</f>
        <v>0</v>
      </c>
      <c r="AR31" s="880"/>
      <c r="AS31" s="879">
        <f t="shared" ref="AS31" si="22">F31</f>
        <v>0</v>
      </c>
      <c r="AT31" s="888"/>
      <c r="AU31" s="888">
        <f t="shared" ref="AU31" si="23">SUM(P31:R31)</f>
        <v>0</v>
      </c>
      <c r="AV31" s="888">
        <f t="shared" ref="AV31" si="24">S31</f>
        <v>0</v>
      </c>
      <c r="AW31" s="888">
        <f t="shared" ref="AW31" si="25">U31</f>
        <v>-214.96870867679999</v>
      </c>
      <c r="AX31" s="888">
        <f t="shared" ref="AX31" si="26">T31</f>
        <v>-168.06447872400005</v>
      </c>
      <c r="AY31" s="888">
        <f t="shared" ref="AY31" si="27">W31</f>
        <v>0</v>
      </c>
      <c r="AZ31" s="888">
        <f t="shared" si="9"/>
        <v>0</v>
      </c>
      <c r="BA31" s="888">
        <f t="shared" si="10"/>
        <v>0</v>
      </c>
      <c r="BB31" s="888">
        <f t="shared" ref="BB31" si="28">$AG$23/1000*V31</f>
        <v>0</v>
      </c>
      <c r="BC31" s="888"/>
      <c r="BD31" s="888">
        <f t="shared" ref="BD31" si="29">$AD$23/1000*V31</f>
        <v>0</v>
      </c>
      <c r="BE31" s="888"/>
      <c r="BF31" s="888">
        <f t="shared" ref="BF31" si="30">AI31</f>
        <v>0</v>
      </c>
      <c r="BG31" s="888">
        <f t="shared" ref="BG31" si="31">SUM(AE31:AF31)+AH31</f>
        <v>0</v>
      </c>
      <c r="BH31" s="889"/>
      <c r="BI31" s="866">
        <f>IFERROR(VLOOKUP(CONCATENATE(BI$3,$D31),'LCI - Simapro'!$A$2:$N$284,11,FALSE),0)</f>
        <v>0</v>
      </c>
      <c r="BJ31" s="866">
        <f>IFERROR(VLOOKUP(CONCATENATE(BJ$3,$D31),'LCI - Simapro'!$A$2:$N$284,11,FALSE),0)</f>
        <v>0</v>
      </c>
      <c r="BK31" s="866">
        <f>IFERROR(VLOOKUP(CONCATENATE(BK$3,$D31),'LCI - Simapro'!$A$2:$N$284,11,FALSE),0)</f>
        <v>0</v>
      </c>
      <c r="BL31" s="866">
        <f>IFERROR(VLOOKUP(CONCATENATE(BL$3,$D31),'LCI - Simapro'!$A$2:$N$284,11,FALSE),0)</f>
        <v>0</v>
      </c>
      <c r="BM31" s="866">
        <f>IFERROR(VLOOKUP(CONCATENATE(BM$3,$D31),'LCI - Simapro'!$A$2:$N$284,11,FALSE),0)</f>
        <v>0</v>
      </c>
      <c r="BN31" s="866">
        <f>IFERROR(VLOOKUP(CONCATENATE(BN$3,$D31),'LCI - Simapro'!$A$2:$N$284,11,FALSE),0)</f>
        <v>0</v>
      </c>
      <c r="BO31" s="866">
        <f>IFERROR(VLOOKUP(CONCATENATE(BO$3,$D31),'LCI - Simapro'!$A$2:$N$284,11,FALSE),0)</f>
        <v>0</v>
      </c>
      <c r="BP31" s="866">
        <f>IFERROR(VLOOKUP(CONCATENATE(BP$3,$D31),'LCI - Simapro'!$A$2:$N$284,11,FALSE),0)</f>
        <v>0</v>
      </c>
      <c r="BQ31" s="866">
        <f>IFERROR(VLOOKUP(CONCATENATE(BQ$3,$D31),'LCI - Simapro'!$A$2:$N$284,11,FALSE),0)</f>
        <v>0</v>
      </c>
      <c r="BR31" s="866">
        <f>IFERROR(VLOOKUP(CONCATENATE(BR$3,$D31),'LCI - Simapro'!$A$2:$N$284,11,FALSE),0)</f>
        <v>0</v>
      </c>
      <c r="BS31" s="866">
        <f>IFERROR(VLOOKUP(CONCATENATE(BS$3,$D31),'LCI - Simapro'!$A$2:$N$284,11,FALSE),0)</f>
        <v>0</v>
      </c>
      <c r="BT31" s="866">
        <f>IFERROR(VLOOKUP(CONCATENATE(BT$3,$D31),'LCI - Simapro'!$A$2:$N$284,11,FALSE),0)</f>
        <v>0</v>
      </c>
      <c r="BU31" s="866">
        <f>IFERROR(VLOOKUP(CONCATENATE(BU$3,$D31),'LCI - Simapro'!$A$2:$N$284,11,FALSE),0)</f>
        <v>0</v>
      </c>
      <c r="BV31" s="866">
        <f>IFERROR(VLOOKUP(CONCATENATE(BV$3,$D31),'LCI - Simapro'!$A$2:$N$284,11,FALSE),0)</f>
        <v>0</v>
      </c>
      <c r="BW31" s="866">
        <f>IFERROR(VLOOKUP(CONCATENATE(BW$3,$D31),'LCI - Simapro'!$A$2:$N$284,11,FALSE),0)</f>
        <v>0</v>
      </c>
    </row>
    <row r="32" spans="1:75" ht="26.4" customHeight="1">
      <c r="A32" t="s">
        <v>5756</v>
      </c>
      <c r="B32" s="846">
        <v>53</v>
      </c>
      <c r="C32" s="904"/>
      <c r="D32" s="901" t="s">
        <v>483</v>
      </c>
      <c r="E32" s="387" t="s">
        <v>94</v>
      </c>
      <c r="F32" s="856">
        <f>VLOOKUP(F$3,'FE - Aluminum'!$E$11:$BF$54,$B32,FALSE)</f>
        <v>0</v>
      </c>
      <c r="G32" s="856">
        <f>VLOOKUP(G$3,'FE - Aluminum'!$E$11:$BF$54,$B32,FALSE)</f>
        <v>0</v>
      </c>
      <c r="H32" s="856">
        <f>VLOOKUP(H$3,'FE - Aluminum'!$E$11:$BF$54,$B32,FALSE)</f>
        <v>0</v>
      </c>
      <c r="I32" s="856">
        <f>VLOOKUP(I$3,'FE - Aluminum'!$E$11:$BF$54,$B32,FALSE)</f>
        <v>0</v>
      </c>
      <c r="J32" s="856">
        <f>VLOOKUP(J$3,'FE - Aluminum'!$E$11:$BF$54,$B32,FALSE)</f>
        <v>-123.83115387457656</v>
      </c>
      <c r="K32" s="856">
        <f>VLOOKUP(K$3,'FE - Aluminum'!$E$11:$BF$54,$B32,FALSE)</f>
        <v>0</v>
      </c>
      <c r="L32" s="856">
        <f>VLOOKUP(L$3,'FE - Aluminum'!$E$11:$BF$54,$B32,FALSE)</f>
        <v>0</v>
      </c>
      <c r="M32" s="856">
        <f>VLOOKUP(M$3,'FE - Aluminum'!$E$11:$BF$54,$B32,FALSE)</f>
        <v>0.54288960000000008</v>
      </c>
      <c r="N32" s="856">
        <f>VLOOKUP(N$3,'FE - Aluminum'!$E$11:$BF$54,$B32,FALSE)</f>
        <v>0</v>
      </c>
      <c r="O32" s="856">
        <f>VLOOKUP(O$3,'FE - Aluminum'!$E$11:$BF$54,$B32,FALSE)</f>
        <v>0</v>
      </c>
      <c r="P32" s="856">
        <f>VLOOKUP(P$3,'FE - Aluminum'!$E$11:$BF$54,$B32,FALSE)</f>
        <v>0</v>
      </c>
      <c r="Q32" s="856">
        <f>VLOOKUP(Q$3,'FE - Aluminum'!$E$11:$BF$54,$B32,FALSE)</f>
        <v>1026.4989915608503</v>
      </c>
      <c r="R32" s="856">
        <f>VLOOKUP(R$3,'FE - Aluminum'!$E$11:$BF$54,$B32,FALSE)</f>
        <v>-903.21072728627382</v>
      </c>
      <c r="S32" s="856">
        <f>VLOOKUP(S$3,'FE - Aluminum'!$E$11:$BF$54,$B32,FALSE)</f>
        <v>0</v>
      </c>
      <c r="T32" s="856">
        <f>VLOOKUP(T$3,'FE - Aluminum'!$E$11:$BF$54,$B32,FALSE)</f>
        <v>0</v>
      </c>
      <c r="U32" s="856">
        <f>VLOOKUP(U$3,'FE - Aluminum'!$E$11:$BF$54,$B32,FALSE)</f>
        <v>0</v>
      </c>
      <c r="V32" s="856">
        <f>VLOOKUP(V$3,'FE - Aluminum'!$E$11:$BF$54,$B32,FALSE)</f>
        <v>0</v>
      </c>
      <c r="W32" s="856">
        <f>VLOOKUP(W$3,'FE - Aluminum'!$E$11:$BF$54,$B32,FALSE)</f>
        <v>0</v>
      </c>
      <c r="X32" s="856">
        <f>VLOOKUP(X$3,'FE - Aluminum'!$E$11:$BF$54,$B32,FALSE)</f>
        <v>0</v>
      </c>
      <c r="Y32" s="856">
        <f>VLOOKUP(Y$3,'FE - Aluminum'!$E$11:$BF$54,$B32,FALSE)</f>
        <v>0</v>
      </c>
      <c r="Z32" s="856">
        <f>VLOOKUP(Z$3,'FE - Aluminum'!$E$11:$BF$54,$B32,FALSE)</f>
        <v>0</v>
      </c>
      <c r="AA32" s="856">
        <f>VLOOKUP(AA$3,'FE - Aluminum'!$E$11:$BF$54,$B32,FALSE)</f>
        <v>0</v>
      </c>
      <c r="AB32" s="856">
        <f>VLOOKUP(AB$3,'FE - Aluminum'!$E$11:$BF$54,$B32,FALSE)</f>
        <v>0</v>
      </c>
      <c r="AC32" s="856">
        <f>VLOOKUP(AC$3,'FE - Aluminum'!$E$11:$BF$54,$B32,FALSE)</f>
        <v>0</v>
      </c>
      <c r="AD32" s="856">
        <f>VLOOKUP(AD$3,'FE - Aluminum'!$E$11:$BF$54,$B32,FALSE)</f>
        <v>0</v>
      </c>
      <c r="AE32" s="856">
        <f>VLOOKUP(AE$3,'FE - Aluminum'!$E$11:$BF$54,$B32,FALSE)</f>
        <v>0</v>
      </c>
      <c r="AF32" s="856">
        <f>VLOOKUP(AF$3,'FE - Aluminum'!$E$11:$BF$54,$B32,FALSE)</f>
        <v>0</v>
      </c>
      <c r="AG32" s="856">
        <f>VLOOKUP(AG$3,'FE - Aluminum'!$E$11:$BF$54,$B32,FALSE)</f>
        <v>0</v>
      </c>
      <c r="AH32" s="856">
        <f>VLOOKUP(AH$3,'FE - Aluminum'!$E$11:$BF$54,$B32,FALSE)</f>
        <v>0</v>
      </c>
      <c r="AI32" s="856">
        <f>VLOOKUP(AI$3,'FE - Aluminum'!$E$11:$BF$54,$B32,FALSE)</f>
        <v>0</v>
      </c>
      <c r="AJ32" s="856">
        <f>VLOOKUP(AJ$3,'FE - Aluminum'!$E$11:$BF$54,$B32,FALSE)</f>
        <v>0</v>
      </c>
      <c r="AK32" s="856">
        <f>VLOOKUP(AK$3,'FE - Aluminum'!$E$11:$BF$54,$B32,FALSE)</f>
        <v>0</v>
      </c>
      <c r="AL32" s="856">
        <f>VLOOKUP(AL$3,'FE - Aluminum'!$E$11:$BF$54,$B32,FALSE)</f>
        <v>0</v>
      </c>
      <c r="AM32" s="856">
        <f>VLOOKUP(AM$3,'FE - Aluminum'!$E$11:$BF$54,$B32,FALSE)</f>
        <v>0</v>
      </c>
      <c r="AN32" s="856">
        <f>VLOOKUP(AN$3,'FE - Aluminum'!$E$11:$BF$54,$B32,FALSE)</f>
        <v>0</v>
      </c>
      <c r="AO32" s="856">
        <f>VLOOKUP(AO$3,'FE - Aluminum'!$E$11:$BF$54,$B32,FALSE)</f>
        <v>0</v>
      </c>
      <c r="AP32" s="856">
        <f>VLOOKUP(AP$3,'FE - Aluminum'!$E$11:$BF$54,$B32,FALSE)</f>
        <v>0</v>
      </c>
      <c r="AQ32" s="856">
        <f>VLOOKUP(AQ$3,'FE - Aluminum'!$E$11:$BF$54,$B32,FALSE)</f>
        <v>0</v>
      </c>
      <c r="AR32" s="880"/>
      <c r="AS32" s="879">
        <f t="shared" si="3"/>
        <v>0</v>
      </c>
      <c r="AT32" s="888"/>
      <c r="AU32" s="888">
        <f t="shared" si="4"/>
        <v>123.28826427457648</v>
      </c>
      <c r="AV32" s="888">
        <f>S32</f>
        <v>0</v>
      </c>
      <c r="AW32" s="888">
        <f>U32</f>
        <v>0</v>
      </c>
      <c r="AX32" s="888">
        <f>T32</f>
        <v>0</v>
      </c>
      <c r="AY32" s="888">
        <f>W32</f>
        <v>0</v>
      </c>
      <c r="AZ32" s="888">
        <f t="shared" si="9"/>
        <v>0</v>
      </c>
      <c r="BA32" s="888">
        <f t="shared" si="10"/>
        <v>0</v>
      </c>
      <c r="BB32" s="888">
        <f t="shared" si="11"/>
        <v>0</v>
      </c>
      <c r="BC32" s="888"/>
      <c r="BD32" s="888">
        <f t="shared" si="21"/>
        <v>0</v>
      </c>
      <c r="BE32" s="888"/>
      <c r="BF32" s="888">
        <f>AI32</f>
        <v>0</v>
      </c>
      <c r="BG32" s="888">
        <f>SUM(AE32:AF32)+AH32</f>
        <v>0</v>
      </c>
      <c r="BH32" s="889"/>
      <c r="BI32" s="866">
        <f>IFERROR(VLOOKUP(CONCATENATE(BI$3,$D32),'LCI - Simapro'!$A$2:$N$284,11,FALSE),0)</f>
        <v>0</v>
      </c>
      <c r="BJ32" s="866">
        <f>IFERROR(VLOOKUP(CONCATENATE(BJ$3,$D32),'LCI - Simapro'!$A$2:$N$284,11,FALSE),0)</f>
        <v>0</v>
      </c>
      <c r="BK32" s="866">
        <f>IFERROR(VLOOKUP(CONCATENATE(BK$3,$D32),'LCI - Simapro'!$A$2:$N$284,11,FALSE),0)</f>
        <v>6.2E-2</v>
      </c>
      <c r="BL32" s="866">
        <f>IFERROR(VLOOKUP(CONCATENATE(BL$3,$D32),'LCI - Simapro'!$A$2:$N$284,11,FALSE),0)</f>
        <v>0</v>
      </c>
      <c r="BM32" s="866">
        <f>IFERROR(VLOOKUP(CONCATENATE(BM$3,$D32),'LCI - Simapro'!$A$2:$N$284,11,FALSE),0)</f>
        <v>0</v>
      </c>
      <c r="BN32" s="866">
        <f>IFERROR(VLOOKUP(CONCATENATE(BN$3,$D32),'LCI - Simapro'!$A$2:$N$284,11,FALSE),0)</f>
        <v>0</v>
      </c>
      <c r="BO32" s="866">
        <f>IFERROR(VLOOKUP(CONCATENATE(BO$3,$D32),'LCI - Simapro'!$A$2:$N$284,11,FALSE),0)</f>
        <v>0</v>
      </c>
      <c r="BP32" s="866">
        <f>IFERROR(VLOOKUP(CONCATENATE(BP$3,$D32),'LCI - Simapro'!$A$2:$N$284,11,FALSE),0)</f>
        <v>0</v>
      </c>
      <c r="BQ32" s="866">
        <f>IFERROR(VLOOKUP(CONCATENATE(BQ$3,$D32),'LCI - Simapro'!$A$2:$N$284,11,FALSE),0)</f>
        <v>0</v>
      </c>
      <c r="BR32" s="866">
        <f>IFERROR(VLOOKUP(CONCATENATE(BR$3,$D32),'LCI - Simapro'!$A$2:$N$284,11,FALSE),0)</f>
        <v>0</v>
      </c>
      <c r="BS32" s="866">
        <f>IFERROR(VLOOKUP(CONCATENATE(BS$3,$D32),'LCI - Simapro'!$A$2:$N$284,11,FALSE),0)</f>
        <v>0</v>
      </c>
      <c r="BT32" s="866">
        <f>IFERROR(VLOOKUP(CONCATENATE(BT$3,$D32),'LCI - Simapro'!$A$2:$N$284,11,FALSE),0)</f>
        <v>0</v>
      </c>
      <c r="BU32" s="866">
        <f>IFERROR(VLOOKUP(CONCATENATE(BU$3,$D32),'LCI - Simapro'!$A$2:$N$284,11,FALSE),0)</f>
        <v>0</v>
      </c>
      <c r="BV32" s="866">
        <f>IFERROR(VLOOKUP(CONCATENATE(BV$3,$D32),'LCI - Simapro'!$A$2:$N$284,11,FALSE),0)</f>
        <v>0</v>
      </c>
      <c r="BW32" s="866">
        <f>IFERROR(VLOOKUP(CONCATENATE(BW$3,$D32),'LCI - Simapro'!$A$2:$N$284,11,FALSE),0)</f>
        <v>0</v>
      </c>
    </row>
    <row r="33" spans="1:76" ht="26.4" customHeight="1">
      <c r="A33" t="s">
        <v>5761</v>
      </c>
      <c r="B33" s="846">
        <v>117</v>
      </c>
      <c r="C33" s="903"/>
      <c r="D33" s="884" t="s">
        <v>87</v>
      </c>
      <c r="E33" s="387" t="s">
        <v>607</v>
      </c>
      <c r="F33" s="856">
        <f>VLOOKUP(F$3,'FE - Aluminum'!$E$11:$DX$54,$B33,FALSE)*VLOOKUP(F$3,'FE - Aluminum'!$E$11:$DX$54,57,FALSE)</f>
        <v>0</v>
      </c>
      <c r="G33" s="856">
        <f>VLOOKUP(G$3,'FE - Aluminum'!$E$11:$DX$54,$B33,FALSE)*VLOOKUP(G$3,'FE - Aluminum'!$E$11:$DX$54,57,FALSE)</f>
        <v>0</v>
      </c>
      <c r="H33" s="856">
        <f>VLOOKUP(H$3,'FE - Aluminum'!$E$11:$DX$54,$B33,FALSE)*VLOOKUP(H$3,'FE - Aluminum'!$E$11:$DX$54,57,FALSE)</f>
        <v>0</v>
      </c>
      <c r="I33" s="856">
        <f>VLOOKUP(I$3,'FE - Aluminum'!$E$11:$DX$54,$B33,FALSE)*VLOOKUP(I$3,'FE - Aluminum'!$E$11:$DX$54,57,FALSE)</f>
        <v>0</v>
      </c>
      <c r="J33" s="856">
        <f>VLOOKUP(J$3,'FE - Aluminum'!$E$11:$DX$54,$B33,FALSE)*VLOOKUP(J$3,'FE - Aluminum'!$E$11:$DX$54,57,FALSE)</f>
        <v>0</v>
      </c>
      <c r="K33" s="856">
        <f>VLOOKUP(K$3,'FE - Aluminum'!$E$11:$DX$54,$B33,FALSE)*VLOOKUP(K$3,'FE - Aluminum'!$E$11:$DX$54,57,FALSE)</f>
        <v>0</v>
      </c>
      <c r="L33" s="856">
        <f>VLOOKUP(L$3,'FE - Aluminum'!$E$11:$DX$54,$B33,FALSE)*VLOOKUP(L$3,'FE - Aluminum'!$E$11:$DX$54,57,FALSE)</f>
        <v>0</v>
      </c>
      <c r="M33" s="856">
        <f>VLOOKUP(M$3,'FE - Aluminum'!$E$11:$DX$54,$B33,FALSE)*VLOOKUP(M$3,'FE - Aluminum'!$E$11:$DX$54,57,FALSE)</f>
        <v>0</v>
      </c>
      <c r="N33" s="856">
        <f>VLOOKUP(N$3,'FE - Aluminum'!$E$11:$DX$54,$B33,FALSE)*VLOOKUP(N$3,'FE - Aluminum'!$E$11:$DX$54,57,FALSE)</f>
        <v>0</v>
      </c>
      <c r="O33" s="856">
        <f>VLOOKUP(O$3,'FE - Aluminum'!$E$11:$DX$54,$B33,FALSE)*VLOOKUP(O$3,'FE - Aluminum'!$E$11:$DX$54,57,FALSE)</f>
        <v>0</v>
      </c>
      <c r="P33" s="856">
        <f>VLOOKUP(P$3,'FE - Aluminum'!$E$11:$DX$54,$B33,FALSE)*VLOOKUP(P$3,'FE - Aluminum'!$E$11:$DX$54,57,FALSE)</f>
        <v>0</v>
      </c>
      <c r="Q33" s="856">
        <f>VLOOKUP(Q$3,'FE - Aluminum'!$E$11:$DX$54,$B33,FALSE)*VLOOKUP(Q$3,'FE - Aluminum'!$E$11:$DX$54,57,FALSE)</f>
        <v>0</v>
      </c>
      <c r="R33" s="856">
        <f>VLOOKUP(R$3,'FE - Aluminum'!$E$11:$DX$54,$B33,FALSE)*VLOOKUP(R$3,'FE - Aluminum'!$E$11:$DX$54,57,FALSE)</f>
        <v>0</v>
      </c>
      <c r="S33" s="856">
        <f>VLOOKUP(S$3,'FE - Aluminum'!$E$11:$DX$54,$B33,FALSE)*VLOOKUP(S$3,'FE - Aluminum'!$E$11:$DX$54,57,FALSE)</f>
        <v>0</v>
      </c>
      <c r="T33" s="856">
        <f>VLOOKUP(T$3,'FE - Aluminum'!$E$11:$DX$54,$B33,FALSE)*VLOOKUP(T$3,'FE - Aluminum'!$E$11:$DX$54,57,FALSE)</f>
        <v>0</v>
      </c>
      <c r="U33" s="856">
        <f>VLOOKUP(U$3,'FE - Aluminum'!$E$11:$DX$54,$B33,FALSE)*VLOOKUP(U$3,'FE - Aluminum'!$E$11:$DX$54,57,FALSE)</f>
        <v>0</v>
      </c>
      <c r="V33" s="856">
        <f>VLOOKUP(V$3,'FE - Aluminum'!$E$11:$DX$54,$B33,FALSE)*VLOOKUP(V$3,'FE - Aluminum'!$E$11:$DX$54,57,FALSE)</f>
        <v>0</v>
      </c>
      <c r="W33" s="856">
        <f>VLOOKUP(W$3,'FE - Aluminum'!$E$11:$DX$54,$B33,FALSE)*VLOOKUP(W$3,'FE - Aluminum'!$E$11:$DX$54,57,FALSE)</f>
        <v>0</v>
      </c>
      <c r="X33" s="856">
        <f>VLOOKUP(X$3,'FE - Aluminum'!$E$11:$DX$54,$B33,FALSE)*VLOOKUP(X$3,'FE - Aluminum'!$E$11:$DX$54,57,FALSE)</f>
        <v>0</v>
      </c>
      <c r="Y33" s="856">
        <f>VLOOKUP(Y$3,'FE - Aluminum'!$E$11:$DX$54,$B33,FALSE)*VLOOKUP(Y$3,'FE - Aluminum'!$E$11:$DX$54,57,FALSE)</f>
        <v>0</v>
      </c>
      <c r="Z33" s="856">
        <f>VLOOKUP(Z$3,'FE - Aluminum'!$E$11:$DX$54,$B33,FALSE)*VLOOKUP(Z$3,'FE - Aluminum'!$E$11:$DX$54,57,FALSE)</f>
        <v>0</v>
      </c>
      <c r="AA33" s="856">
        <f>VLOOKUP(AA$3,'FE - Aluminum'!$E$11:$DX$54,$B33,FALSE)*VLOOKUP(AA$3,'FE - Aluminum'!$E$11:$DX$54,57,FALSE)</f>
        <v>0</v>
      </c>
      <c r="AB33" s="856">
        <f>VLOOKUP(AB$3,'FE - Aluminum'!$E$11:$DX$54,$B33,FALSE)*VLOOKUP(AB$3,'FE - Aluminum'!$E$11:$DX$54,57,FALSE)</f>
        <v>0</v>
      </c>
      <c r="AC33" s="856">
        <f>VLOOKUP(AC$3,'FE - Aluminum'!$E$11:$DX$54,$B33,FALSE)*VLOOKUP(AC$3,'FE - Aluminum'!$E$11:$DX$54,57,FALSE)</f>
        <v>0</v>
      </c>
      <c r="AD33" s="856">
        <f>VLOOKUP(AD$3,'FE - Aluminum'!$E$11:$DX$54,$B33,FALSE)*VLOOKUP(AD$3,'FE - Aluminum'!$E$11:$DX$54,57,FALSE)</f>
        <v>0</v>
      </c>
      <c r="AE33" s="856">
        <f>VLOOKUP(AE$3,'FE - Aluminum'!$E$11:$DX$54,$B33,FALSE)*VLOOKUP(AE$3,'FE - Aluminum'!$E$11:$DX$54,57,FALSE)</f>
        <v>0</v>
      </c>
      <c r="AF33" s="856">
        <f>VLOOKUP(AF$3,'FE - Aluminum'!$E$11:$DX$54,$B33,FALSE)*VLOOKUP(AF$3,'FE - Aluminum'!$E$11:$DX$54,57,FALSE)</f>
        <v>0</v>
      </c>
      <c r="AG33" s="856">
        <f>VLOOKUP(AG$3,'FE - Aluminum'!$E$11:$DX$54,$B33,FALSE)*VLOOKUP(AG$3,'FE - Aluminum'!$E$11:$DX$54,57,FALSE)</f>
        <v>0</v>
      </c>
      <c r="AH33" s="856">
        <f>VLOOKUP(AH$3,'FE - Aluminum'!$E$11:$DX$54,$B33,FALSE)*VLOOKUP(AH$3,'FE - Aluminum'!$E$11:$DX$54,57,FALSE)</f>
        <v>0</v>
      </c>
      <c r="AI33" s="856">
        <f>VLOOKUP(AI$3,'FE - Aluminum'!$E$11:$DX$54,$B33,FALSE)*VLOOKUP(AI$3,'FE - Aluminum'!$E$11:$DX$54,57,FALSE)</f>
        <v>0</v>
      </c>
      <c r="AJ33" s="856">
        <f>VLOOKUP(AJ$3,'FE - Aluminum'!$E$11:$DX$54,$B33,FALSE)*VLOOKUP(AJ$3,'FE - Aluminum'!$E$11:$DX$54,57,FALSE)</f>
        <v>0</v>
      </c>
      <c r="AK33" s="856">
        <f>VLOOKUP(AK$3,'FE - Aluminum'!$E$11:$DX$54,$B33,FALSE)*VLOOKUP(AK$3,'FE - Aluminum'!$E$11:$DX$54,57,FALSE)</f>
        <v>0</v>
      </c>
      <c r="AL33" s="856">
        <f>VLOOKUP(AL$3,'FE - Aluminum'!$E$11:$DX$54,$B33,FALSE)*VLOOKUP(AL$3,'FE - Aluminum'!$E$11:$DX$54,57,FALSE)</f>
        <v>0</v>
      </c>
      <c r="AM33" s="856">
        <f>VLOOKUP(AM$3,'FE - Aluminum'!$E$11:$DX$54,$B33,FALSE)*VLOOKUP(AM$3,'FE - Aluminum'!$E$11:$DX$54,57,FALSE)</f>
        <v>0</v>
      </c>
      <c r="AN33" s="856">
        <f>VLOOKUP(AN$3,'FE - Aluminum'!$E$11:$DX$54,$B33,FALSE)*VLOOKUP(AN$3,'FE - Aluminum'!$E$11:$DX$54,57,FALSE)</f>
        <v>0</v>
      </c>
      <c r="AO33" s="856">
        <f>VLOOKUP(AO$3,'FE - Aluminum'!$E$11:$DX$54,$B33,FALSE)*VLOOKUP(AO$3,'FE - Aluminum'!$E$11:$DX$54,57,FALSE)</f>
        <v>0</v>
      </c>
      <c r="AP33" s="856">
        <f>VLOOKUP(AP$3,'FE - Aluminum'!$E$11:$DX$54,$B33,FALSE)*VLOOKUP(AP$3,'FE - Aluminum'!$E$11:$DX$54,57,FALSE)</f>
        <v>0</v>
      </c>
      <c r="AQ33" s="856">
        <f>VLOOKUP(AQ$3,'FE - Aluminum'!$E$11:$DX$54,$B33,FALSE)*VLOOKUP(AQ$3,'FE - Aluminum'!$E$11:$DX$54,57,FALSE)</f>
        <v>0</v>
      </c>
      <c r="AR33" s="880"/>
      <c r="AS33" s="879">
        <f t="shared" si="3"/>
        <v>0</v>
      </c>
      <c r="AT33" s="888"/>
      <c r="AU33" s="888">
        <f t="shared" si="4"/>
        <v>0</v>
      </c>
      <c r="AV33" s="888">
        <f t="shared" si="5"/>
        <v>0</v>
      </c>
      <c r="AW33" s="888">
        <f t="shared" si="6"/>
        <v>0</v>
      </c>
      <c r="AX33" s="888">
        <f t="shared" si="7"/>
        <v>0</v>
      </c>
      <c r="AY33" s="888">
        <f t="shared" si="8"/>
        <v>0</v>
      </c>
      <c r="AZ33" s="888">
        <f t="shared" si="9"/>
        <v>0</v>
      </c>
      <c r="BA33" s="888">
        <f t="shared" si="10"/>
        <v>0</v>
      </c>
      <c r="BB33" s="888">
        <f t="shared" si="11"/>
        <v>0</v>
      </c>
      <c r="BC33" s="888"/>
      <c r="BD33" s="888">
        <f t="shared" si="21"/>
        <v>0</v>
      </c>
      <c r="BE33" s="888"/>
      <c r="BF33" s="888">
        <f t="shared" si="12"/>
        <v>0</v>
      </c>
      <c r="BG33" s="888">
        <f t="shared" si="13"/>
        <v>0</v>
      </c>
      <c r="BH33" s="889"/>
      <c r="BI33" s="906">
        <f>IFERROR(VLOOKUP(CONCATENATE(BI$3,$D33),'LCI - Simapro'!$A$2:$N$284,11,FALSE),0)</f>
        <v>0</v>
      </c>
      <c r="BJ33" s="866">
        <f>IFERROR(VLOOKUP(CONCATENATE(BJ$3,$D33),'LCI - Simapro'!$A$2:$N$284,11,FALSE),0)</f>
        <v>0</v>
      </c>
      <c r="BK33" s="866">
        <f>IFERROR(VLOOKUP(CONCATENATE(BK$3,$D33),'LCI - Simapro'!$A$2:$N$284,11,FALSE),0)</f>
        <v>0</v>
      </c>
      <c r="BL33" s="866">
        <f>IFERROR(VLOOKUP(CONCATENATE(BL$3,$D33),'LCI - Simapro'!$A$2:$N$284,11,FALSE),0)</f>
        <v>0</v>
      </c>
      <c r="BM33" s="866">
        <f>IFERROR(VLOOKUP(CONCATENATE(BM$3,$D33),'LCI - Simapro'!$A$2:$N$284,11,FALSE),0)</f>
        <v>0.127</v>
      </c>
      <c r="BN33" s="866">
        <f>IFERROR(VLOOKUP(CONCATENATE(BN$3,$D33),'LCI - Simapro'!$A$2:$N$284,11,FALSE),0)</f>
        <v>0.127</v>
      </c>
      <c r="BO33" s="866">
        <f>IFERROR(VLOOKUP(CONCATENATE(BO$3,$D33),'LCI - Simapro'!$A$2:$N$284,11,FALSE),0)</f>
        <v>0</v>
      </c>
      <c r="BP33" s="866">
        <f>IFERROR(VLOOKUP(CONCATENATE(BP$3,$D33),'LCI - Simapro'!$A$2:$N$284,11,FALSE),0)</f>
        <v>0</v>
      </c>
      <c r="BQ33" s="866">
        <f>IFERROR(VLOOKUP(CONCATENATE(BQ$3,$D33),'LCI - Simapro'!$A$2:$N$284,11,FALSE),0)</f>
        <v>0</v>
      </c>
      <c r="BR33" s="866">
        <f>IFERROR(VLOOKUP(CONCATENATE(BR$3,$D33),'LCI - Simapro'!$A$2:$N$284,11,FALSE),0)</f>
        <v>0</v>
      </c>
      <c r="BS33" s="866">
        <f>IFERROR(VLOOKUP(CONCATENATE(BS$3,$D33),'LCI - Simapro'!$A$2:$N$284,11,FALSE),0)</f>
        <v>0</v>
      </c>
      <c r="BT33" s="866">
        <f>IFERROR(VLOOKUP(CONCATENATE(BT$3,$D33),'LCI - Simapro'!$A$2:$N$284,11,FALSE),0)</f>
        <v>0</v>
      </c>
      <c r="BU33" s="866">
        <f>IFERROR(VLOOKUP(CONCATENATE(BU$3,$D33),'LCI - Simapro'!$A$2:$N$284,11,FALSE),0)</f>
        <v>0</v>
      </c>
      <c r="BV33" s="866">
        <f>IFERROR(VLOOKUP(CONCATENATE(BV$3,$D33),'LCI - Simapro'!$A$2:$N$284,11,FALSE),0)</f>
        <v>0</v>
      </c>
      <c r="BW33" s="866">
        <f>IFERROR(VLOOKUP(CONCATENATE(BW$3,$D33),'LCI - Simapro'!$A$2:$N$284,11,FALSE),0)</f>
        <v>0</v>
      </c>
      <c r="BX33" s="907"/>
    </row>
    <row r="34" spans="1:76" ht="26.4" customHeight="1">
      <c r="A34" t="s">
        <v>5761</v>
      </c>
      <c r="B34" s="846">
        <v>118</v>
      </c>
      <c r="C34" s="903"/>
      <c r="D34" s="884" t="s">
        <v>5338</v>
      </c>
      <c r="E34" s="387" t="s">
        <v>607</v>
      </c>
      <c r="F34" s="856">
        <f>VLOOKUP(F$3,'FE - Aluminum'!$E$11:$DX$54,$B34,FALSE)*VLOOKUP(F$3,'FE - Aluminum'!$E$11:$DX$54,57,FALSE)</f>
        <v>47.983273340275836</v>
      </c>
      <c r="G34" s="856">
        <f>VLOOKUP(G$3,'FE - Aluminum'!$E$11:$DX$54,$B34,FALSE)*VLOOKUP(G$3,'FE - Aluminum'!$E$11:$DX$54,57,FALSE)</f>
        <v>0</v>
      </c>
      <c r="H34" s="856">
        <f>VLOOKUP(H$3,'FE - Aluminum'!$E$11:$DX$54,$B34,FALSE)*VLOOKUP(H$3,'FE - Aluminum'!$E$11:$DX$54,57,FALSE)</f>
        <v>1063.4606640123318</v>
      </c>
      <c r="I34" s="856">
        <f>VLOOKUP(I$3,'FE - Aluminum'!$E$11:$DX$54,$B34,FALSE)*VLOOKUP(I$3,'FE - Aluminum'!$E$11:$DX$54,57,FALSE)</f>
        <v>44.423630370674772</v>
      </c>
      <c r="J34" s="856">
        <f>VLOOKUP(J$3,'FE - Aluminum'!$E$11:$DX$54,$B34,FALSE)*VLOOKUP(J$3,'FE - Aluminum'!$E$11:$DX$54,57,FALSE)</f>
        <v>64.592376833054544</v>
      </c>
      <c r="K34" s="856">
        <f>VLOOKUP(K$3,'FE - Aluminum'!$E$11:$DX$54,$B34,FALSE)*VLOOKUP(K$3,'FE - Aluminum'!$E$11:$DX$54,57,FALSE)</f>
        <v>121.05202141069209</v>
      </c>
      <c r="L34" s="856">
        <f>VLOOKUP(L$3,'FE - Aluminum'!$E$11:$DX$54,$B34,FALSE)*VLOOKUP(L$3,'FE - Aluminum'!$E$11:$DX$54,57,FALSE)</f>
        <v>18.215006887739374</v>
      </c>
      <c r="M34" s="856">
        <f>VLOOKUP(M$3,'FE - Aluminum'!$E$11:$DX$54,$B34,FALSE)*VLOOKUP(M$3,'FE - Aluminum'!$E$11:$DX$54,57,FALSE)</f>
        <v>1.0124800104570852</v>
      </c>
      <c r="N34" s="856">
        <f>VLOOKUP(N$3,'FE - Aluminum'!$E$11:$DX$54,$B34,FALSE)*VLOOKUP(N$3,'FE - Aluminum'!$E$11:$DX$54,57,FALSE)</f>
        <v>0</v>
      </c>
      <c r="O34" s="856">
        <f>VLOOKUP(O$3,'FE - Aluminum'!$E$11:$DX$54,$B34,FALSE)*VLOOKUP(O$3,'FE - Aluminum'!$E$11:$DX$54,57,FALSE)</f>
        <v>13.226912296610053</v>
      </c>
      <c r="P34" s="856">
        <f>VLOOKUP(P$3,'FE - Aluminum'!$E$11:$DX$54,$B34,FALSE)*VLOOKUP(P$3,'FE - Aluminum'!$E$11:$DX$54,57,FALSE)</f>
        <v>638.11513961875505</v>
      </c>
      <c r="Q34" s="856">
        <f>VLOOKUP(Q$3,'FE - Aluminum'!$E$11:$DX$54,$B34,FALSE)*VLOOKUP(Q$3,'FE - Aluminum'!$E$11:$DX$54,57,FALSE)</f>
        <v>2555.2534500983656</v>
      </c>
      <c r="R34" s="856">
        <f>VLOOKUP(R$3,'FE - Aluminum'!$E$11:$DX$54,$B34,FALSE)*VLOOKUP(R$3,'FE - Aluminum'!$E$11:$DX$54,57,FALSE)</f>
        <v>0</v>
      </c>
      <c r="S34" s="856">
        <f>VLOOKUP(S$3,'FE - Aluminum'!$E$11:$DX$54,$B34,FALSE)*VLOOKUP(S$3,'FE - Aluminum'!$E$11:$DX$54,57,FALSE)</f>
        <v>1756.9702245032645</v>
      </c>
      <c r="T34" s="856">
        <f>VLOOKUP(T$3,'FE - Aluminum'!$E$11:$DX$54,$B34,FALSE)*VLOOKUP(T$3,'FE - Aluminum'!$E$11:$DX$54,57,FALSE)</f>
        <v>0</v>
      </c>
      <c r="U34" s="856">
        <f>VLOOKUP(U$3,'FE - Aluminum'!$E$11:$DX$54,$B34,FALSE)*VLOOKUP(U$3,'FE - Aluminum'!$E$11:$DX$54,57,FALSE)</f>
        <v>0</v>
      </c>
      <c r="V34" s="856">
        <f>VLOOKUP(V$3,'FE - Aluminum'!$E$11:$DX$54,$B34,FALSE)*VLOOKUP(V$3,'FE - Aluminum'!$E$11:$DX$54,57,FALSE)</f>
        <v>0</v>
      </c>
      <c r="W34" s="856">
        <f>VLOOKUP(W$3,'FE - Aluminum'!$E$11:$DX$54,$B34,FALSE)*VLOOKUP(W$3,'FE - Aluminum'!$E$11:$DX$54,57,FALSE)</f>
        <v>0</v>
      </c>
      <c r="X34" s="856">
        <f>VLOOKUP(X$3,'FE - Aluminum'!$E$11:$DX$54,$B34,FALSE)*VLOOKUP(X$3,'FE - Aluminum'!$E$11:$DX$54,57,FALSE)</f>
        <v>0</v>
      </c>
      <c r="Y34" s="856">
        <f>VLOOKUP(Y$3,'FE - Aluminum'!$E$11:$DX$54,$B34,FALSE)*VLOOKUP(Y$3,'FE - Aluminum'!$E$11:$DX$54,57,FALSE)</f>
        <v>0</v>
      </c>
      <c r="Z34" s="856">
        <f>VLOOKUP(Z$3,'FE - Aluminum'!$E$11:$DX$54,$B34,FALSE)*VLOOKUP(Z$3,'FE - Aluminum'!$E$11:$DX$54,57,FALSE)</f>
        <v>0</v>
      </c>
      <c r="AA34" s="856">
        <f>VLOOKUP(AA$3,'FE - Aluminum'!$E$11:$DX$54,$B34,FALSE)*VLOOKUP(AA$3,'FE - Aluminum'!$E$11:$DX$54,57,FALSE)</f>
        <v>0</v>
      </c>
      <c r="AB34" s="856">
        <f>VLOOKUP(AB$3,'FE - Aluminum'!$E$11:$DX$54,$B34,FALSE)*VLOOKUP(AB$3,'FE - Aluminum'!$E$11:$DX$54,57,FALSE)</f>
        <v>0</v>
      </c>
      <c r="AC34" s="856">
        <f>VLOOKUP(AC$3,'FE - Aluminum'!$E$11:$DX$54,$B34,FALSE)*VLOOKUP(AC$3,'FE - Aluminum'!$E$11:$DX$54,57,FALSE)</f>
        <v>0</v>
      </c>
      <c r="AD34" s="856">
        <f>VLOOKUP(AD$3,'FE - Aluminum'!$E$11:$DX$54,$B34,FALSE)*VLOOKUP(AD$3,'FE - Aluminum'!$E$11:$DX$54,57,FALSE)</f>
        <v>0</v>
      </c>
      <c r="AE34" s="856">
        <f>VLOOKUP(AE$3,'FE - Aluminum'!$E$11:$DX$54,$B34,FALSE)*VLOOKUP(AE$3,'FE - Aluminum'!$E$11:$DX$54,57,FALSE)</f>
        <v>0</v>
      </c>
      <c r="AF34" s="856">
        <f>VLOOKUP(AF$3,'FE - Aluminum'!$E$11:$DX$54,$B34,FALSE)*VLOOKUP(AF$3,'FE - Aluminum'!$E$11:$DX$54,57,FALSE)</f>
        <v>0</v>
      </c>
      <c r="AG34" s="856">
        <f>VLOOKUP(AG$3,'FE - Aluminum'!$E$11:$DX$54,$B34,FALSE)*VLOOKUP(AG$3,'FE - Aluminum'!$E$11:$DX$54,57,FALSE)</f>
        <v>0</v>
      </c>
      <c r="AH34" s="856">
        <f>VLOOKUP(AH$3,'FE - Aluminum'!$E$11:$DX$54,$B34,FALSE)*VLOOKUP(AH$3,'FE - Aluminum'!$E$11:$DX$54,57,FALSE)</f>
        <v>0</v>
      </c>
      <c r="AI34" s="856">
        <f>VLOOKUP(AI$3,'FE - Aluminum'!$E$11:$DX$54,$B34,FALSE)*VLOOKUP(AI$3,'FE - Aluminum'!$E$11:$DX$54,57,FALSE)</f>
        <v>0</v>
      </c>
      <c r="AJ34" s="856">
        <f>VLOOKUP(AJ$3,'FE - Aluminum'!$E$11:$DX$54,$B34,FALSE)*VLOOKUP(AJ$3,'FE - Aluminum'!$E$11:$DX$54,57,FALSE)</f>
        <v>0</v>
      </c>
      <c r="AK34" s="856">
        <f>VLOOKUP(AK$3,'FE - Aluminum'!$E$11:$DX$54,$B34,FALSE)*VLOOKUP(AK$3,'FE - Aluminum'!$E$11:$DX$54,57,FALSE)</f>
        <v>0</v>
      </c>
      <c r="AL34" s="856">
        <f>VLOOKUP(AL$3,'FE - Aluminum'!$E$11:$DX$54,$B34,FALSE)*VLOOKUP(AL$3,'FE - Aluminum'!$E$11:$DX$54,57,FALSE)</f>
        <v>0</v>
      </c>
      <c r="AM34" s="856">
        <f>VLOOKUP(AM$3,'FE - Aluminum'!$E$11:$DX$54,$B34,FALSE)*VLOOKUP(AM$3,'FE - Aluminum'!$E$11:$DX$54,57,FALSE)</f>
        <v>0</v>
      </c>
      <c r="AN34" s="856">
        <f>VLOOKUP(AN$3,'FE - Aluminum'!$E$11:$DX$54,$B34,FALSE)*VLOOKUP(AN$3,'FE - Aluminum'!$E$11:$DX$54,57,FALSE)</f>
        <v>0</v>
      </c>
      <c r="AO34" s="856">
        <f>VLOOKUP(AO$3,'FE - Aluminum'!$E$11:$DX$54,$B34,FALSE)*VLOOKUP(AO$3,'FE - Aluminum'!$E$11:$DX$54,57,FALSE)</f>
        <v>0</v>
      </c>
      <c r="AP34" s="856">
        <f>VLOOKUP(AP$3,'FE - Aluminum'!$E$11:$DX$54,$B34,FALSE)*VLOOKUP(AP$3,'FE - Aluminum'!$E$11:$DX$54,57,FALSE)</f>
        <v>0</v>
      </c>
      <c r="AQ34" s="856">
        <f>VLOOKUP(AQ$3,'FE - Aluminum'!$E$11:$DX$54,$B34,FALSE)*VLOOKUP(AQ$3,'FE - Aluminum'!$E$11:$DX$54,57,FALSE)</f>
        <v>0</v>
      </c>
      <c r="AR34" s="880"/>
      <c r="AS34" s="879">
        <f t="shared" si="3"/>
        <v>47.983273340275836</v>
      </c>
      <c r="AT34" s="888"/>
      <c r="AU34" s="888">
        <f t="shared" si="4"/>
        <v>3193.3685897171208</v>
      </c>
      <c r="AV34" s="888">
        <f t="shared" si="5"/>
        <v>1756.9702245032645</v>
      </c>
      <c r="AW34" s="888">
        <f t="shared" si="6"/>
        <v>0</v>
      </c>
      <c r="AX34" s="888">
        <f t="shared" si="7"/>
        <v>0</v>
      </c>
      <c r="AY34" s="888">
        <f t="shared" si="8"/>
        <v>0</v>
      </c>
      <c r="AZ34" s="888">
        <f t="shared" si="9"/>
        <v>0</v>
      </c>
      <c r="BA34" s="888">
        <f t="shared" si="10"/>
        <v>0</v>
      </c>
      <c r="BB34" s="888">
        <f t="shared" si="11"/>
        <v>0</v>
      </c>
      <c r="BC34" s="888"/>
      <c r="BD34" s="888">
        <f t="shared" si="21"/>
        <v>0</v>
      </c>
      <c r="BE34" s="888"/>
      <c r="BF34" s="888">
        <f t="shared" si="12"/>
        <v>0</v>
      </c>
      <c r="BG34" s="888">
        <f t="shared" si="13"/>
        <v>0</v>
      </c>
      <c r="BH34" s="889"/>
      <c r="BI34" s="906">
        <f>IFERROR(VLOOKUP(CONCATENATE(BI$3,$D34),'LCI - Simapro'!$A$2:$N$284,11,FALSE),0)</f>
        <v>1.8993352326685701E-2</v>
      </c>
      <c r="BJ34" s="866">
        <f>IFERROR(VLOOKUP(CONCATENATE(BJ$3,$D34),'LCI - Simapro'!$A$2:$N$284,11,FALSE),0)</f>
        <v>0</v>
      </c>
      <c r="BK34" s="866">
        <f>IFERROR(VLOOKUP(CONCATENATE(BK$3,$D34),'LCI - Simapro'!$A$2:$N$284,11,FALSE),0)</f>
        <v>1.5954415954415999</v>
      </c>
      <c r="BL34" s="866">
        <f>IFERROR(VLOOKUP(CONCATENATE(BL$3,$D34),'LCI - Simapro'!$A$2:$N$284,11,FALSE),0)</f>
        <v>2.6970560303893598</v>
      </c>
      <c r="BM34" s="866">
        <f>IFERROR(VLOOKUP(CONCATENATE(BM$3,$D34),'LCI - Simapro'!$A$2:$N$284,11,FALSE),0)</f>
        <v>0</v>
      </c>
      <c r="BN34" s="866">
        <f>IFERROR(VLOOKUP(CONCATENATE(BN$3,$D34),'LCI - Simapro'!$A$2:$N$284,11,FALSE),0)</f>
        <v>0</v>
      </c>
      <c r="BO34" s="866">
        <f>IFERROR(VLOOKUP(CONCATENATE(BO$3,$D34),'LCI - Simapro'!$A$2:$N$284,11,FALSE),0)</f>
        <v>4.7103513770180398E-3</v>
      </c>
      <c r="BP34" s="866">
        <f>IFERROR(VLOOKUP(CONCATENATE(BP$3,$D34),'LCI - Simapro'!$A$2:$N$284,11,FALSE),0)</f>
        <v>0</v>
      </c>
      <c r="BQ34" s="866">
        <f>IFERROR(VLOOKUP(CONCATENATE(BQ$3,$D34),'LCI - Simapro'!$A$2:$N$284,11,FALSE),0)</f>
        <v>0</v>
      </c>
      <c r="BR34" s="866">
        <f>IFERROR(VLOOKUP(CONCATENATE(BR$3,$D34),'LCI - Simapro'!$A$2:$N$284,11,FALSE),0)</f>
        <v>0</v>
      </c>
      <c r="BS34" s="866">
        <f>IFERROR(VLOOKUP(CONCATENATE(BS$3,$D34),'LCI - Simapro'!$A$2:$N$284,11,FALSE),0)</f>
        <v>0</v>
      </c>
      <c r="BT34" s="866">
        <f>IFERROR(VLOOKUP(CONCATENATE(BT$3,$D34),'LCI - Simapro'!$A$2:$N$284,11,FALSE),0)</f>
        <v>0</v>
      </c>
      <c r="BU34" s="866">
        <f>IFERROR(VLOOKUP(CONCATENATE(BU$3,$D34),'LCI - Simapro'!$A$2:$N$284,11,FALSE),0)</f>
        <v>0</v>
      </c>
      <c r="BV34" s="866">
        <f>IFERROR(VLOOKUP(CONCATENATE(BV$3,$D34),'LCI - Simapro'!$A$2:$N$284,11,FALSE),0)</f>
        <v>0</v>
      </c>
      <c r="BW34" s="866">
        <f>IFERROR(VLOOKUP(CONCATENATE(BW$3,$D34),'LCI - Simapro'!$A$2:$N$284,11,FALSE),0)</f>
        <v>0</v>
      </c>
      <c r="BX34" s="907"/>
    </row>
    <row r="35" spans="1:76" ht="26.4" customHeight="1">
      <c r="A35" t="s">
        <v>5761</v>
      </c>
      <c r="B35" s="846">
        <v>119</v>
      </c>
      <c r="C35" s="903"/>
      <c r="D35" s="884" t="s">
        <v>464</v>
      </c>
      <c r="E35" s="387" t="s">
        <v>607</v>
      </c>
      <c r="F35" s="856">
        <f>VLOOKUP(F$3,'FE - Aluminum'!$E$11:$DX$54,$B35,FALSE)*VLOOKUP(F$3,'FE - Aluminum'!$E$11:$DX$54,57,FALSE)</f>
        <v>3.691021026175064</v>
      </c>
      <c r="G35" s="856">
        <f>VLOOKUP(G$3,'FE - Aluminum'!$E$11:$DX$54,$B35,FALSE)*VLOOKUP(G$3,'FE - Aluminum'!$E$11:$DX$54,57,FALSE)</f>
        <v>0</v>
      </c>
      <c r="H35" s="856">
        <f>VLOOKUP(H$3,'FE - Aluminum'!$E$11:$DX$54,$B35,FALSE)*VLOOKUP(H$3,'FE - Aluminum'!$E$11:$DX$54,57,FALSE)</f>
        <v>0</v>
      </c>
      <c r="I35" s="856">
        <f>VLOOKUP(I$3,'FE - Aluminum'!$E$11:$DX$54,$B35,FALSE)*VLOOKUP(I$3,'FE - Aluminum'!$E$11:$DX$54,57,FALSE)</f>
        <v>0</v>
      </c>
      <c r="J35" s="856">
        <f>VLOOKUP(J$3,'FE - Aluminum'!$E$11:$DX$54,$B35,FALSE)*VLOOKUP(J$3,'FE - Aluminum'!$E$11:$DX$54,57,FALSE)</f>
        <v>0</v>
      </c>
      <c r="K35" s="856">
        <f>VLOOKUP(K$3,'FE - Aluminum'!$E$11:$DX$54,$B35,FALSE)*VLOOKUP(K$3,'FE - Aluminum'!$E$11:$DX$54,57,FALSE)</f>
        <v>0</v>
      </c>
      <c r="L35" s="856">
        <f>VLOOKUP(L$3,'FE - Aluminum'!$E$11:$DX$54,$B35,FALSE)*VLOOKUP(L$3,'FE - Aluminum'!$E$11:$DX$54,57,FALSE)</f>
        <v>0</v>
      </c>
      <c r="M35" s="856">
        <f>VLOOKUP(M$3,'FE - Aluminum'!$E$11:$DX$54,$B35,FALSE)*VLOOKUP(M$3,'FE - Aluminum'!$E$11:$DX$54,57,FALSE)</f>
        <v>0</v>
      </c>
      <c r="N35" s="856">
        <f>VLOOKUP(N$3,'FE - Aluminum'!$E$11:$DX$54,$B35,FALSE)*VLOOKUP(N$3,'FE - Aluminum'!$E$11:$DX$54,57,FALSE)</f>
        <v>0</v>
      </c>
      <c r="O35" s="856">
        <f>VLOOKUP(O$3,'FE - Aluminum'!$E$11:$DX$54,$B35,FALSE)*VLOOKUP(O$3,'FE - Aluminum'!$E$11:$DX$54,57,FALSE)</f>
        <v>0</v>
      </c>
      <c r="P35" s="856">
        <f>VLOOKUP(P$3,'FE - Aluminum'!$E$11:$DX$54,$B35,FALSE)*VLOOKUP(P$3,'FE - Aluminum'!$E$11:$DX$54,57,FALSE)</f>
        <v>0</v>
      </c>
      <c r="Q35" s="856">
        <f>VLOOKUP(Q$3,'FE - Aluminum'!$E$11:$DX$54,$B35,FALSE)*VLOOKUP(Q$3,'FE - Aluminum'!$E$11:$DX$54,57,FALSE)</f>
        <v>0</v>
      </c>
      <c r="R35" s="856">
        <f>VLOOKUP(R$3,'FE - Aluminum'!$E$11:$DX$54,$B35,FALSE)*VLOOKUP(R$3,'FE - Aluminum'!$E$11:$DX$54,57,FALSE)</f>
        <v>0</v>
      </c>
      <c r="S35" s="856">
        <f>VLOOKUP(S$3,'FE - Aluminum'!$E$11:$DX$54,$B35,FALSE)*VLOOKUP(S$3,'FE - Aluminum'!$E$11:$DX$54,57,FALSE)</f>
        <v>0</v>
      </c>
      <c r="T35" s="856">
        <f>VLOOKUP(T$3,'FE - Aluminum'!$E$11:$DX$54,$B35,FALSE)*VLOOKUP(T$3,'FE - Aluminum'!$E$11:$DX$54,57,FALSE)</f>
        <v>0</v>
      </c>
      <c r="U35" s="856">
        <f>VLOOKUP(U$3,'FE - Aluminum'!$E$11:$DX$54,$B35,FALSE)*VLOOKUP(U$3,'FE - Aluminum'!$E$11:$DX$54,57,FALSE)</f>
        <v>0</v>
      </c>
      <c r="V35" s="856">
        <f>VLOOKUP(V$3,'FE - Aluminum'!$E$11:$DX$54,$B35,FALSE)*VLOOKUP(V$3,'FE - Aluminum'!$E$11:$DX$54,57,FALSE)</f>
        <v>9.6982687999999992</v>
      </c>
      <c r="W35" s="856">
        <f>VLOOKUP(W$3,'FE - Aluminum'!$E$11:$DX$54,$B35,FALSE)*VLOOKUP(W$3,'FE - Aluminum'!$E$11:$DX$54,57,FALSE)</f>
        <v>1.8513750518518521</v>
      </c>
      <c r="X35" s="856">
        <f>VLOOKUP(X$3,'FE - Aluminum'!$E$11:$DX$54,$B35,FALSE)*VLOOKUP(X$3,'FE - Aluminum'!$E$11:$DX$54,57,FALSE)</f>
        <v>0</v>
      </c>
      <c r="Y35" s="856">
        <f>VLOOKUP(Y$3,'FE - Aluminum'!$E$11:$DX$54,$B35,FALSE)*VLOOKUP(Y$3,'FE - Aluminum'!$E$11:$DX$54,57,FALSE)</f>
        <v>0</v>
      </c>
      <c r="Z35" s="856">
        <f>VLOOKUP(Z$3,'FE - Aluminum'!$E$11:$DX$54,$B35,FALSE)*VLOOKUP(Z$3,'FE - Aluminum'!$E$11:$DX$54,57,FALSE)</f>
        <v>0</v>
      </c>
      <c r="AA35" s="856">
        <f>VLOOKUP(AA$3,'FE - Aluminum'!$E$11:$DX$54,$B35,FALSE)*VLOOKUP(AA$3,'FE - Aluminum'!$E$11:$DX$54,57,FALSE)</f>
        <v>0</v>
      </c>
      <c r="AB35" s="856">
        <f>VLOOKUP(AB$3,'FE - Aluminum'!$E$11:$DX$54,$B35,FALSE)*VLOOKUP(AB$3,'FE - Aluminum'!$E$11:$DX$54,57,FALSE)</f>
        <v>0</v>
      </c>
      <c r="AC35" s="856">
        <f>VLOOKUP(AC$3,'FE - Aluminum'!$E$11:$DX$54,$B35,FALSE)*VLOOKUP(AC$3,'FE - Aluminum'!$E$11:$DX$54,57,FALSE)</f>
        <v>0</v>
      </c>
      <c r="AD35" s="856">
        <f>VLOOKUP(AD$3,'FE - Aluminum'!$E$11:$DX$54,$B35,FALSE)*VLOOKUP(AD$3,'FE - Aluminum'!$E$11:$DX$54,57,FALSE)</f>
        <v>6.0025570462223943</v>
      </c>
      <c r="AE35" s="856">
        <f>VLOOKUP(AE$3,'FE - Aluminum'!$E$11:$DX$54,$B35,FALSE)*VLOOKUP(AE$3,'FE - Aluminum'!$E$11:$DX$54,57,FALSE)</f>
        <v>4.1148934999999938</v>
      </c>
      <c r="AF35" s="856">
        <f>VLOOKUP(AF$3,'FE - Aluminum'!$E$11:$DX$54,$B35,FALSE)*VLOOKUP(AF$3,'FE - Aluminum'!$E$11:$DX$54,57,FALSE)</f>
        <v>3.6883700999999989</v>
      </c>
      <c r="AG35" s="856">
        <f>VLOOKUP(AG$3,'FE - Aluminum'!$E$11:$DX$54,$B35,FALSE)*VLOOKUP(AG$3,'FE - Aluminum'!$E$11:$DX$54,57,FALSE)</f>
        <v>0</v>
      </c>
      <c r="AH35" s="856">
        <f>VLOOKUP(AH$3,'FE - Aluminum'!$E$11:$DX$54,$B35,FALSE)*VLOOKUP(AH$3,'FE - Aluminum'!$E$11:$DX$54,57,FALSE)</f>
        <v>0</v>
      </c>
      <c r="AI35" s="856">
        <f>VLOOKUP(AI$3,'FE - Aluminum'!$E$11:$DX$54,$B35,FALSE)*VLOOKUP(AI$3,'FE - Aluminum'!$E$11:$DX$54,57,FALSE)</f>
        <v>0</v>
      </c>
      <c r="AJ35" s="856">
        <f>VLOOKUP(AJ$3,'FE - Aluminum'!$E$11:$DX$54,$B35,FALSE)*VLOOKUP(AJ$3,'FE - Aluminum'!$E$11:$DX$54,57,FALSE)</f>
        <v>0</v>
      </c>
      <c r="AK35" s="856">
        <f>VLOOKUP(AK$3,'FE - Aluminum'!$E$11:$DX$54,$B35,FALSE)*VLOOKUP(AK$3,'FE - Aluminum'!$E$11:$DX$54,57,FALSE)</f>
        <v>0</v>
      </c>
      <c r="AL35" s="856">
        <f>VLOOKUP(AL$3,'FE - Aluminum'!$E$11:$DX$54,$B35,FALSE)*VLOOKUP(AL$3,'FE - Aluminum'!$E$11:$DX$54,57,FALSE)</f>
        <v>0</v>
      </c>
      <c r="AM35" s="856">
        <f>VLOOKUP(AM$3,'FE - Aluminum'!$E$11:$DX$54,$B35,FALSE)*VLOOKUP(AM$3,'FE - Aluminum'!$E$11:$DX$54,57,FALSE)</f>
        <v>0</v>
      </c>
      <c r="AN35" s="856">
        <f>VLOOKUP(AN$3,'FE - Aluminum'!$E$11:$DX$54,$B35,FALSE)*VLOOKUP(AN$3,'FE - Aluminum'!$E$11:$DX$54,57,FALSE)</f>
        <v>0</v>
      </c>
      <c r="AO35" s="856">
        <f>VLOOKUP(AO$3,'FE - Aluminum'!$E$11:$DX$54,$B35,FALSE)*VLOOKUP(AO$3,'FE - Aluminum'!$E$11:$DX$54,57,FALSE)</f>
        <v>0</v>
      </c>
      <c r="AP35" s="856">
        <f>VLOOKUP(AP$3,'FE - Aluminum'!$E$11:$DX$54,$B35,FALSE)*VLOOKUP(AP$3,'FE - Aluminum'!$E$11:$DX$54,57,FALSE)</f>
        <v>0</v>
      </c>
      <c r="AQ35" s="856">
        <f>VLOOKUP(AQ$3,'FE - Aluminum'!$E$11:$DX$54,$B35,FALSE)*VLOOKUP(AQ$3,'FE - Aluminum'!$E$11:$DX$54,57,FALSE)</f>
        <v>0</v>
      </c>
      <c r="AR35" s="880"/>
      <c r="AS35" s="879">
        <f t="shared" si="3"/>
        <v>3.691021026175064</v>
      </c>
      <c r="AT35" s="888"/>
      <c r="AU35" s="888">
        <f t="shared" si="4"/>
        <v>0</v>
      </c>
      <c r="AV35" s="888">
        <f t="shared" si="5"/>
        <v>0</v>
      </c>
      <c r="AW35" s="888">
        <f t="shared" si="6"/>
        <v>0</v>
      </c>
      <c r="AX35" s="888">
        <f t="shared" si="7"/>
        <v>0</v>
      </c>
      <c r="AY35" s="888">
        <f t="shared" si="8"/>
        <v>1.8513750518518521</v>
      </c>
      <c r="AZ35" s="888">
        <f t="shared" si="9"/>
        <v>0</v>
      </c>
      <c r="BA35" s="888">
        <f t="shared" si="10"/>
        <v>7.8032635999999922</v>
      </c>
      <c r="BB35" s="888">
        <f t="shared" si="11"/>
        <v>5.818961279999999</v>
      </c>
      <c r="BC35" s="888"/>
      <c r="BD35" s="888">
        <f t="shared" si="21"/>
        <v>3.8793075199999998</v>
      </c>
      <c r="BE35" s="888"/>
      <c r="BF35" s="888">
        <f t="shared" si="12"/>
        <v>0</v>
      </c>
      <c r="BG35" s="888">
        <f t="shared" si="13"/>
        <v>7.8032635999999922</v>
      </c>
      <c r="BH35" s="889"/>
      <c r="BI35" s="906">
        <f>IFERROR(VLOOKUP(CONCATENATE(BI$3,$D35),'LCI - Simapro'!$A$2:$N$284,11,FALSE),0)</f>
        <v>6.48812915479582E-2</v>
      </c>
      <c r="BJ35" s="866">
        <f>IFERROR(VLOOKUP(CONCATENATE(BJ$3,$D35),'LCI - Simapro'!$A$2:$N$284,11,FALSE),0)</f>
        <v>0</v>
      </c>
      <c r="BK35" s="866">
        <f>IFERROR(VLOOKUP(CONCATENATE(BK$3,$D35),'LCI - Simapro'!$A$2:$N$284,11,FALSE),0)</f>
        <v>4.0550807217473901E-3</v>
      </c>
      <c r="BL35" s="866">
        <f>IFERROR(VLOOKUP(CONCATENATE(BL$3,$D35),'LCI - Simapro'!$A$2:$N$284,11,FALSE),0)</f>
        <v>4.0550807217473901E-4</v>
      </c>
      <c r="BM35" s="866">
        <f>IFERROR(VLOOKUP(CONCATENATE(BM$3,$D35),'LCI - Simapro'!$A$2:$N$284,11,FALSE),0)</f>
        <v>0</v>
      </c>
      <c r="BN35" s="866">
        <f>IFERROR(VLOOKUP(CONCATENATE(BN$3,$D35),'LCI - Simapro'!$A$2:$N$284,11,FALSE),0)</f>
        <v>0</v>
      </c>
      <c r="BO35" s="866">
        <f>IFERROR(VLOOKUP(CONCATENATE(BO$3,$D35),'LCI - Simapro'!$A$2:$N$284,11,FALSE),0)</f>
        <v>0</v>
      </c>
      <c r="BP35" s="866">
        <f>IFERROR(VLOOKUP(CONCATENATE(BP$3,$D35),'LCI - Simapro'!$A$2:$N$284,11,FALSE),0)</f>
        <v>4.8999999999999998E-3</v>
      </c>
      <c r="BQ35" s="866">
        <f>IFERROR(VLOOKUP(CONCATENATE(BQ$3,$D35),'LCI - Simapro'!$A$2:$N$284,11,FALSE),0)</f>
        <v>0</v>
      </c>
      <c r="BR35" s="866">
        <f>IFERROR(VLOOKUP(CONCATENATE(BR$3,$D35),'LCI - Simapro'!$A$2:$N$284,11,FALSE),0)</f>
        <v>0</v>
      </c>
      <c r="BS35" s="866">
        <f>IFERROR(VLOOKUP(CONCATENATE(BS$3,$D35),'LCI - Simapro'!$A$2:$N$284,11,FALSE),0)</f>
        <v>0</v>
      </c>
      <c r="BT35" s="866">
        <f>IFERROR(VLOOKUP(CONCATENATE(BT$3,$D35),'LCI - Simapro'!$A$2:$N$284,11,FALSE),0)</f>
        <v>0</v>
      </c>
      <c r="BU35" s="866">
        <f>IFERROR(VLOOKUP(CONCATENATE(BU$3,$D35),'LCI - Simapro'!$A$2:$N$284,11,FALSE),0)</f>
        <v>0</v>
      </c>
      <c r="BV35" s="866">
        <f>IFERROR(VLOOKUP(CONCATENATE(BV$3,$D35),'LCI - Simapro'!$A$2:$N$284,11,FALSE),0)</f>
        <v>0</v>
      </c>
      <c r="BW35" s="866">
        <f>IFERROR(VLOOKUP(CONCATENATE(BW$3,$D35),'LCI - Simapro'!$A$2:$N$284,11,FALSE),0)</f>
        <v>0</v>
      </c>
      <c r="BX35" s="907"/>
    </row>
    <row r="36" spans="1:76" ht="26.4" customHeight="1">
      <c r="A36" t="s">
        <v>5761</v>
      </c>
      <c r="B36" s="846">
        <v>120</v>
      </c>
      <c r="C36" s="903"/>
      <c r="D36" s="884" t="s">
        <v>84</v>
      </c>
      <c r="E36" s="387" t="s">
        <v>607</v>
      </c>
      <c r="F36" s="856">
        <f>VLOOKUP(F$3,'FE - Aluminum'!$E$11:$DX$54,$B36,FALSE)*VLOOKUP(F$3,'FE - Aluminum'!$E$11:$DX$54,57,FALSE)</f>
        <v>0</v>
      </c>
      <c r="G36" s="856">
        <f>VLOOKUP(G$3,'FE - Aluminum'!$E$11:$DX$54,$B36,FALSE)*VLOOKUP(G$3,'FE - Aluminum'!$E$11:$DX$54,57,FALSE)</f>
        <v>0</v>
      </c>
      <c r="H36" s="856">
        <f>VLOOKUP(H$3,'FE - Aluminum'!$E$11:$DX$54,$B36,FALSE)*VLOOKUP(H$3,'FE - Aluminum'!$E$11:$DX$54,57,FALSE)</f>
        <v>132.48499854699097</v>
      </c>
      <c r="I36" s="856">
        <f>VLOOKUP(I$3,'FE - Aluminum'!$E$11:$DX$54,$B36,FALSE)*VLOOKUP(I$3,'FE - Aluminum'!$E$11:$DX$54,57,FALSE)</f>
        <v>5.5342569822052798</v>
      </c>
      <c r="J36" s="856">
        <f>VLOOKUP(J$3,'FE - Aluminum'!$E$11:$DX$54,$B36,FALSE)*VLOOKUP(J$3,'FE - Aluminum'!$E$11:$DX$54,57,FALSE)</f>
        <v>4.2256695124428205</v>
      </c>
      <c r="K36" s="856">
        <f>VLOOKUP(K$3,'FE - Aluminum'!$E$11:$DX$54,$B36,FALSE)*VLOOKUP(K$3,'FE - Aluminum'!$E$11:$DX$54,57,FALSE)</f>
        <v>15.08055485587748</v>
      </c>
      <c r="L36" s="856">
        <f>VLOOKUP(L$3,'FE - Aluminum'!$E$11:$DX$54,$B36,FALSE)*VLOOKUP(L$3,'FE - Aluminum'!$E$11:$DX$54,57,FALSE)</f>
        <v>2.2692096122772978</v>
      </c>
      <c r="M36" s="856">
        <f>VLOOKUP(M$3,'FE - Aluminum'!$E$11:$DX$54,$B36,FALSE)*VLOOKUP(M$3,'FE - Aluminum'!$E$11:$DX$54,57,FALSE)</f>
        <v>0.1261338733566067</v>
      </c>
      <c r="N36" s="856">
        <f>VLOOKUP(N$3,'FE - Aluminum'!$E$11:$DX$54,$B36,FALSE)*VLOOKUP(N$3,'FE - Aluminum'!$E$11:$DX$54,57,FALSE)</f>
        <v>0</v>
      </c>
      <c r="O36" s="856">
        <f>VLOOKUP(O$3,'FE - Aluminum'!$E$11:$DX$54,$B36,FALSE)*VLOOKUP(O$3,'FE - Aluminum'!$E$11:$DX$54,57,FALSE)</f>
        <v>1.6477971547965402</v>
      </c>
      <c r="P36" s="856">
        <f>VLOOKUP(P$3,'FE - Aluminum'!$E$11:$DX$54,$B36,FALSE)*VLOOKUP(P$3,'FE - Aluminum'!$E$11:$DX$54,57,FALSE)</f>
        <v>41.745850255432572</v>
      </c>
      <c r="Q36" s="856">
        <f>VLOOKUP(Q$3,'FE - Aluminum'!$E$11:$DX$54,$B36,FALSE)*VLOOKUP(Q$3,'FE - Aluminum'!$E$11:$DX$54,57,FALSE)</f>
        <v>167.16611355783704</v>
      </c>
      <c r="R36" s="856">
        <f>VLOOKUP(R$3,'FE - Aluminum'!$E$11:$DX$54,$B36,FALSE)*VLOOKUP(R$3,'FE - Aluminum'!$E$11:$DX$54,57,FALSE)</f>
        <v>0</v>
      </c>
      <c r="S36" s="856">
        <f>VLOOKUP(S$3,'FE - Aluminum'!$E$11:$DX$54,$B36,FALSE)*VLOOKUP(S$3,'FE - Aluminum'!$E$11:$DX$54,57,FALSE)</f>
        <v>114.94197730395189</v>
      </c>
      <c r="T36" s="856">
        <f>VLOOKUP(T$3,'FE - Aluminum'!$E$11:$DX$54,$B36,FALSE)*VLOOKUP(T$3,'FE - Aluminum'!$E$11:$DX$54,57,FALSE)</f>
        <v>0</v>
      </c>
      <c r="U36" s="856">
        <f>VLOOKUP(U$3,'FE - Aluminum'!$E$11:$DX$54,$B36,FALSE)*VLOOKUP(U$3,'FE - Aluminum'!$E$11:$DX$54,57,FALSE)</f>
        <v>0</v>
      </c>
      <c r="V36" s="856">
        <f>VLOOKUP(V$3,'FE - Aluminum'!$E$11:$DX$54,$B36,FALSE)*VLOOKUP(V$3,'FE - Aluminum'!$E$11:$DX$54,57,FALSE)</f>
        <v>0</v>
      </c>
      <c r="W36" s="856">
        <f>VLOOKUP(W$3,'FE - Aluminum'!$E$11:$DX$54,$B36,FALSE)*VLOOKUP(W$3,'FE - Aluminum'!$E$11:$DX$54,57,FALSE)</f>
        <v>0</v>
      </c>
      <c r="X36" s="856">
        <f>VLOOKUP(X$3,'FE - Aluminum'!$E$11:$DX$54,$B36,FALSE)*VLOOKUP(X$3,'FE - Aluminum'!$E$11:$DX$54,57,FALSE)</f>
        <v>0</v>
      </c>
      <c r="Y36" s="856">
        <f>VLOOKUP(Y$3,'FE - Aluminum'!$E$11:$DX$54,$B36,FALSE)*VLOOKUP(Y$3,'FE - Aluminum'!$E$11:$DX$54,57,FALSE)</f>
        <v>0</v>
      </c>
      <c r="Z36" s="856">
        <f>VLOOKUP(Z$3,'FE - Aluminum'!$E$11:$DX$54,$B36,FALSE)*VLOOKUP(Z$3,'FE - Aluminum'!$E$11:$DX$54,57,FALSE)</f>
        <v>0</v>
      </c>
      <c r="AA36" s="856">
        <f>VLOOKUP(AA$3,'FE - Aluminum'!$E$11:$DX$54,$B36,FALSE)*VLOOKUP(AA$3,'FE - Aluminum'!$E$11:$DX$54,57,FALSE)</f>
        <v>0</v>
      </c>
      <c r="AB36" s="856">
        <f>VLOOKUP(AB$3,'FE - Aluminum'!$E$11:$DX$54,$B36,FALSE)*VLOOKUP(AB$3,'FE - Aluminum'!$E$11:$DX$54,57,FALSE)</f>
        <v>0</v>
      </c>
      <c r="AC36" s="856">
        <f>VLOOKUP(AC$3,'FE - Aluminum'!$E$11:$DX$54,$B36,FALSE)*VLOOKUP(AC$3,'FE - Aluminum'!$E$11:$DX$54,57,FALSE)</f>
        <v>0</v>
      </c>
      <c r="AD36" s="856">
        <f>VLOOKUP(AD$3,'FE - Aluminum'!$E$11:$DX$54,$B36,FALSE)*VLOOKUP(AD$3,'FE - Aluminum'!$E$11:$DX$54,57,FALSE)</f>
        <v>0</v>
      </c>
      <c r="AE36" s="856">
        <f>VLOOKUP(AE$3,'FE - Aluminum'!$E$11:$DX$54,$B36,FALSE)*VLOOKUP(AE$3,'FE - Aluminum'!$E$11:$DX$54,57,FALSE)</f>
        <v>0</v>
      </c>
      <c r="AF36" s="856">
        <f>VLOOKUP(AF$3,'FE - Aluminum'!$E$11:$DX$54,$B36,FALSE)*VLOOKUP(AF$3,'FE - Aluminum'!$E$11:$DX$54,57,FALSE)</f>
        <v>0</v>
      </c>
      <c r="AG36" s="856">
        <f>VLOOKUP(AG$3,'FE - Aluminum'!$E$11:$DX$54,$B36,FALSE)*VLOOKUP(AG$3,'FE - Aluminum'!$E$11:$DX$54,57,FALSE)</f>
        <v>251.60628231992314</v>
      </c>
      <c r="AH36" s="856">
        <f>VLOOKUP(AH$3,'FE - Aluminum'!$E$11:$DX$54,$B36,FALSE)*VLOOKUP(AH$3,'FE - Aluminum'!$E$11:$DX$54,57,FALSE)</f>
        <v>469.27471679999996</v>
      </c>
      <c r="AI36" s="856">
        <f>VLOOKUP(AI$3,'FE - Aluminum'!$E$11:$DX$54,$B36,FALSE)*VLOOKUP(AI$3,'FE - Aluminum'!$E$11:$DX$54,57,FALSE)</f>
        <v>0</v>
      </c>
      <c r="AJ36" s="856">
        <f>VLOOKUP(AJ$3,'FE - Aluminum'!$E$11:$DX$54,$B36,FALSE)*VLOOKUP(AJ$3,'FE - Aluminum'!$E$11:$DX$54,57,FALSE)</f>
        <v>0</v>
      </c>
      <c r="AK36" s="856">
        <f>VLOOKUP(AK$3,'FE - Aluminum'!$E$11:$DX$54,$B36,FALSE)*VLOOKUP(AK$3,'FE - Aluminum'!$E$11:$DX$54,57,FALSE)</f>
        <v>0</v>
      </c>
      <c r="AL36" s="856">
        <f>VLOOKUP(AL$3,'FE - Aluminum'!$E$11:$DX$54,$B36,FALSE)*VLOOKUP(AL$3,'FE - Aluminum'!$E$11:$DX$54,57,FALSE)</f>
        <v>0</v>
      </c>
      <c r="AM36" s="856">
        <f>VLOOKUP(AM$3,'FE - Aluminum'!$E$11:$DX$54,$B36,FALSE)*VLOOKUP(AM$3,'FE - Aluminum'!$E$11:$DX$54,57,FALSE)</f>
        <v>0</v>
      </c>
      <c r="AN36" s="856">
        <f>VLOOKUP(AN$3,'FE - Aluminum'!$E$11:$DX$54,$B36,FALSE)*VLOOKUP(AN$3,'FE - Aluminum'!$E$11:$DX$54,57,FALSE)</f>
        <v>0</v>
      </c>
      <c r="AO36" s="856">
        <f>VLOOKUP(AO$3,'FE - Aluminum'!$E$11:$DX$54,$B36,FALSE)*VLOOKUP(AO$3,'FE - Aluminum'!$E$11:$DX$54,57,FALSE)</f>
        <v>0</v>
      </c>
      <c r="AP36" s="856">
        <f>VLOOKUP(AP$3,'FE - Aluminum'!$E$11:$DX$54,$B36,FALSE)*VLOOKUP(AP$3,'FE - Aluminum'!$E$11:$DX$54,57,FALSE)</f>
        <v>0</v>
      </c>
      <c r="AQ36" s="856">
        <f>VLOOKUP(AQ$3,'FE - Aluminum'!$E$11:$DX$54,$B36,FALSE)*VLOOKUP(AQ$3,'FE - Aluminum'!$E$11:$DX$54,57,FALSE)</f>
        <v>0</v>
      </c>
      <c r="AR36" s="880"/>
      <c r="AS36" s="879">
        <f t="shared" si="3"/>
        <v>0</v>
      </c>
      <c r="AT36" s="888"/>
      <c r="AU36" s="888">
        <f t="shared" si="4"/>
        <v>208.91196381326961</v>
      </c>
      <c r="AV36" s="888">
        <f t="shared" si="5"/>
        <v>114.94197730395189</v>
      </c>
      <c r="AW36" s="888">
        <f t="shared" si="6"/>
        <v>0</v>
      </c>
      <c r="AX36" s="888">
        <f t="shared" si="7"/>
        <v>0</v>
      </c>
      <c r="AY36" s="888">
        <f t="shared" si="8"/>
        <v>0</v>
      </c>
      <c r="AZ36" s="888">
        <f t="shared" si="9"/>
        <v>469.27471679999996</v>
      </c>
      <c r="BA36" s="888">
        <f t="shared" si="10"/>
        <v>0</v>
      </c>
      <c r="BB36" s="888">
        <f t="shared" si="11"/>
        <v>0</v>
      </c>
      <c r="BC36" s="888"/>
      <c r="BD36" s="888">
        <f t="shared" si="21"/>
        <v>0</v>
      </c>
      <c r="BE36" s="888"/>
      <c r="BF36" s="888">
        <f t="shared" si="12"/>
        <v>0</v>
      </c>
      <c r="BG36" s="888">
        <f t="shared" si="13"/>
        <v>469.27471679999996</v>
      </c>
      <c r="BH36" s="889"/>
      <c r="BI36" s="906">
        <f>IFERROR(VLOOKUP(CONCATENATE(BI$3,$D36),'LCI - Simapro'!$A$2:$N$284,11,FALSE),0)</f>
        <v>0</v>
      </c>
      <c r="BJ36" s="866">
        <f>IFERROR(VLOOKUP(CONCATENATE(BJ$3,$D36),'LCI - Simapro'!$A$2:$N$284,11,FALSE),0)</f>
        <v>0</v>
      </c>
      <c r="BK36" s="866">
        <f>IFERROR(VLOOKUP(CONCATENATE(BK$3,$D36),'LCI - Simapro'!$A$2:$N$284,11,FALSE),0)</f>
        <v>0.31076923076923102</v>
      </c>
      <c r="BL36" s="866">
        <f>IFERROR(VLOOKUP(CONCATENATE(BL$3,$D36),'LCI - Simapro'!$A$2:$N$284,11,FALSE),0)</f>
        <v>0.15538461538461501</v>
      </c>
      <c r="BM36" s="866">
        <f>IFERROR(VLOOKUP(CONCATENATE(BM$3,$D36),'LCI - Simapro'!$A$2:$N$284,11,FALSE),0)</f>
        <v>0</v>
      </c>
      <c r="BN36" s="866">
        <f>IFERROR(VLOOKUP(CONCATENATE(BN$3,$D36),'LCI - Simapro'!$A$2:$N$284,11,FALSE),0)</f>
        <v>0</v>
      </c>
      <c r="BO36" s="866">
        <f>IFERROR(VLOOKUP(CONCATENATE(BO$3,$D36),'LCI - Simapro'!$A$2:$N$284,11,FALSE),0)</f>
        <v>0.66815384615384599</v>
      </c>
      <c r="BP36" s="866">
        <f>IFERROR(VLOOKUP(CONCATENATE(BP$3,$D36),'LCI - Simapro'!$A$2:$N$284,11,FALSE),0)</f>
        <v>0.98529999999999995</v>
      </c>
      <c r="BQ36" s="866">
        <f>IFERROR(VLOOKUP(CONCATENATE(BQ$3,$D36),'LCI - Simapro'!$A$2:$N$284,11,FALSE),0)</f>
        <v>0</v>
      </c>
      <c r="BR36" s="866">
        <f>IFERROR(VLOOKUP(CONCATENATE(BR$3,$D36),'LCI - Simapro'!$A$2:$N$284,11,FALSE),0)</f>
        <v>0</v>
      </c>
      <c r="BS36" s="866">
        <f>IFERROR(VLOOKUP(CONCATENATE(BS$3,$D36),'LCI - Simapro'!$A$2:$N$284,11,FALSE),0)</f>
        <v>0</v>
      </c>
      <c r="BT36" s="866">
        <f>IFERROR(VLOOKUP(CONCATENATE(BT$3,$D36),'LCI - Simapro'!$A$2:$N$284,11,FALSE),0)</f>
        <v>0</v>
      </c>
      <c r="BU36" s="866">
        <f>IFERROR(VLOOKUP(CONCATENATE(BU$3,$D36),'LCI - Simapro'!$A$2:$N$284,11,FALSE),0)</f>
        <v>0</v>
      </c>
      <c r="BV36" s="866">
        <f>IFERROR(VLOOKUP(CONCATENATE(BV$3,$D36),'LCI - Simapro'!$A$2:$N$284,11,FALSE),0)</f>
        <v>0</v>
      </c>
      <c r="BW36" s="866">
        <f>IFERROR(VLOOKUP(CONCATENATE(BW$3,$D36),'LCI - Simapro'!$A$2:$N$284,11,FALSE),0)</f>
        <v>0</v>
      </c>
      <c r="BX36" s="907"/>
    </row>
    <row r="37" spans="1:76" ht="26.4" customHeight="1">
      <c r="A37" t="s">
        <v>5761</v>
      </c>
      <c r="B37" s="846">
        <v>121</v>
      </c>
      <c r="C37" s="903"/>
      <c r="D37" s="884" t="s">
        <v>85</v>
      </c>
      <c r="E37" s="387" t="s">
        <v>607</v>
      </c>
      <c r="F37" s="856">
        <f>VLOOKUP(F$3,'FE - Aluminum'!$E$11:$DX$54,$B37,FALSE)*VLOOKUP(F$3,'FE - Aluminum'!$E$11:$DX$54,57,FALSE)</f>
        <v>0</v>
      </c>
      <c r="G37" s="856">
        <f>VLOOKUP(G$3,'FE - Aluminum'!$E$11:$DX$54,$B37,FALSE)*VLOOKUP(G$3,'FE - Aluminum'!$E$11:$DX$54,57,FALSE)</f>
        <v>0</v>
      </c>
      <c r="H37" s="856">
        <f>VLOOKUP(H$3,'FE - Aluminum'!$E$11:$DX$54,$B37,FALSE)*VLOOKUP(H$3,'FE - Aluminum'!$E$11:$DX$54,57,FALSE)</f>
        <v>0</v>
      </c>
      <c r="I37" s="856">
        <f>VLOOKUP(I$3,'FE - Aluminum'!$E$11:$DX$54,$B37,FALSE)*VLOOKUP(I$3,'FE - Aluminum'!$E$11:$DX$54,57,FALSE)</f>
        <v>0</v>
      </c>
      <c r="J37" s="856">
        <f>VLOOKUP(J$3,'FE - Aluminum'!$E$11:$DX$54,$B37,FALSE)*VLOOKUP(J$3,'FE - Aluminum'!$E$11:$DX$54,57,FALSE)</f>
        <v>44.671363417252671</v>
      </c>
      <c r="K37" s="856">
        <f>VLOOKUP(K$3,'FE - Aluminum'!$E$11:$DX$54,$B37,FALSE)*VLOOKUP(K$3,'FE - Aluminum'!$E$11:$DX$54,57,FALSE)</f>
        <v>0</v>
      </c>
      <c r="L37" s="856">
        <f>VLOOKUP(L$3,'FE - Aluminum'!$E$11:$DX$54,$B37,FALSE)*VLOOKUP(L$3,'FE - Aluminum'!$E$11:$DX$54,57,FALSE)</f>
        <v>0</v>
      </c>
      <c r="M37" s="856">
        <f>VLOOKUP(M$3,'FE - Aluminum'!$E$11:$DX$54,$B37,FALSE)*VLOOKUP(M$3,'FE - Aluminum'!$E$11:$DX$54,57,FALSE)</f>
        <v>0</v>
      </c>
      <c r="N37" s="856">
        <f>VLOOKUP(N$3,'FE - Aluminum'!$E$11:$DX$54,$B37,FALSE)*VLOOKUP(N$3,'FE - Aluminum'!$E$11:$DX$54,57,FALSE)</f>
        <v>0</v>
      </c>
      <c r="O37" s="856">
        <f>VLOOKUP(O$3,'FE - Aluminum'!$E$11:$DX$54,$B37,FALSE)*VLOOKUP(O$3,'FE - Aluminum'!$E$11:$DX$54,57,FALSE)</f>
        <v>0</v>
      </c>
      <c r="P37" s="856">
        <f>VLOOKUP(P$3,'FE - Aluminum'!$E$11:$DX$54,$B37,FALSE)*VLOOKUP(P$3,'FE - Aluminum'!$E$11:$DX$54,57,FALSE)</f>
        <v>441.31327412885861</v>
      </c>
      <c r="Q37" s="856">
        <f>VLOOKUP(Q$3,'FE - Aluminum'!$E$11:$DX$54,$B37,FALSE)*VLOOKUP(Q$3,'FE - Aluminum'!$E$11:$DX$54,57,FALSE)</f>
        <v>1767.1846290399913</v>
      </c>
      <c r="R37" s="856">
        <f>VLOOKUP(R$3,'FE - Aluminum'!$E$11:$DX$54,$B37,FALSE)*VLOOKUP(R$3,'FE - Aluminum'!$E$11:$DX$54,57,FALSE)</f>
        <v>0</v>
      </c>
      <c r="S37" s="856">
        <f>VLOOKUP(S$3,'FE - Aluminum'!$E$11:$DX$54,$B37,FALSE)*VLOOKUP(S$3,'FE - Aluminum'!$E$11:$DX$54,57,FALSE)</f>
        <v>1215.1009029274912</v>
      </c>
      <c r="T37" s="856">
        <f>VLOOKUP(T$3,'FE - Aluminum'!$E$11:$DX$54,$B37,FALSE)*VLOOKUP(T$3,'FE - Aluminum'!$E$11:$DX$54,57,FALSE)</f>
        <v>0</v>
      </c>
      <c r="U37" s="856">
        <f>VLOOKUP(U$3,'FE - Aluminum'!$E$11:$DX$54,$B37,FALSE)*VLOOKUP(U$3,'FE - Aluminum'!$E$11:$DX$54,57,FALSE)</f>
        <v>0</v>
      </c>
      <c r="V37" s="856">
        <f>VLOOKUP(V$3,'FE - Aluminum'!$E$11:$DX$54,$B37,FALSE)*VLOOKUP(V$3,'FE - Aluminum'!$E$11:$DX$54,57,FALSE)</f>
        <v>0</v>
      </c>
      <c r="W37" s="856">
        <f>VLOOKUP(W$3,'FE - Aluminum'!$E$11:$DX$54,$B37,FALSE)*VLOOKUP(W$3,'FE - Aluminum'!$E$11:$DX$54,57,FALSE)</f>
        <v>0</v>
      </c>
      <c r="X37" s="856">
        <f>VLOOKUP(X$3,'FE - Aluminum'!$E$11:$DX$54,$B37,FALSE)*VLOOKUP(X$3,'FE - Aluminum'!$E$11:$DX$54,57,FALSE)</f>
        <v>0</v>
      </c>
      <c r="Y37" s="856">
        <f>VLOOKUP(Y$3,'FE - Aluminum'!$E$11:$DX$54,$B37,FALSE)*VLOOKUP(Y$3,'FE - Aluminum'!$E$11:$DX$54,57,FALSE)</f>
        <v>0</v>
      </c>
      <c r="Z37" s="856">
        <f>VLOOKUP(Z$3,'FE - Aluminum'!$E$11:$DX$54,$B37,FALSE)*VLOOKUP(Z$3,'FE - Aluminum'!$E$11:$DX$54,57,FALSE)</f>
        <v>0</v>
      </c>
      <c r="AA37" s="856">
        <f>VLOOKUP(AA$3,'FE - Aluminum'!$E$11:$DX$54,$B37,FALSE)*VLOOKUP(AA$3,'FE - Aluminum'!$E$11:$DX$54,57,FALSE)</f>
        <v>0</v>
      </c>
      <c r="AB37" s="856">
        <f>VLOOKUP(AB$3,'FE - Aluminum'!$E$11:$DX$54,$B37,FALSE)*VLOOKUP(AB$3,'FE - Aluminum'!$E$11:$DX$54,57,FALSE)</f>
        <v>0</v>
      </c>
      <c r="AC37" s="856">
        <f>VLOOKUP(AC$3,'FE - Aluminum'!$E$11:$DX$54,$B37,FALSE)*VLOOKUP(AC$3,'FE - Aluminum'!$E$11:$DX$54,57,FALSE)</f>
        <v>0</v>
      </c>
      <c r="AD37" s="856">
        <f>VLOOKUP(AD$3,'FE - Aluminum'!$E$11:$DX$54,$B37,FALSE)*VLOOKUP(AD$3,'FE - Aluminum'!$E$11:$DX$54,57,FALSE)</f>
        <v>0</v>
      </c>
      <c r="AE37" s="856">
        <f>VLOOKUP(AE$3,'FE - Aluminum'!$E$11:$DX$54,$B37,FALSE)*VLOOKUP(AE$3,'FE - Aluminum'!$E$11:$DX$54,57,FALSE)</f>
        <v>0</v>
      </c>
      <c r="AF37" s="856">
        <f>VLOOKUP(AF$3,'FE - Aluminum'!$E$11:$DX$54,$B37,FALSE)*VLOOKUP(AF$3,'FE - Aluminum'!$E$11:$DX$54,57,FALSE)</f>
        <v>0</v>
      </c>
      <c r="AG37" s="856">
        <f>VLOOKUP(AG$3,'FE - Aluminum'!$E$11:$DX$54,$B37,FALSE)*VLOOKUP(AG$3,'FE - Aluminum'!$E$11:$DX$54,57,FALSE)</f>
        <v>0</v>
      </c>
      <c r="AH37" s="856">
        <f>VLOOKUP(AH$3,'FE - Aluminum'!$E$11:$DX$54,$B37,FALSE)*VLOOKUP(AH$3,'FE - Aluminum'!$E$11:$DX$54,57,FALSE)</f>
        <v>0</v>
      </c>
      <c r="AI37" s="856">
        <f>VLOOKUP(AI$3,'FE - Aluminum'!$E$11:$DX$54,$B37,FALSE)*VLOOKUP(AI$3,'FE - Aluminum'!$E$11:$DX$54,57,FALSE)</f>
        <v>0</v>
      </c>
      <c r="AJ37" s="856">
        <f>VLOOKUP(AJ$3,'FE - Aluminum'!$E$11:$DX$54,$B37,FALSE)*VLOOKUP(AJ$3,'FE - Aluminum'!$E$11:$DX$54,57,FALSE)</f>
        <v>0</v>
      </c>
      <c r="AK37" s="856">
        <f>VLOOKUP(AK$3,'FE - Aluminum'!$E$11:$DX$54,$B37,FALSE)*VLOOKUP(AK$3,'FE - Aluminum'!$E$11:$DX$54,57,FALSE)</f>
        <v>0</v>
      </c>
      <c r="AL37" s="856">
        <f>VLOOKUP(AL$3,'FE - Aluminum'!$E$11:$DX$54,$B37,FALSE)*VLOOKUP(AL$3,'FE - Aluminum'!$E$11:$DX$54,57,FALSE)</f>
        <v>0</v>
      </c>
      <c r="AM37" s="856">
        <f>VLOOKUP(AM$3,'FE - Aluminum'!$E$11:$DX$54,$B37,FALSE)*VLOOKUP(AM$3,'FE - Aluminum'!$E$11:$DX$54,57,FALSE)</f>
        <v>0</v>
      </c>
      <c r="AN37" s="856">
        <f>VLOOKUP(AN$3,'FE - Aluminum'!$E$11:$DX$54,$B37,FALSE)*VLOOKUP(AN$3,'FE - Aluminum'!$E$11:$DX$54,57,FALSE)</f>
        <v>0</v>
      </c>
      <c r="AO37" s="856">
        <f>VLOOKUP(AO$3,'FE - Aluminum'!$E$11:$DX$54,$B37,FALSE)*VLOOKUP(AO$3,'FE - Aluminum'!$E$11:$DX$54,57,FALSE)</f>
        <v>0</v>
      </c>
      <c r="AP37" s="856">
        <f>VLOOKUP(AP$3,'FE - Aluminum'!$E$11:$DX$54,$B37,FALSE)*VLOOKUP(AP$3,'FE - Aluminum'!$E$11:$DX$54,57,FALSE)</f>
        <v>0</v>
      </c>
      <c r="AQ37" s="856">
        <f>VLOOKUP(AQ$3,'FE - Aluminum'!$E$11:$DX$54,$B37,FALSE)*VLOOKUP(AQ$3,'FE - Aluminum'!$E$11:$DX$54,57,FALSE)</f>
        <v>0</v>
      </c>
      <c r="AR37" s="880"/>
      <c r="AS37" s="879">
        <f t="shared" si="3"/>
        <v>0</v>
      </c>
      <c r="AT37" s="888"/>
      <c r="AU37" s="888">
        <f t="shared" si="4"/>
        <v>2208.4979031688499</v>
      </c>
      <c r="AV37" s="888">
        <f t="shared" si="5"/>
        <v>1215.1009029274912</v>
      </c>
      <c r="AW37" s="888">
        <f t="shared" si="6"/>
        <v>0</v>
      </c>
      <c r="AX37" s="888">
        <f t="shared" si="7"/>
        <v>0</v>
      </c>
      <c r="AY37" s="888">
        <f t="shared" si="8"/>
        <v>0</v>
      </c>
      <c r="AZ37" s="888">
        <f t="shared" si="9"/>
        <v>0</v>
      </c>
      <c r="BA37" s="888">
        <f t="shared" si="10"/>
        <v>0</v>
      </c>
      <c r="BB37" s="888">
        <f t="shared" si="11"/>
        <v>0</v>
      </c>
      <c r="BC37" s="888"/>
      <c r="BD37" s="888">
        <f t="shared" si="21"/>
        <v>0</v>
      </c>
      <c r="BE37" s="888"/>
      <c r="BF37" s="888">
        <f t="shared" si="12"/>
        <v>0</v>
      </c>
      <c r="BG37" s="888">
        <f t="shared" si="13"/>
        <v>0</v>
      </c>
      <c r="BH37" s="889"/>
      <c r="BI37" s="906">
        <f>IFERROR(VLOOKUP(CONCATENATE(BI$3,$D37),'LCI - Simapro'!$A$2:$N$284,11,FALSE),0)</f>
        <v>0</v>
      </c>
      <c r="BJ37" s="866">
        <f>IFERROR(VLOOKUP(CONCATENATE(BJ$3,$D37),'LCI - Simapro'!$A$2:$N$284,11,FALSE),0)</f>
        <v>0</v>
      </c>
      <c r="BK37" s="866">
        <f>IFERROR(VLOOKUP(CONCATENATE(BK$3,$D37),'LCI - Simapro'!$A$2:$N$284,11,FALSE),0)</f>
        <v>1.2947200000000001</v>
      </c>
      <c r="BL37" s="866">
        <f>IFERROR(VLOOKUP(CONCATENATE(BL$3,$D37),'LCI - Simapro'!$A$2:$N$284,11,FALSE),0)</f>
        <v>0</v>
      </c>
      <c r="BM37" s="866">
        <f>IFERROR(VLOOKUP(CONCATENATE(BM$3,$D37),'LCI - Simapro'!$A$2:$N$284,11,FALSE),0)</f>
        <v>0</v>
      </c>
      <c r="BN37" s="866">
        <f>IFERROR(VLOOKUP(CONCATENATE(BN$3,$D37),'LCI - Simapro'!$A$2:$N$284,11,FALSE),0)</f>
        <v>0</v>
      </c>
      <c r="BO37" s="866">
        <f>IFERROR(VLOOKUP(CONCATENATE(BO$3,$D37),'LCI - Simapro'!$A$2:$N$284,11,FALSE),0)</f>
        <v>0</v>
      </c>
      <c r="BP37" s="866">
        <f>IFERROR(VLOOKUP(CONCATENATE(BP$3,$D37),'LCI - Simapro'!$A$2:$N$284,11,FALSE),0)</f>
        <v>0</v>
      </c>
      <c r="BQ37" s="866">
        <f>IFERROR(VLOOKUP(CONCATENATE(BQ$3,$D37),'LCI - Simapro'!$A$2:$N$284,11,FALSE),0)</f>
        <v>0</v>
      </c>
      <c r="BR37" s="866">
        <f>IFERROR(VLOOKUP(CONCATENATE(BR$3,$D37),'LCI - Simapro'!$A$2:$N$284,11,FALSE),0)</f>
        <v>0</v>
      </c>
      <c r="BS37" s="866">
        <f>IFERROR(VLOOKUP(CONCATENATE(BS$3,$D37),'LCI - Simapro'!$A$2:$N$284,11,FALSE),0)</f>
        <v>0</v>
      </c>
      <c r="BT37" s="866">
        <f>IFERROR(VLOOKUP(CONCATENATE(BT$3,$D37),'LCI - Simapro'!$A$2:$N$284,11,FALSE),0)</f>
        <v>0</v>
      </c>
      <c r="BU37" s="866">
        <f>IFERROR(VLOOKUP(CONCATENATE(BU$3,$D37),'LCI - Simapro'!$A$2:$N$284,11,FALSE),0)</f>
        <v>0</v>
      </c>
      <c r="BV37" s="866">
        <f>IFERROR(VLOOKUP(CONCATENATE(BV$3,$D37),'LCI - Simapro'!$A$2:$N$284,11,FALSE),0)</f>
        <v>0</v>
      </c>
      <c r="BW37" s="866">
        <f>IFERROR(VLOOKUP(CONCATENATE(BW$3,$D37),'LCI - Simapro'!$A$2:$N$284,11,FALSE),0)</f>
        <v>0</v>
      </c>
      <c r="BX37" s="907"/>
    </row>
    <row r="38" spans="1:76" ht="26.4" customHeight="1">
      <c r="A38" t="s">
        <v>5761</v>
      </c>
      <c r="B38" s="846">
        <v>122</v>
      </c>
      <c r="C38" s="903"/>
      <c r="D38" s="884" t="s">
        <v>465</v>
      </c>
      <c r="E38" s="387" t="s">
        <v>607</v>
      </c>
      <c r="F38" s="856">
        <f>VLOOKUP(F$3,'FE - Aluminum'!$E$11:$DX$54,$B38,FALSE)*VLOOKUP(F$3,'FE - Aluminum'!$E$11:$DX$54,57,FALSE)</f>
        <v>170.52517140928794</v>
      </c>
      <c r="G38" s="856">
        <f>VLOOKUP(G$3,'FE - Aluminum'!$E$11:$DX$54,$B38,FALSE)*VLOOKUP(G$3,'FE - Aluminum'!$E$11:$DX$54,57,FALSE)</f>
        <v>0</v>
      </c>
      <c r="H38" s="856">
        <f>VLOOKUP(H$3,'FE - Aluminum'!$E$11:$DX$54,$B38,FALSE)*VLOOKUP(H$3,'FE - Aluminum'!$E$11:$DX$54,57,FALSE)</f>
        <v>2384.7299738458355</v>
      </c>
      <c r="I38" s="856">
        <f>VLOOKUP(I$3,'FE - Aluminum'!$E$11:$DX$54,$B38,FALSE)*VLOOKUP(I$3,'FE - Aluminum'!$E$11:$DX$54,57,FALSE)</f>
        <v>99.616625679694948</v>
      </c>
      <c r="J38" s="856">
        <f>VLOOKUP(J$3,'FE - Aluminum'!$E$11:$DX$54,$B38,FALSE)*VLOOKUP(J$3,'FE - Aluminum'!$E$11:$DX$54,57,FALSE)</f>
        <v>7.2440048784734055</v>
      </c>
      <c r="K38" s="856">
        <f>VLOOKUP(K$3,'FE - Aluminum'!$E$11:$DX$54,$B38,FALSE)*VLOOKUP(K$3,'FE - Aluminum'!$E$11:$DX$54,57,FALSE)</f>
        <v>271.44998740579439</v>
      </c>
      <c r="L38" s="856">
        <f>VLOOKUP(L$3,'FE - Aluminum'!$E$11:$DX$54,$B38,FALSE)*VLOOKUP(L$3,'FE - Aluminum'!$E$11:$DX$54,57,FALSE)</f>
        <v>40.845773020991324</v>
      </c>
      <c r="M38" s="856">
        <f>VLOOKUP(M$3,'FE - Aluminum'!$E$11:$DX$54,$B38,FALSE)*VLOOKUP(M$3,'FE - Aluminum'!$E$11:$DX$54,57,FALSE)</f>
        <v>2.2704097204189186</v>
      </c>
      <c r="N38" s="856">
        <f>VLOOKUP(N$3,'FE - Aluminum'!$E$11:$DX$54,$B38,FALSE)*VLOOKUP(N$3,'FE - Aluminum'!$E$11:$DX$54,57,FALSE)</f>
        <v>0</v>
      </c>
      <c r="O38" s="856">
        <f>VLOOKUP(O$3,'FE - Aluminum'!$E$11:$DX$54,$B38,FALSE)*VLOOKUP(O$3,'FE - Aluminum'!$E$11:$DX$54,57,FALSE)</f>
        <v>29.660348786337696</v>
      </c>
      <c r="P38" s="856">
        <f>VLOOKUP(P$3,'FE - Aluminum'!$E$11:$DX$54,$B38,FALSE)*VLOOKUP(P$3,'FE - Aluminum'!$E$11:$DX$54,57,FALSE)</f>
        <v>71.564314723598685</v>
      </c>
      <c r="Q38" s="856">
        <f>VLOOKUP(Q$3,'FE - Aluminum'!$E$11:$DX$54,$B38,FALSE)*VLOOKUP(Q$3,'FE - Aluminum'!$E$11:$DX$54,57,FALSE)</f>
        <v>286.5704803848634</v>
      </c>
      <c r="R38" s="856">
        <f>VLOOKUP(R$3,'FE - Aluminum'!$E$11:$DX$54,$B38,FALSE)*VLOOKUP(R$3,'FE - Aluminum'!$E$11:$DX$54,57,FALSE)</f>
        <v>0</v>
      </c>
      <c r="S38" s="856">
        <f>VLOOKUP(S$3,'FE - Aluminum'!$E$11:$DX$54,$B38,FALSE)*VLOOKUP(S$3,'FE - Aluminum'!$E$11:$DX$54,57,FALSE)</f>
        <v>197.04338966391751</v>
      </c>
      <c r="T38" s="856">
        <f>VLOOKUP(T$3,'FE - Aluminum'!$E$11:$DX$54,$B38,FALSE)*VLOOKUP(T$3,'FE - Aluminum'!$E$11:$DX$54,57,FALSE)</f>
        <v>22243.007764800004</v>
      </c>
      <c r="U38" s="856">
        <f>VLOOKUP(U$3,'FE - Aluminum'!$E$11:$DX$54,$B38,FALSE)*VLOOKUP(U$3,'FE - Aluminum'!$E$11:$DX$54,57,FALSE)</f>
        <v>11578.1296752</v>
      </c>
      <c r="V38" s="856">
        <f>VLOOKUP(V$3,'FE - Aluminum'!$E$11:$DX$54,$B38,FALSE)*VLOOKUP(V$3,'FE - Aluminum'!$E$11:$DX$54,57,FALSE)</f>
        <v>1357.7576320000001</v>
      </c>
      <c r="W38" s="856">
        <f>VLOOKUP(W$3,'FE - Aluminum'!$E$11:$DX$54,$B38,FALSE)*VLOOKUP(W$3,'FE - Aluminum'!$E$11:$DX$54,57,FALSE)</f>
        <v>259.19250725925929</v>
      </c>
      <c r="X38" s="856">
        <f>VLOOKUP(X$3,'FE - Aluminum'!$E$11:$DX$54,$B38,FALSE)*VLOOKUP(X$3,'FE - Aluminum'!$E$11:$DX$54,57,FALSE)</f>
        <v>0</v>
      </c>
      <c r="Y38" s="856">
        <f>VLOOKUP(Y$3,'FE - Aluminum'!$E$11:$DX$54,$B38,FALSE)*VLOOKUP(Y$3,'FE - Aluminum'!$E$11:$DX$54,57,FALSE)</f>
        <v>0</v>
      </c>
      <c r="Z38" s="856">
        <f>VLOOKUP(Z$3,'FE - Aluminum'!$E$11:$DX$54,$B38,FALSE)*VLOOKUP(Z$3,'FE - Aluminum'!$E$11:$DX$54,57,FALSE)</f>
        <v>0</v>
      </c>
      <c r="AA38" s="856">
        <f>VLOOKUP(AA$3,'FE - Aluminum'!$E$11:$DX$54,$B38,FALSE)*VLOOKUP(AA$3,'FE - Aluminum'!$E$11:$DX$54,57,FALSE)</f>
        <v>0</v>
      </c>
      <c r="AB38" s="856">
        <f>VLOOKUP(AB$3,'FE - Aluminum'!$E$11:$DX$54,$B38,FALSE)*VLOOKUP(AB$3,'FE - Aluminum'!$E$11:$DX$54,57,FALSE)</f>
        <v>0</v>
      </c>
      <c r="AC38" s="856">
        <f>VLOOKUP(AC$3,'FE - Aluminum'!$E$11:$DX$54,$B38,FALSE)*VLOOKUP(AC$3,'FE - Aluminum'!$E$11:$DX$54,57,FALSE)</f>
        <v>0</v>
      </c>
      <c r="AD38" s="856">
        <f>VLOOKUP(AD$3,'FE - Aluminum'!$E$11:$DX$54,$B38,FALSE)*VLOOKUP(AD$3,'FE - Aluminum'!$E$11:$DX$54,57,FALSE)</f>
        <v>840.35798647113529</v>
      </c>
      <c r="AE38" s="856">
        <f>VLOOKUP(AE$3,'FE - Aluminum'!$E$11:$DX$54,$B38,FALSE)*VLOOKUP(AE$3,'FE - Aluminum'!$E$11:$DX$54,57,FALSE)</f>
        <v>576.08508999999913</v>
      </c>
      <c r="AF38" s="856">
        <f>VLOOKUP(AF$3,'FE - Aluminum'!$E$11:$DX$54,$B38,FALSE)*VLOOKUP(AF$3,'FE - Aluminum'!$E$11:$DX$54,57,FALSE)</f>
        <v>516.37181399999986</v>
      </c>
      <c r="AG38" s="856">
        <f>VLOOKUP(AG$3,'FE - Aluminum'!$E$11:$DX$54,$B38,FALSE)*VLOOKUP(AG$3,'FE - Aluminum'!$E$11:$DX$54,57,FALSE)</f>
        <v>172.97931909494716</v>
      </c>
      <c r="AH38" s="856">
        <f>VLOOKUP(AH$3,'FE - Aluminum'!$E$11:$DX$54,$B38,FALSE)*VLOOKUP(AH$3,'FE - Aluminum'!$E$11:$DX$54,57,FALSE)</f>
        <v>322.62636779999997</v>
      </c>
      <c r="AI38" s="856">
        <f>VLOOKUP(AI$3,'FE - Aluminum'!$E$11:$DX$54,$B38,FALSE)*VLOOKUP(AI$3,'FE - Aluminum'!$E$11:$DX$54,57,FALSE)</f>
        <v>0</v>
      </c>
      <c r="AJ38" s="856">
        <f>VLOOKUP(AJ$3,'FE - Aluminum'!$E$11:$DX$54,$B38,FALSE)*VLOOKUP(AJ$3,'FE - Aluminum'!$E$11:$DX$54,57,FALSE)</f>
        <v>0</v>
      </c>
      <c r="AK38" s="856">
        <f>VLOOKUP(AK$3,'FE - Aluminum'!$E$11:$DX$54,$B38,FALSE)*VLOOKUP(AK$3,'FE - Aluminum'!$E$11:$DX$54,57,FALSE)</f>
        <v>0</v>
      </c>
      <c r="AL38" s="856">
        <f>VLOOKUP(AL$3,'FE - Aluminum'!$E$11:$DX$54,$B38,FALSE)*VLOOKUP(AL$3,'FE - Aluminum'!$E$11:$DX$54,57,FALSE)</f>
        <v>0</v>
      </c>
      <c r="AM38" s="856">
        <f>VLOOKUP(AM$3,'FE - Aluminum'!$E$11:$DX$54,$B38,FALSE)*VLOOKUP(AM$3,'FE - Aluminum'!$E$11:$DX$54,57,FALSE)</f>
        <v>0</v>
      </c>
      <c r="AN38" s="856">
        <f>VLOOKUP(AN$3,'FE - Aluminum'!$E$11:$DX$54,$B38,FALSE)*VLOOKUP(AN$3,'FE - Aluminum'!$E$11:$DX$54,57,FALSE)</f>
        <v>0</v>
      </c>
      <c r="AO38" s="856">
        <f>VLOOKUP(AO$3,'FE - Aluminum'!$E$11:$DX$54,$B38,FALSE)*VLOOKUP(AO$3,'FE - Aluminum'!$E$11:$DX$54,57,FALSE)</f>
        <v>0</v>
      </c>
      <c r="AP38" s="856">
        <f>VLOOKUP(AP$3,'FE - Aluminum'!$E$11:$DX$54,$B38,FALSE)*VLOOKUP(AP$3,'FE - Aluminum'!$E$11:$DX$54,57,FALSE)</f>
        <v>0</v>
      </c>
      <c r="AQ38" s="856">
        <f>VLOOKUP(AQ$3,'FE - Aluminum'!$E$11:$DX$54,$B38,FALSE)*VLOOKUP(AQ$3,'FE - Aluminum'!$E$11:$DX$54,57,FALSE)</f>
        <v>0</v>
      </c>
      <c r="AR38" s="880"/>
      <c r="AS38" s="879">
        <f t="shared" si="3"/>
        <v>170.52517140928794</v>
      </c>
      <c r="AT38" s="888"/>
      <c r="AU38" s="888">
        <f t="shared" si="4"/>
        <v>358.13479510846207</v>
      </c>
      <c r="AV38" s="888">
        <f t="shared" si="5"/>
        <v>197.04338966391751</v>
      </c>
      <c r="AW38" s="888">
        <f t="shared" si="6"/>
        <v>11578.1296752</v>
      </c>
      <c r="AX38" s="888">
        <f t="shared" si="7"/>
        <v>22243.007764800004</v>
      </c>
      <c r="AY38" s="888">
        <f t="shared" si="8"/>
        <v>259.19250725925929</v>
      </c>
      <c r="AZ38" s="888">
        <f t="shared" si="9"/>
        <v>322.62636779999997</v>
      </c>
      <c r="BA38" s="888">
        <f t="shared" si="10"/>
        <v>1092.456903999999</v>
      </c>
      <c r="BB38" s="888">
        <f t="shared" si="11"/>
        <v>814.65457920000006</v>
      </c>
      <c r="BC38" s="888"/>
      <c r="BD38" s="888">
        <f t="shared" si="21"/>
        <v>543.1030528</v>
      </c>
      <c r="BE38" s="888"/>
      <c r="BF38" s="888">
        <f t="shared" si="12"/>
        <v>0</v>
      </c>
      <c r="BG38" s="888">
        <f t="shared" si="13"/>
        <v>1415.083271799999</v>
      </c>
      <c r="BH38" s="889"/>
      <c r="BI38" s="906">
        <f>IFERROR(VLOOKUP(CONCATENATE(BI$3,$D38),'LCI - Simapro'!$A$2:$N$284,11,FALSE)*3.6,0)</f>
        <v>5.4000000000000003E-3</v>
      </c>
      <c r="BJ38" s="866">
        <f>IFERROR(VLOOKUP(CONCATENATE(BJ$3,$D38),'LCI - Simapro'!$A$2:$N$284,11,FALSE)*3.6,0)</f>
        <v>0</v>
      </c>
      <c r="BK38" s="866">
        <f>IFERROR(VLOOKUP(CONCATENATE(BK$3,$D38),'LCI - Simapro'!$A$2:$N$284,11,FALSE)*3.6,0)</f>
        <v>0.18359999999999999</v>
      </c>
      <c r="BL38" s="866">
        <f>IFERROR(VLOOKUP(CONCATENATE(BL$3,$D38),'LCI - Simapro'!$A$2:$N$284,11,FALSE)*3.6,0)</f>
        <v>0</v>
      </c>
      <c r="BM38" s="866">
        <f>IFERROR(VLOOKUP(CONCATENATE(BM$3,$D38),'LCI - Simapro'!$A$2:$N$284,11,FALSE)*3.6,0)</f>
        <v>61.023600000000002</v>
      </c>
      <c r="BN38" s="866">
        <f>IFERROR(VLOOKUP(CONCATENATE(BN$3,$D38),'LCI - Simapro'!$A$2:$N$284,11,FALSE)*3.6,0)</f>
        <v>56.703600000000002</v>
      </c>
      <c r="BO38" s="866">
        <f>IFERROR(VLOOKUP(CONCATENATE(BO$3,$D38),'LCI - Simapro'!$A$2:$N$284,11,FALSE)*3.6,0)</f>
        <v>0.12240000000000001</v>
      </c>
      <c r="BP38" s="866">
        <f>IFERROR(VLOOKUP(CONCATENATE(BP$3,$D38),'LCI - Simapro'!$A$2:$N$284,11,FALSE)*3.6,0)</f>
        <v>0.39999600000000002</v>
      </c>
      <c r="BQ38" s="866">
        <f>IFERROR(VLOOKUP(CONCATENATE(BQ$3,$D38),'LCI - Simapro'!$A$2:$N$284,11,FALSE)*3.6,0)</f>
        <v>0</v>
      </c>
      <c r="BR38" s="866">
        <f>IFERROR(VLOOKUP(CONCATENATE(BR$3,$D38),'LCI - Simapro'!$A$2:$N$284,11,FALSE)*3.6,0)</f>
        <v>0</v>
      </c>
      <c r="BS38" s="866">
        <f>IFERROR(VLOOKUP(CONCATENATE(BS$3,$D38),'LCI - Simapro'!$A$2:$N$284,11,FALSE)*3.6,0)</f>
        <v>0</v>
      </c>
      <c r="BT38" s="866">
        <f>IFERROR(VLOOKUP(CONCATENATE(BT$3,$D38),'LCI - Simapro'!$A$2:$N$284,11,FALSE)*3.6,0)</f>
        <v>0</v>
      </c>
      <c r="BU38" s="866">
        <f>IFERROR(VLOOKUP(CONCATENATE(BU$3,$D38),'LCI - Simapro'!$A$2:$N$284,11,FALSE)*3.6,0)</f>
        <v>0</v>
      </c>
      <c r="BV38" s="866">
        <f>IFERROR(VLOOKUP(CONCATENATE(BV$3,$D38),'LCI - Simapro'!$A$2:$N$284,11,FALSE)*3.6,0)</f>
        <v>0</v>
      </c>
      <c r="BW38" s="866">
        <f>IFERROR(VLOOKUP(CONCATENATE(BW$3,$D38),'LCI - Simapro'!$A$2:$N$284,11,FALSE)*3.6,0)</f>
        <v>0</v>
      </c>
      <c r="BX38" s="907"/>
    </row>
    <row r="39" spans="1:76" ht="26.4" customHeight="1">
      <c r="A39" t="s">
        <v>5761</v>
      </c>
      <c r="B39" s="846">
        <v>123</v>
      </c>
      <c r="C39" s="903"/>
      <c r="D39" s="884" t="s">
        <v>5343</v>
      </c>
      <c r="E39" s="387" t="s">
        <v>607</v>
      </c>
      <c r="F39" s="856">
        <f>VLOOKUP(F$3,'FE - Aluminum'!$E$11:$DX$54,$B39,FALSE)*VLOOKUP(F$3,'FE - Aluminum'!$E$11:$DX$54,57,FALSE)</f>
        <v>23.868602635932081</v>
      </c>
      <c r="G39" s="856">
        <f>VLOOKUP(G$3,'FE - Aluminum'!$E$11:$DX$54,$B39,FALSE)*VLOOKUP(G$3,'FE - Aluminum'!$E$11:$DX$54,57,FALSE)</f>
        <v>0</v>
      </c>
      <c r="H39" s="856">
        <f>VLOOKUP(H$3,'FE - Aluminum'!$E$11:$DX$54,$B39,FALSE)*VLOOKUP(H$3,'FE - Aluminum'!$E$11:$DX$54,57,FALSE)</f>
        <v>0</v>
      </c>
      <c r="I39" s="856">
        <f>VLOOKUP(I$3,'FE - Aluminum'!$E$11:$DX$54,$B39,FALSE)*VLOOKUP(I$3,'FE - Aluminum'!$E$11:$DX$54,57,FALSE)</f>
        <v>0</v>
      </c>
      <c r="J39" s="856">
        <f>VLOOKUP(J$3,'FE - Aluminum'!$E$11:$DX$54,$B39,FALSE)*VLOOKUP(J$3,'FE - Aluminum'!$E$11:$DX$54,57,FALSE)</f>
        <v>0</v>
      </c>
      <c r="K39" s="856">
        <f>VLOOKUP(K$3,'FE - Aluminum'!$E$11:$DX$54,$B39,FALSE)*VLOOKUP(K$3,'FE - Aluminum'!$E$11:$DX$54,57,FALSE)</f>
        <v>0</v>
      </c>
      <c r="L39" s="856">
        <f>VLOOKUP(L$3,'FE - Aluminum'!$E$11:$DX$54,$B39,FALSE)*VLOOKUP(L$3,'FE - Aluminum'!$E$11:$DX$54,57,FALSE)</f>
        <v>0</v>
      </c>
      <c r="M39" s="856">
        <f>VLOOKUP(M$3,'FE - Aluminum'!$E$11:$DX$54,$B39,FALSE)*VLOOKUP(M$3,'FE - Aluminum'!$E$11:$DX$54,57,FALSE)</f>
        <v>0</v>
      </c>
      <c r="N39" s="856">
        <f>VLOOKUP(N$3,'FE - Aluminum'!$E$11:$DX$54,$B39,FALSE)*VLOOKUP(N$3,'FE - Aluminum'!$E$11:$DX$54,57,FALSE)</f>
        <v>0</v>
      </c>
      <c r="O39" s="856">
        <f>VLOOKUP(O$3,'FE - Aluminum'!$E$11:$DX$54,$B39,FALSE)*VLOOKUP(O$3,'FE - Aluminum'!$E$11:$DX$54,57,FALSE)</f>
        <v>0</v>
      </c>
      <c r="P39" s="856">
        <f>VLOOKUP(P$3,'FE - Aluminum'!$E$11:$DX$54,$B39,FALSE)*VLOOKUP(P$3,'FE - Aluminum'!$E$11:$DX$54,57,FALSE)</f>
        <v>0</v>
      </c>
      <c r="Q39" s="856">
        <f>VLOOKUP(Q$3,'FE - Aluminum'!$E$11:$DX$54,$B39,FALSE)*VLOOKUP(Q$3,'FE - Aluminum'!$E$11:$DX$54,57,FALSE)</f>
        <v>0</v>
      </c>
      <c r="R39" s="856">
        <f>VLOOKUP(R$3,'FE - Aluminum'!$E$11:$DX$54,$B39,FALSE)*VLOOKUP(R$3,'FE - Aluminum'!$E$11:$DX$54,57,FALSE)</f>
        <v>0</v>
      </c>
      <c r="S39" s="856">
        <f>VLOOKUP(S$3,'FE - Aluminum'!$E$11:$DX$54,$B39,FALSE)*VLOOKUP(S$3,'FE - Aluminum'!$E$11:$DX$54,57,FALSE)</f>
        <v>0</v>
      </c>
      <c r="T39" s="856">
        <f>VLOOKUP(T$3,'FE - Aluminum'!$E$11:$DX$54,$B39,FALSE)*VLOOKUP(T$3,'FE - Aluminum'!$E$11:$DX$54,57,FALSE)</f>
        <v>0</v>
      </c>
      <c r="U39" s="856">
        <f>VLOOKUP(U$3,'FE - Aluminum'!$E$11:$DX$54,$B39,FALSE)*VLOOKUP(U$3,'FE - Aluminum'!$E$11:$DX$54,57,FALSE)</f>
        <v>0</v>
      </c>
      <c r="V39" s="856">
        <f>VLOOKUP(V$3,'FE - Aluminum'!$E$11:$DX$54,$B39,FALSE)*VLOOKUP(V$3,'FE - Aluminum'!$E$11:$DX$54,57,FALSE)</f>
        <v>1057.1112992000001</v>
      </c>
      <c r="W39" s="856">
        <f>VLOOKUP(W$3,'FE - Aluminum'!$E$11:$DX$54,$B39,FALSE)*VLOOKUP(W$3,'FE - Aluminum'!$E$11:$DX$54,57,FALSE)</f>
        <v>201.79988065185188</v>
      </c>
      <c r="X39" s="856">
        <f>VLOOKUP(X$3,'FE - Aluminum'!$E$11:$DX$54,$B39,FALSE)*VLOOKUP(X$3,'FE - Aluminum'!$E$11:$DX$54,57,FALSE)</f>
        <v>0</v>
      </c>
      <c r="Y39" s="856">
        <f>VLOOKUP(Y$3,'FE - Aluminum'!$E$11:$DX$54,$B39,FALSE)*VLOOKUP(Y$3,'FE - Aluminum'!$E$11:$DX$54,57,FALSE)</f>
        <v>0</v>
      </c>
      <c r="Z39" s="856">
        <f>VLOOKUP(Z$3,'FE - Aluminum'!$E$11:$DX$54,$B39,FALSE)*VLOOKUP(Z$3,'FE - Aluminum'!$E$11:$DX$54,57,FALSE)</f>
        <v>0</v>
      </c>
      <c r="AA39" s="856">
        <f>VLOOKUP(AA$3,'FE - Aluminum'!$E$11:$DX$54,$B39,FALSE)*VLOOKUP(AA$3,'FE - Aluminum'!$E$11:$DX$54,57,FALSE)</f>
        <v>0</v>
      </c>
      <c r="AB39" s="856">
        <f>VLOOKUP(AB$3,'FE - Aluminum'!$E$11:$DX$54,$B39,FALSE)*VLOOKUP(AB$3,'FE - Aluminum'!$E$11:$DX$54,57,FALSE)</f>
        <v>0</v>
      </c>
      <c r="AC39" s="856">
        <f>VLOOKUP(AC$3,'FE - Aluminum'!$E$11:$DX$54,$B39,FALSE)*VLOOKUP(AC$3,'FE - Aluminum'!$E$11:$DX$54,57,FALSE)</f>
        <v>0</v>
      </c>
      <c r="AD39" s="856">
        <f>VLOOKUP(AD$3,'FE - Aluminum'!$E$11:$DX$54,$B39,FALSE)*VLOOKUP(AD$3,'FE - Aluminum'!$E$11:$DX$54,57,FALSE)</f>
        <v>654.27871803824098</v>
      </c>
      <c r="AE39" s="856">
        <f>VLOOKUP(AE$3,'FE - Aluminum'!$E$11:$DX$54,$B39,FALSE)*VLOOKUP(AE$3,'FE - Aluminum'!$E$11:$DX$54,57,FALSE)</f>
        <v>448.52339149999932</v>
      </c>
      <c r="AF39" s="856">
        <f>VLOOKUP(AF$3,'FE - Aluminum'!$E$11:$DX$54,$B39,FALSE)*VLOOKUP(AF$3,'FE - Aluminum'!$E$11:$DX$54,57,FALSE)</f>
        <v>402.03234089999984</v>
      </c>
      <c r="AG39" s="856">
        <f>VLOOKUP(AG$3,'FE - Aluminum'!$E$11:$DX$54,$B39,FALSE)*VLOOKUP(AG$3,'FE - Aluminum'!$E$11:$DX$54,57,FALSE)</f>
        <v>1147.9536630846492</v>
      </c>
      <c r="AH39" s="856">
        <f>VLOOKUP(AH$3,'FE - Aluminum'!$E$11:$DX$54,$B39,FALSE)*VLOOKUP(AH$3,'FE - Aluminum'!$E$11:$DX$54,57,FALSE)</f>
        <v>2141.0658953999996</v>
      </c>
      <c r="AI39" s="856">
        <f>VLOOKUP(AI$3,'FE - Aluminum'!$E$11:$DX$54,$B39,FALSE)*VLOOKUP(AI$3,'FE - Aluminum'!$E$11:$DX$54,57,FALSE)</f>
        <v>0</v>
      </c>
      <c r="AJ39" s="856">
        <f>VLOOKUP(AJ$3,'FE - Aluminum'!$E$11:$DX$54,$B39,FALSE)*VLOOKUP(AJ$3,'FE - Aluminum'!$E$11:$DX$54,57,FALSE)</f>
        <v>0</v>
      </c>
      <c r="AK39" s="856">
        <f>VLOOKUP(AK$3,'FE - Aluminum'!$E$11:$DX$54,$B39,FALSE)*VLOOKUP(AK$3,'FE - Aluminum'!$E$11:$DX$54,57,FALSE)</f>
        <v>0</v>
      </c>
      <c r="AL39" s="856">
        <f>VLOOKUP(AL$3,'FE - Aluminum'!$E$11:$DX$54,$B39,FALSE)*VLOOKUP(AL$3,'FE - Aluminum'!$E$11:$DX$54,57,FALSE)</f>
        <v>0</v>
      </c>
      <c r="AM39" s="856">
        <f>VLOOKUP(AM$3,'FE - Aluminum'!$E$11:$DX$54,$B39,FALSE)*VLOOKUP(AM$3,'FE - Aluminum'!$E$11:$DX$54,57,FALSE)</f>
        <v>0</v>
      </c>
      <c r="AN39" s="856">
        <f>VLOOKUP(AN$3,'FE - Aluminum'!$E$11:$DX$54,$B39,FALSE)*VLOOKUP(AN$3,'FE - Aluminum'!$E$11:$DX$54,57,FALSE)</f>
        <v>0</v>
      </c>
      <c r="AO39" s="856">
        <f>VLOOKUP(AO$3,'FE - Aluminum'!$E$11:$DX$54,$B39,FALSE)*VLOOKUP(AO$3,'FE - Aluminum'!$E$11:$DX$54,57,FALSE)</f>
        <v>0</v>
      </c>
      <c r="AP39" s="856">
        <f>VLOOKUP(AP$3,'FE - Aluminum'!$E$11:$DX$54,$B39,FALSE)*VLOOKUP(AP$3,'FE - Aluminum'!$E$11:$DX$54,57,FALSE)</f>
        <v>0</v>
      </c>
      <c r="AQ39" s="856">
        <f>VLOOKUP(AQ$3,'FE - Aluminum'!$E$11:$DX$54,$B39,FALSE)*VLOOKUP(AQ$3,'FE - Aluminum'!$E$11:$DX$54,57,FALSE)</f>
        <v>0</v>
      </c>
      <c r="AR39" s="880"/>
      <c r="AS39" s="879">
        <f t="shared" si="3"/>
        <v>23.868602635932081</v>
      </c>
      <c r="AT39" s="888"/>
      <c r="AU39" s="888">
        <f t="shared" si="4"/>
        <v>0</v>
      </c>
      <c r="AV39" s="888">
        <f t="shared" si="5"/>
        <v>0</v>
      </c>
      <c r="AW39" s="888">
        <f t="shared" si="6"/>
        <v>0</v>
      </c>
      <c r="AX39" s="888">
        <f t="shared" si="7"/>
        <v>0</v>
      </c>
      <c r="AY39" s="888">
        <f t="shared" si="8"/>
        <v>201.79988065185188</v>
      </c>
      <c r="AZ39" s="888">
        <f t="shared" si="9"/>
        <v>2141.0658953999996</v>
      </c>
      <c r="BA39" s="888">
        <f t="shared" si="10"/>
        <v>850.55573239999921</v>
      </c>
      <c r="BB39" s="888">
        <f t="shared" si="11"/>
        <v>634.26677952</v>
      </c>
      <c r="BC39" s="888"/>
      <c r="BD39" s="888">
        <f t="shared" si="21"/>
        <v>422.84451968000008</v>
      </c>
      <c r="BE39" s="888"/>
      <c r="BF39" s="888">
        <f t="shared" si="12"/>
        <v>0</v>
      </c>
      <c r="BG39" s="888">
        <f t="shared" si="13"/>
        <v>2991.6216277999988</v>
      </c>
      <c r="BH39" s="889"/>
      <c r="BI39" s="906">
        <f>IFERROR(VLOOKUP(CONCATENATE(BI$3,$D39),'LCI - Simapro'!$A$2:$N$284,11,FALSE),0)</f>
        <v>0</v>
      </c>
      <c r="BJ39" s="866">
        <f>IFERROR(VLOOKUP(CONCATENATE(BJ$3,$D39),'LCI - Simapro'!$A$2:$N$284,11,FALSE),0)</f>
        <v>0</v>
      </c>
      <c r="BK39" s="866">
        <f>IFERROR(VLOOKUP(CONCATENATE(BK$3,$D39),'LCI - Simapro'!$A$2:$N$284,11,FALSE),0)</f>
        <v>0</v>
      </c>
      <c r="BL39" s="866">
        <f>IFERROR(VLOOKUP(CONCATENATE(BL$3,$D39),'LCI - Simapro'!$A$2:$N$284,11,FALSE),0)</f>
        <v>0</v>
      </c>
      <c r="BM39" s="866">
        <f>IFERROR(VLOOKUP(CONCATENATE(BM$3,$D39),'LCI - Simapro'!$A$2:$N$284,11,FALSE),0)</f>
        <v>0</v>
      </c>
      <c r="BN39" s="866">
        <f>IFERROR(VLOOKUP(CONCATENATE(BN$3,$D39),'LCI - Simapro'!$A$2:$N$284,11,FALSE),0)</f>
        <v>0</v>
      </c>
      <c r="BO39" s="866">
        <f>IFERROR(VLOOKUP(CONCATENATE(BO$3,$D39),'LCI - Simapro'!$A$2:$N$284,11,FALSE),0)</f>
        <v>0</v>
      </c>
      <c r="BP39" s="866">
        <f>IFERROR(VLOOKUP(CONCATENATE(BP$3,$D39),'LCI - Simapro'!$A$2:$N$284,11,FALSE),0)</f>
        <v>0</v>
      </c>
      <c r="BQ39" s="866">
        <f>IFERROR(VLOOKUP(CONCATENATE(BQ$3,$D39),'LCI - Simapro'!$A$2:$N$284,11,FALSE),0)</f>
        <v>0</v>
      </c>
      <c r="BR39" s="866">
        <f>IFERROR(VLOOKUP(CONCATENATE(BR$3,$D39),'LCI - Simapro'!$A$2:$N$284,11,FALSE),0)</f>
        <v>0</v>
      </c>
      <c r="BS39" s="866">
        <f>IFERROR(VLOOKUP(CONCATENATE(BS$3,$D39),'LCI - Simapro'!$A$2:$N$284,11,FALSE),0)</f>
        <v>0</v>
      </c>
      <c r="BT39" s="866">
        <f>IFERROR(VLOOKUP(CONCATENATE(BT$3,$D39),'LCI - Simapro'!$A$2:$N$284,11,FALSE),0)</f>
        <v>0</v>
      </c>
      <c r="BU39" s="866">
        <f>IFERROR(VLOOKUP(CONCATENATE(BU$3,$D39),'LCI - Simapro'!$A$2:$N$284,11,FALSE),0)</f>
        <v>0</v>
      </c>
      <c r="BV39" s="866">
        <f>IFERROR(VLOOKUP(CONCATENATE(BV$3,$D39),'LCI - Simapro'!$A$2:$N$284,11,FALSE),0)</f>
        <v>0</v>
      </c>
      <c r="BW39" s="866">
        <f>IFERROR(VLOOKUP(CONCATENATE(BW$3,$D39),'LCI - Simapro'!$A$2:$N$284,11,FALSE),0)</f>
        <v>0</v>
      </c>
      <c r="BX39" s="907"/>
    </row>
    <row r="40" spans="1:76" ht="26.4" customHeight="1">
      <c r="A40" t="s">
        <v>5763</v>
      </c>
      <c r="B40" s="846">
        <v>58</v>
      </c>
      <c r="C40" s="845"/>
      <c r="D40" s="855" t="s">
        <v>5762</v>
      </c>
      <c r="E40" s="865" t="s">
        <v>94</v>
      </c>
      <c r="F40" s="866">
        <f>-VLOOKUP(F$3,'FE - Aluminum'!$E$11:$DX$54,$B$40,FALSE)/1000</f>
        <v>-653.398126139086</v>
      </c>
      <c r="G40" s="866">
        <f>-VLOOKUP(G$3,'FE - Aluminum'!$E$11:$DX$54,$B$40,FALSE)/1000</f>
        <v>0</v>
      </c>
      <c r="H40" s="866">
        <f>-VLOOKUP(H$3,'FE - Aluminum'!$E$11:$DX$54,$B$40,FALSE)/1000</f>
        <v>-30.914542817115183</v>
      </c>
      <c r="I40" s="866">
        <f>-VLOOKUP(I$3,'FE - Aluminum'!$E$11:$DX$54,$B$40,FALSE)/1000</f>
        <v>-161.48800476882977</v>
      </c>
      <c r="J40" s="866">
        <f>-VLOOKUP(J$3,'FE - Aluminum'!$E$11:$DX$54,$B$40,FALSE)/1000</f>
        <v>-158.25024411219263</v>
      </c>
      <c r="K40" s="866">
        <f>-VLOOKUP(K$3,'FE - Aluminum'!$E$11:$DX$54,$B$40,FALSE)/1000</f>
        <v>-100.3403899000824</v>
      </c>
      <c r="L40" s="866">
        <f>-VLOOKUP(L$3,'FE - Aluminum'!$E$11:$DX$54,$B$40,FALSE)/1000</f>
        <v>-63.863346610491007</v>
      </c>
      <c r="M40" s="866">
        <f>-VLOOKUP(M$3,'FE - Aluminum'!$E$11:$DX$54,$B$40,FALSE)/1000</f>
        <v>-2.0277487369380003</v>
      </c>
      <c r="N40" s="866">
        <f>-VLOOKUP(N$3,'FE - Aluminum'!$E$11:$DX$54,$B$40,FALSE)/1000</f>
        <v>0</v>
      </c>
      <c r="O40" s="866">
        <f>-VLOOKUP(O$3,'FE - Aluminum'!$E$11:$DX$54,$B$40,FALSE)/1000</f>
        <v>-15.711570348093829</v>
      </c>
      <c r="P40" s="866">
        <f>-VLOOKUP(P$3,'FE - Aluminum'!$E$11:$DX$54,$B$40,FALSE)/1000</f>
        <v>-129.81636222782501</v>
      </c>
      <c r="Q40" s="866">
        <f>-VLOOKUP(Q$3,'FE - Aluminum'!$E$11:$DX$54,$B$40,FALSE)/1000</f>
        <v>-519.83362698470523</v>
      </c>
      <c r="R40" s="866">
        <f>-VLOOKUP(R$3,'FE - Aluminum'!$E$11:$DX$54,$B$40,FALSE)/1000</f>
        <v>0</v>
      </c>
      <c r="S40" s="866">
        <f>-VLOOKUP(S$3,'FE - Aluminum'!$E$11:$DX$54,$B$40,FALSE)/1000</f>
        <v>-357.43311657499356</v>
      </c>
      <c r="T40" s="866">
        <f>-VLOOKUP(T$3,'FE - Aluminum'!$E$11:$DX$54,$B$40,FALSE)/1000</f>
        <v>-857.02561224552039</v>
      </c>
      <c r="U40" s="866">
        <f>-VLOOKUP(U$3,'FE - Aluminum'!$E$11:$DX$54,$B$40,FALSE)/1000</f>
        <v>-446.10664971529877</v>
      </c>
      <c r="V40" s="866">
        <f>-VLOOKUP(V$3,'FE - Aluminum'!$E$11:$DX$54,$B$40,FALSE)/1000</f>
        <v>-343.08598331920001</v>
      </c>
      <c r="W40" s="866">
        <f>-VLOOKUP(W$3,'FE - Aluminum'!$E$11:$DX$54,$B$40,FALSE)/1000</f>
        <v>-27.271953914508515</v>
      </c>
      <c r="X40" s="866">
        <f>-VLOOKUP(X$3,'FE - Aluminum'!$E$11:$DX$54,$B$40,FALSE)/1000</f>
        <v>0</v>
      </c>
      <c r="Y40" s="866">
        <f>-VLOOKUP(Y$3,'FE - Aluminum'!$E$11:$DX$54,$B$40,FALSE)/1000</f>
        <v>0</v>
      </c>
      <c r="Z40" s="866">
        <f>-VLOOKUP(Z$3,'FE - Aluminum'!$E$11:$DX$54,$B$40,FALSE)/1000</f>
        <v>0</v>
      </c>
      <c r="AA40" s="866">
        <f>-VLOOKUP(AA$3,'FE - Aluminum'!$E$11:$DX$54,$B$40,FALSE)/1000</f>
        <v>0</v>
      </c>
      <c r="AB40" s="866">
        <f>-VLOOKUP(AB$3,'FE - Aluminum'!$E$11:$DX$54,$B$40,FALSE)/1000</f>
        <v>0</v>
      </c>
      <c r="AC40" s="866">
        <f>-VLOOKUP(AC$3,'FE - Aluminum'!$E$11:$DX$54,$B$40,FALSE)/1000</f>
        <v>0</v>
      </c>
      <c r="AD40" s="866">
        <f>-VLOOKUP(AD$3,'FE - Aluminum'!$E$11:$DX$54,$B$40,FALSE)/1000</f>
        <v>-88.421554006597347</v>
      </c>
      <c r="AE40" s="866">
        <f>-VLOOKUP(AE$3,'FE - Aluminum'!$E$11:$DX$54,$B$40,FALSE)/1000</f>
        <v>-60.615047060756488</v>
      </c>
      <c r="AF40" s="866">
        <f>-VLOOKUP(AF$3,'FE - Aluminum'!$E$11:$DX$54,$B$40,FALSE)/1000</f>
        <v>-54.332081058473896</v>
      </c>
      <c r="AG40" s="866">
        <f>-VLOOKUP(AG$3,'FE - Aluminum'!$E$11:$DX$54,$B$40,FALSE)/1000</f>
        <v>-113.53490693643482</v>
      </c>
      <c r="AH40" s="866">
        <f>-VLOOKUP(AH$3,'FE - Aluminum'!$E$11:$DX$54,$B$40,FALSE)/1000</f>
        <v>-211.75568752994911</v>
      </c>
      <c r="AI40" s="866">
        <f>-VLOOKUP(AI$3,'FE - Aluminum'!$E$11:$DX$54,$B$40,FALSE)/1000</f>
        <v>0</v>
      </c>
      <c r="AJ40" s="866">
        <f>-VLOOKUP(AJ$3,'FE - Aluminum'!$E$11:$DX$54,$B$40,FALSE)/1000</f>
        <v>0</v>
      </c>
      <c r="AK40" s="866">
        <f>-VLOOKUP(AK$3,'FE - Aluminum'!$E$11:$DX$54,$B$40,FALSE)/1000</f>
        <v>0</v>
      </c>
      <c r="AL40" s="866">
        <f>-VLOOKUP(AL$3,'FE - Aluminum'!$E$11:$DX$54,$B$40,FALSE)/1000</f>
        <v>0</v>
      </c>
      <c r="AM40" s="866">
        <f>-VLOOKUP(AM$3,'FE - Aluminum'!$E$11:$DX$54,$B$40,FALSE)/1000</f>
        <v>0</v>
      </c>
      <c r="AN40" s="866">
        <f>-VLOOKUP(AN$3,'FE - Aluminum'!$E$11:$DX$54,$B$40,FALSE)/1000</f>
        <v>0</v>
      </c>
      <c r="AO40" s="866">
        <f>-VLOOKUP(AO$3,'FE - Aluminum'!$E$11:$DX$54,$B$40,FALSE)/1000</f>
        <v>0</v>
      </c>
      <c r="AP40" s="866">
        <f>-VLOOKUP(AP$3,'FE - Aluminum'!$E$11:$DX$54,$B$40,FALSE)/1000</f>
        <v>0</v>
      </c>
      <c r="AQ40" s="866">
        <f>-VLOOKUP(AQ$3,'FE - Aluminum'!$E$11:$DX$54,$B$40,FALSE)/1000</f>
        <v>0</v>
      </c>
      <c r="AR40" s="880"/>
      <c r="AS40" s="879">
        <f t="shared" si="3"/>
        <v>-653.398126139086</v>
      </c>
      <c r="AT40" s="888"/>
      <c r="AU40" s="888">
        <f t="shared" si="4"/>
        <v>-649.64998921253027</v>
      </c>
      <c r="AV40" s="888">
        <f t="shared" si="5"/>
        <v>-357.43311657499356</v>
      </c>
      <c r="AW40" s="888">
        <f t="shared" si="6"/>
        <v>-446.10664971529877</v>
      </c>
      <c r="AX40" s="888">
        <f t="shared" si="7"/>
        <v>-857.02561224552039</v>
      </c>
      <c r="AY40" s="888">
        <f t="shared" si="8"/>
        <v>-27.271953914508515</v>
      </c>
      <c r="AZ40" s="888">
        <f t="shared" si="9"/>
        <v>-211.75568752994911</v>
      </c>
      <c r="BA40" s="888">
        <f t="shared" si="10"/>
        <v>-114.94712811923038</v>
      </c>
      <c r="BB40" s="888">
        <f t="shared" si="11"/>
        <v>-205.85158999152</v>
      </c>
      <c r="BC40" s="888"/>
      <c r="BD40" s="888">
        <f t="shared" si="21"/>
        <v>-137.23439332768001</v>
      </c>
      <c r="BE40" s="888"/>
      <c r="BF40" s="888">
        <f t="shared" si="12"/>
        <v>0</v>
      </c>
      <c r="BG40" s="888">
        <f t="shared" si="13"/>
        <v>-326.70281564917951</v>
      </c>
      <c r="BH40" s="889"/>
      <c r="BI40" s="905">
        <f>-SUM('Emissão - Simapro'!K18:M18)</f>
        <v>-8.5492451265699997E-3</v>
      </c>
      <c r="BJ40" s="905">
        <f t="shared" ref="BJ40:BW40" si="32">-SUMPRODUCT(BJ33:BJ39,$BX$33:$BX$39)/1000</f>
        <v>0</v>
      </c>
      <c r="BK40" s="905">
        <f>-SUM('Emissão - Simapro'!L56:P56)</f>
        <v>-0.35934374969911104</v>
      </c>
      <c r="BL40" s="905">
        <f>-SUM('Emissão - Simapro'!J75:L75)</f>
        <v>-0.27957965968259113</v>
      </c>
      <c r="BM40" s="905">
        <f>-'Emissão - Simapro'!O119-'Emissão - Simapro'!T119</f>
        <v>-2.3542292412884702</v>
      </c>
      <c r="BN40" s="905">
        <f>-'Emissão - Simapro'!O97-'Emissão - Simapro'!T97</f>
        <v>-2.1877790812884701</v>
      </c>
      <c r="BO40" s="905">
        <f>-SUM('Emissão - Simapro'!T137:V137)</f>
        <v>-3.0641630149997996E-2</v>
      </c>
      <c r="BP40" s="905">
        <f>-SUM('Emissão - Simapro'!I156:K156)</f>
        <v>-5.3422983570270005E-2</v>
      </c>
      <c r="BQ40" s="905">
        <f t="shared" si="32"/>
        <v>0</v>
      </c>
      <c r="BR40" s="905">
        <f t="shared" si="32"/>
        <v>0</v>
      </c>
      <c r="BS40" s="905">
        <f t="shared" si="32"/>
        <v>0</v>
      </c>
      <c r="BT40" s="905">
        <f t="shared" si="32"/>
        <v>0</v>
      </c>
      <c r="BU40" s="905">
        <f t="shared" si="32"/>
        <v>0</v>
      </c>
      <c r="BV40" s="905">
        <f t="shared" si="32"/>
        <v>0</v>
      </c>
      <c r="BW40" s="905">
        <f t="shared" si="32"/>
        <v>0</v>
      </c>
    </row>
    <row r="42" spans="1:76" ht="21">
      <c r="C42" s="426"/>
    </row>
  </sheetData>
  <autoFilter ref="C3:BW40" xr:uid="{89BC3AAF-5609-452A-A758-A976F34EAF2E}"/>
  <conditionalFormatting sqref="F4:BW40">
    <cfRule type="cellIs" dxfId="19" priority="1" operator="equal">
      <formula>0</formula>
    </cfRule>
  </conditionalFormatting>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876BB-CAD0-42A7-823F-F9AD3631AB0D}">
  <sheetPr>
    <tabColor theme="8"/>
  </sheetPr>
  <dimension ref="A2:AH67"/>
  <sheetViews>
    <sheetView topLeftCell="B5" zoomScale="90" zoomScaleNormal="90" workbookViewId="0">
      <pane xSplit="3" ySplit="1" topLeftCell="Z32" activePane="bottomRight" state="frozen"/>
      <selection activeCell="B5" sqref="B5"/>
      <selection pane="topRight" activeCell="E5" sqref="E5"/>
      <selection pane="bottomLeft" activeCell="B6" sqref="B6"/>
      <selection pane="bottomRight" activeCell="I43" sqref="I43"/>
    </sheetView>
  </sheetViews>
  <sheetFormatPr defaultRowHeight="14.4"/>
  <cols>
    <col min="2" max="2" width="8.21875" bestFit="1" customWidth="1"/>
    <col min="3" max="3" width="22.88671875" customWidth="1"/>
    <col min="4" max="4" width="13.5546875" customWidth="1"/>
    <col min="5" max="33" width="20.88671875" style="635" customWidth="1"/>
    <col min="34" max="34" width="20.88671875" customWidth="1"/>
  </cols>
  <sheetData>
    <row r="2" spans="1:34">
      <c r="E2" s="893" t="str">
        <f>CONCATENATE(E3,E5)</f>
        <v>MODELOMineração da bauxita</v>
      </c>
      <c r="F2" s="893" t="str">
        <f t="shared" ref="F2:AH2" si="0">CONCATENATE(F3,F5)</f>
        <v>SIMAPROMineração da bauxita</v>
      </c>
      <c r="G2" s="893" t="str">
        <f t="shared" si="0"/>
        <v>MODELOBauxita, market</v>
      </c>
      <c r="H2" s="893" t="str">
        <f t="shared" si="0"/>
        <v>SIMAPROBauxita, market</v>
      </c>
      <c r="I2" s="893" t="str">
        <f t="shared" si="0"/>
        <v>MODELOHidróxido de alumínio</v>
      </c>
      <c r="J2" s="893" t="str">
        <f t="shared" si="0"/>
        <v>SIMAPROHidróxido de alumínio</v>
      </c>
      <c r="K2" s="893" t="str">
        <f t="shared" si="0"/>
        <v>MODELOÓxido de aluminio ou alumina</v>
      </c>
      <c r="L2" s="893" t="str">
        <f t="shared" si="0"/>
        <v>SIMAPROÓxido de aluminio ou alumina</v>
      </c>
      <c r="M2" s="893" t="str">
        <f t="shared" si="0"/>
        <v>MODELOAlumínio primário líquido, soderberg</v>
      </c>
      <c r="N2" s="893" t="str">
        <f t="shared" si="0"/>
        <v>SIMAPROAlumínio primário líquido, soderberg</v>
      </c>
      <c r="O2" s="893" t="str">
        <f t="shared" si="0"/>
        <v>MODELOAlumínio primário líquido, prebake</v>
      </c>
      <c r="P2" s="893" t="str">
        <f t="shared" si="0"/>
        <v>SIMAPROAlumínio primário líquido, prebake</v>
      </c>
      <c r="Q2" s="893" t="str">
        <f t="shared" si="0"/>
        <v>MODELOLingote de alumínio primário, mix de rotas (Prebake e Soderberg)</v>
      </c>
      <c r="R2" s="893" t="str">
        <f t="shared" si="0"/>
        <v>SIMAPROLingote de alumínio primário, mix de rotas (Prebake e Soderberg)</v>
      </c>
      <c r="S2" s="893" t="str">
        <f t="shared" si="0"/>
        <v>MODELOLingote de alumínio primário, fundido (cast alloy)</v>
      </c>
      <c r="T2" s="893" t="str">
        <f t="shared" si="0"/>
        <v>SIMAPROLingote de alumínio primário, fundido (cast alloy)</v>
      </c>
      <c r="U2" s="893" t="str">
        <f t="shared" si="0"/>
        <v>MODELOLingote de alumínio primário forjado (wrought alloy)</v>
      </c>
      <c r="V2" s="893" t="str">
        <f t="shared" si="0"/>
        <v>SIMAPROLingote de alumínio primário forjado (wrought alloy)</v>
      </c>
      <c r="W2" s="893" t="str">
        <f t="shared" si="0"/>
        <v>MODELOalumínio fundido, inserção de reciclagem</v>
      </c>
      <c r="X2" s="893" t="str">
        <f t="shared" si="0"/>
        <v>SIMAPROalumínio fundido, inserção de reciclagem</v>
      </c>
      <c r="Y2" s="893" t="str">
        <f t="shared" si="0"/>
        <v>MODELOalumínio fundido, market</v>
      </c>
      <c r="Z2" s="893" t="str">
        <f t="shared" si="0"/>
        <v>SIMAPROalumínio fundido, market</v>
      </c>
      <c r="AA2" s="893" t="str">
        <f t="shared" si="0"/>
        <v>MODELOalumínio forjado, inserção de reciclagem</v>
      </c>
      <c r="AB2" s="893" t="str">
        <f t="shared" si="0"/>
        <v>SIMAPROalumínio forjado, inserção de reciclagem</v>
      </c>
      <c r="AC2" s="893" t="str">
        <f t="shared" si="0"/>
        <v>MODELOalumínio forjado, market</v>
      </c>
      <c r="AD2" s="893" t="str">
        <f t="shared" si="0"/>
        <v>SIMAPROalumínio forjado, market</v>
      </c>
      <c r="AE2" s="893" t="str">
        <f t="shared" si="0"/>
        <v>MODELOMix de alumínio forjado e fundido</v>
      </c>
      <c r="AF2" s="893" t="str">
        <f t="shared" si="0"/>
        <v>SIMAPROMix de alumínio forjado e fundido</v>
      </c>
      <c r="AG2" s="893" t="str">
        <f t="shared" si="0"/>
        <v>MODELOMIX 3 - Sheet rolling + extrusion + casting</v>
      </c>
      <c r="AH2" s="893" t="str">
        <f t="shared" si="0"/>
        <v>SIMAPROMIX 3 - Sheet rolling + extrusion + casting</v>
      </c>
    </row>
    <row r="3" spans="1:34">
      <c r="E3" s="893" t="s">
        <v>5813</v>
      </c>
      <c r="F3" s="893" t="s">
        <v>5814</v>
      </c>
      <c r="G3" s="893" t="s">
        <v>5813</v>
      </c>
      <c r="H3" s="893" t="s">
        <v>5814</v>
      </c>
      <c r="I3" s="893" t="s">
        <v>5813</v>
      </c>
      <c r="J3" s="893" t="s">
        <v>5814</v>
      </c>
      <c r="K3" s="893" t="s">
        <v>5813</v>
      </c>
      <c r="L3" s="893" t="s">
        <v>5814</v>
      </c>
      <c r="M3" s="893" t="s">
        <v>5813</v>
      </c>
      <c r="N3" s="893" t="s">
        <v>5814</v>
      </c>
      <c r="O3" s="893" t="s">
        <v>5813</v>
      </c>
      <c r="P3" s="893" t="s">
        <v>5814</v>
      </c>
      <c r="Q3" s="893" t="s">
        <v>5813</v>
      </c>
      <c r="R3" s="893" t="s">
        <v>5814</v>
      </c>
      <c r="S3" s="893" t="s">
        <v>5813</v>
      </c>
      <c r="T3" s="893" t="s">
        <v>5814</v>
      </c>
      <c r="U3" s="893" t="s">
        <v>5813</v>
      </c>
      <c r="V3" s="893" t="s">
        <v>5814</v>
      </c>
      <c r="W3" s="893" t="s">
        <v>5813</v>
      </c>
      <c r="X3" s="893" t="s">
        <v>5814</v>
      </c>
      <c r="Y3" s="893" t="s">
        <v>5813</v>
      </c>
      <c r="Z3" s="893" t="s">
        <v>5814</v>
      </c>
      <c r="AA3" s="893" t="s">
        <v>5813</v>
      </c>
      <c r="AB3" s="893" t="s">
        <v>5814</v>
      </c>
      <c r="AC3" s="893" t="s">
        <v>5813</v>
      </c>
      <c r="AD3" s="893" t="s">
        <v>5814</v>
      </c>
      <c r="AE3" s="893" t="s">
        <v>5813</v>
      </c>
      <c r="AF3" s="893" t="s">
        <v>5814</v>
      </c>
      <c r="AG3" s="893" t="s">
        <v>5813</v>
      </c>
      <c r="AH3" s="893" t="s">
        <v>5814</v>
      </c>
    </row>
    <row r="4" spans="1:34" ht="31.2">
      <c r="D4" s="896" t="s">
        <v>5815</v>
      </c>
      <c r="E4" s="877">
        <f>SUMIF(LCI!AS4:AS27,"&lt;0",LCI!AS4:AS27)</f>
        <v>-2756.3041165102877</v>
      </c>
      <c r="F4" s="858">
        <v>1</v>
      </c>
      <c r="G4" s="858">
        <v>1</v>
      </c>
      <c r="H4" s="858">
        <v>1</v>
      </c>
      <c r="I4" s="877">
        <f>SUMIF(LCI!AU4:AU27,"&lt;0",LCI!AU4:AU27)</f>
        <v>-1761.2609182082333</v>
      </c>
      <c r="J4" s="858">
        <v>1</v>
      </c>
      <c r="K4" s="877">
        <f>SUMIF(LCI!AV4:AV27,"&lt;0",LCI!AV4:AV27)</f>
        <v>-1151.1509269334858</v>
      </c>
      <c r="L4" s="858">
        <v>1</v>
      </c>
      <c r="M4" s="877">
        <f>SUMIF(LCI!AW4:AW27,"&lt;0",LCI!AW4:AW27)</f>
        <v>-189.732</v>
      </c>
      <c r="N4" s="858">
        <v>1</v>
      </c>
      <c r="O4" s="877">
        <f>SUMIF(LCI!AX4:AX27,"&lt;0",LCI!AX4:AX27)</f>
        <v>-392.26800000000009</v>
      </c>
      <c r="P4" s="858">
        <v>1</v>
      </c>
      <c r="Q4" s="877">
        <f>SUMIF(LCI!AY4:AY27,"&lt;0",LCI!AY4:AY27)</f>
        <v>-582.00000000000011</v>
      </c>
      <c r="R4" s="858">
        <v>1</v>
      </c>
      <c r="S4" s="877">
        <f>SUMIF(LCI!AZ4:AZ27,"&lt;0",LCI!AZ4:AZ27)</f>
        <v>-600</v>
      </c>
      <c r="T4" s="858">
        <v>1</v>
      </c>
      <c r="U4" s="877">
        <f>SUMIF(LCI!BA4:BA27,"&lt;0",LCI!BA4:BA27)</f>
        <v>-400</v>
      </c>
      <c r="V4" s="858">
        <v>1</v>
      </c>
      <c r="W4" s="877">
        <f>SUMIF(LCI!BB4:BB27,"&lt;0",LCI!BB4:BB27)</f>
        <v>-250.79999999999998</v>
      </c>
      <c r="X4" s="858">
        <v>1</v>
      </c>
      <c r="Y4" s="877">
        <v>1</v>
      </c>
      <c r="Z4" s="858">
        <v>1</v>
      </c>
      <c r="AA4" s="877">
        <f>SUMIF(LCI!BD4:BD27,"&lt;0",LCI!BD4:BD27)</f>
        <v>-167.20000000000002</v>
      </c>
      <c r="AB4" s="858">
        <v>1</v>
      </c>
      <c r="AC4" s="877">
        <v>1</v>
      </c>
      <c r="AD4" s="858">
        <v>1</v>
      </c>
      <c r="AE4" s="877">
        <f>SUMIF(LCI!BF4:BF27,"&lt;0",LCI!BF4:BF27)</f>
        <v>-1000</v>
      </c>
      <c r="AF4" s="858">
        <v>1</v>
      </c>
      <c r="AG4" s="877">
        <f>SUMIF(LCI!BG4:BG27,"&lt;0",LCI!BG4:BG27)</f>
        <v>-1000</v>
      </c>
      <c r="AH4" s="858">
        <v>1</v>
      </c>
    </row>
    <row r="5" spans="1:34" ht="62.4">
      <c r="B5" s="843" t="s">
        <v>528</v>
      </c>
      <c r="C5" s="844" t="s">
        <v>5754</v>
      </c>
      <c r="D5" s="843" t="s">
        <v>5607</v>
      </c>
      <c r="E5" s="891" t="s">
        <v>5604</v>
      </c>
      <c r="F5" s="890" t="s">
        <v>5604</v>
      </c>
      <c r="G5" s="891" t="s">
        <v>5638</v>
      </c>
      <c r="H5" s="890" t="s">
        <v>5638</v>
      </c>
      <c r="I5" s="891" t="s">
        <v>5646</v>
      </c>
      <c r="J5" s="890" t="s">
        <v>5646</v>
      </c>
      <c r="K5" s="891" t="s">
        <v>5660</v>
      </c>
      <c r="L5" s="890" t="s">
        <v>5660</v>
      </c>
      <c r="M5" s="891" t="s">
        <v>5664</v>
      </c>
      <c r="N5" s="890" t="s">
        <v>5664</v>
      </c>
      <c r="O5" s="891" t="s">
        <v>5683</v>
      </c>
      <c r="P5" s="890" t="s">
        <v>5683</v>
      </c>
      <c r="Q5" s="891" t="s">
        <v>5687</v>
      </c>
      <c r="R5" s="890" t="s">
        <v>5687</v>
      </c>
      <c r="S5" s="891" t="s">
        <v>5704</v>
      </c>
      <c r="T5" s="890" t="s">
        <v>5704</v>
      </c>
      <c r="U5" s="891" t="s">
        <v>5712</v>
      </c>
      <c r="V5" s="890" t="s">
        <v>5712</v>
      </c>
      <c r="W5" s="891" t="s">
        <v>5715</v>
      </c>
      <c r="X5" s="890" t="s">
        <v>5715</v>
      </c>
      <c r="Y5" s="891" t="s">
        <v>5723</v>
      </c>
      <c r="Z5" s="890" t="s">
        <v>5723</v>
      </c>
      <c r="AA5" s="891" t="s">
        <v>5726</v>
      </c>
      <c r="AB5" s="890" t="s">
        <v>5726</v>
      </c>
      <c r="AC5" s="891" t="s">
        <v>5730</v>
      </c>
      <c r="AD5" s="890" t="s">
        <v>5730</v>
      </c>
      <c r="AE5" s="891" t="s">
        <v>5732</v>
      </c>
      <c r="AF5" s="890" t="s">
        <v>5732</v>
      </c>
      <c r="AG5" s="891" t="s">
        <v>5736</v>
      </c>
      <c r="AH5" s="890" t="s">
        <v>5736</v>
      </c>
    </row>
    <row r="6" spans="1:34">
      <c r="A6" s="894">
        <v>4</v>
      </c>
      <c r="B6" s="845"/>
      <c r="C6" s="898" t="s">
        <v>482</v>
      </c>
      <c r="D6" s="387" t="s">
        <v>94</v>
      </c>
      <c r="E6" s="897">
        <f>HLOOKUP(E$2,LCI!$AS$1:$BW$40,$A6,FALSE)/ABS(E$4)</f>
        <v>-1</v>
      </c>
      <c r="F6" s="897">
        <f>HLOOKUP(F$2,LCI!$AS$1:$BW$40,$A6,FALSE)/ABS(F$4)</f>
        <v>1</v>
      </c>
      <c r="G6" s="897">
        <f>HLOOKUP(G$2,LCI!$AS$1:$BW$40,$A6,FALSE)/ABS(G$4)</f>
        <v>0</v>
      </c>
      <c r="H6" s="897">
        <f>HLOOKUP(H$2,LCI!$AS$1:$BW$40,$A6,FALSE)/ABS(H$4)</f>
        <v>0</v>
      </c>
      <c r="I6" s="897">
        <f>HLOOKUP(I$2,LCI!$AS$1:$BW$40,$A6,FALSE)/ABS(I$4)</f>
        <v>1.5649606983355608</v>
      </c>
      <c r="J6" s="897">
        <f>HLOOKUP(J$2,LCI!$AS$1:$BW$40,$A6,FALSE)/ABS(J$4)</f>
        <v>1.5649999999999999</v>
      </c>
      <c r="K6" s="897">
        <f>HLOOKUP(K$2,LCI!$AS$1:$BW$40,$A6,FALSE)/ABS(K$4)</f>
        <v>0</v>
      </c>
      <c r="L6" s="897">
        <f>HLOOKUP(L$2,LCI!$AS$1:$BW$40,$A6,FALSE)/ABS(L$4)</f>
        <v>0</v>
      </c>
      <c r="M6" s="897">
        <f>HLOOKUP(M$2,LCI!$AS$1:$BW$40,$A6,FALSE)/ABS(M$4)</f>
        <v>0</v>
      </c>
      <c r="N6" s="897">
        <f>HLOOKUP(N$2,LCI!$AS$1:$BW$40,$A6,FALSE)/ABS(N$4)</f>
        <v>0</v>
      </c>
      <c r="O6" s="897">
        <f>HLOOKUP(O$2,LCI!$AS$1:$BW$40,$A6,FALSE)/ABS(O$4)</f>
        <v>0</v>
      </c>
      <c r="P6" s="897">
        <f>HLOOKUP(P$2,LCI!$AS$1:$BW$40,$A6,FALSE)/ABS(P$4)</f>
        <v>0</v>
      </c>
      <c r="Q6" s="897">
        <f>HLOOKUP(Q$2,LCI!$AS$1:$BW$40,$A6,FALSE)/ABS(Q$4)</f>
        <v>0</v>
      </c>
      <c r="R6" s="897">
        <f>HLOOKUP(R$2,LCI!$AS$1:$BW$40,$A6,FALSE)/ABS(R$4)</f>
        <v>0</v>
      </c>
      <c r="S6" s="897">
        <f>HLOOKUP(S$2,LCI!$AS$1:$BW$40,$A6,FALSE)/ABS(S$4)</f>
        <v>0</v>
      </c>
      <c r="T6" s="897">
        <f>HLOOKUP(T$2,LCI!$AS$1:$BW$40,$A6,FALSE)/ABS(T$4)</f>
        <v>0</v>
      </c>
      <c r="U6" s="897">
        <f>HLOOKUP(U$2,LCI!$AS$1:$BW$40,$A6,FALSE)/ABS(U$4)</f>
        <v>0</v>
      </c>
      <c r="V6" s="897">
        <f>HLOOKUP(V$2,LCI!$AS$1:$BW$40,$A6,FALSE)/ABS(V$4)</f>
        <v>0</v>
      </c>
      <c r="W6" s="897">
        <f>HLOOKUP(W$2,LCI!$AS$1:$BW$40,$A6,FALSE)/ABS(W$4)</f>
        <v>0</v>
      </c>
      <c r="X6" s="897">
        <f>HLOOKUP(X$2,LCI!$AS$1:$BW$40,$A6,FALSE)/ABS(X$4)</f>
        <v>0</v>
      </c>
      <c r="Y6" s="897">
        <f>HLOOKUP(Y$2,LCI!$AS$1:$BW$40,$A6,FALSE)/ABS(Y$4)</f>
        <v>0</v>
      </c>
      <c r="Z6" s="897">
        <f>HLOOKUP(Z$2,LCI!$AS$1:$BW$40,$A6,FALSE)/ABS(Z$4)</f>
        <v>0</v>
      </c>
      <c r="AA6" s="897">
        <f>HLOOKUP(AA$2,LCI!$AS$1:$BW$40,$A6,FALSE)/ABS(AA$4)</f>
        <v>0</v>
      </c>
      <c r="AB6" s="897">
        <f>HLOOKUP(AB$2,LCI!$AS$1:$BW$40,$A6,FALSE)/ABS(AB$4)</f>
        <v>0</v>
      </c>
      <c r="AC6" s="897">
        <f>HLOOKUP(AC$2,LCI!$AS$1:$BW$40,$A6,FALSE)/ABS(AC$4)</f>
        <v>0</v>
      </c>
      <c r="AD6" s="897">
        <f>HLOOKUP(AD$2,LCI!$AS$1:$BW$40,$A6,FALSE)/ABS(AD$4)</f>
        <v>0</v>
      </c>
      <c r="AE6" s="897">
        <f>HLOOKUP(AE$2,LCI!$AS$1:$BW$40,$A6,FALSE)/ABS(AE$4)</f>
        <v>0</v>
      </c>
      <c r="AF6" s="897">
        <f>HLOOKUP(AF$2,LCI!$AS$1:$BW$40,$A6,FALSE)/ABS(AF$4)</f>
        <v>0</v>
      </c>
      <c r="AG6" s="897">
        <f>HLOOKUP(AG$2,LCI!$AS$1:$BW$40,$A6,FALSE)/ABS(AG$4)</f>
        <v>0</v>
      </c>
      <c r="AH6" s="897">
        <f>HLOOKUP(AH$2,LCI!$AS$1:$BW$40,$A6,FALSE)/ABS(AH$4)</f>
        <v>0</v>
      </c>
    </row>
    <row r="7" spans="1:34">
      <c r="A7" s="894">
        <v>5</v>
      </c>
      <c r="B7" s="845"/>
      <c r="C7" s="898" t="s">
        <v>87</v>
      </c>
      <c r="D7" s="387" t="s">
        <v>94</v>
      </c>
      <c r="E7" s="897">
        <f>HLOOKUP(E$2,LCI!$AS$1:$BW$40,$A7,FALSE)/ABS(E$4)</f>
        <v>0</v>
      </c>
      <c r="F7" s="897">
        <f>HLOOKUP(F$2,LCI!$AS$1:$BW$40,$A7,FALSE)/ABS(F$4)</f>
        <v>0</v>
      </c>
      <c r="G7" s="897">
        <f>HLOOKUP(G$2,LCI!$AS$1:$BW$40,$A7,FALSE)/ABS(G$4)</f>
        <v>0</v>
      </c>
      <c r="H7" s="897">
        <f>HLOOKUP(H$2,LCI!$AS$1:$BW$40,$A7,FALSE)/ABS(H$4)</f>
        <v>0</v>
      </c>
      <c r="I7" s="897">
        <f>HLOOKUP(I$2,LCI!$AS$1:$BW$40,$A7,FALSE)/ABS(I$4)</f>
        <v>0</v>
      </c>
      <c r="J7" s="897">
        <f>HLOOKUP(J$2,LCI!$AS$1:$BW$40,$A7,FALSE)/ABS(J$4)</f>
        <v>0</v>
      </c>
      <c r="K7" s="897">
        <f>HLOOKUP(K$2,LCI!$AS$1:$BW$40,$A7,FALSE)/ABS(K$4)</f>
        <v>0</v>
      </c>
      <c r="L7" s="897">
        <f>HLOOKUP(L$2,LCI!$AS$1:$BW$40,$A7,FALSE)/ABS(L$4)</f>
        <v>0</v>
      </c>
      <c r="M7" s="897">
        <f>HLOOKUP(M$2,LCI!$AS$1:$BW$40,$A7,FALSE)/ABS(M$4)</f>
        <v>3.6285714285714285E-3</v>
      </c>
      <c r="N7" s="897">
        <v>0</v>
      </c>
      <c r="O7" s="897">
        <f>HLOOKUP(O$2,LCI!$AS$1:$BW$40,$A7,FALSE)/ABS(O$4)</f>
        <v>3.6285714285714285E-3</v>
      </c>
      <c r="P7" s="897">
        <v>0</v>
      </c>
      <c r="Q7" s="897">
        <f>HLOOKUP(Q$2,LCI!$AS$1:$BW$40,$A7,FALSE)/ABS(Q$4)</f>
        <v>0</v>
      </c>
      <c r="R7" s="897">
        <f>HLOOKUP(R$2,LCI!$AS$1:$BW$40,$A7,FALSE)/ABS(R$4)</f>
        <v>0</v>
      </c>
      <c r="S7" s="897">
        <f>HLOOKUP(S$2,LCI!$AS$1:$BW$40,$A7,FALSE)/ABS(S$4)</f>
        <v>0</v>
      </c>
      <c r="T7" s="897">
        <f>HLOOKUP(T$2,LCI!$AS$1:$BW$40,$A7,FALSE)/ABS(T$4)</f>
        <v>0</v>
      </c>
      <c r="U7" s="897">
        <f>HLOOKUP(U$2,LCI!$AS$1:$BW$40,$A7,FALSE)/ABS(U$4)</f>
        <v>0</v>
      </c>
      <c r="V7" s="897">
        <f>HLOOKUP(V$2,LCI!$AS$1:$BW$40,$A7,FALSE)/ABS(V$4)</f>
        <v>0</v>
      </c>
      <c r="W7" s="897">
        <f>HLOOKUP(W$2,LCI!$AS$1:$BW$40,$A7,FALSE)/ABS(W$4)</f>
        <v>0</v>
      </c>
      <c r="X7" s="897">
        <f>HLOOKUP(X$2,LCI!$AS$1:$BW$40,$A7,FALSE)/ABS(X$4)</f>
        <v>0</v>
      </c>
      <c r="Y7" s="897">
        <f>HLOOKUP(Y$2,LCI!$AS$1:$BW$40,$A7,FALSE)/ABS(Y$4)</f>
        <v>0</v>
      </c>
      <c r="Z7" s="897">
        <f>HLOOKUP(Z$2,LCI!$AS$1:$BW$40,$A7,FALSE)/ABS(Z$4)</f>
        <v>0</v>
      </c>
      <c r="AA7" s="897">
        <f>HLOOKUP(AA$2,LCI!$AS$1:$BW$40,$A7,FALSE)/ABS(AA$4)</f>
        <v>0</v>
      </c>
      <c r="AB7" s="897">
        <f>HLOOKUP(AB$2,LCI!$AS$1:$BW$40,$A7,FALSE)/ABS(AB$4)</f>
        <v>0</v>
      </c>
      <c r="AC7" s="897">
        <f>HLOOKUP(AC$2,LCI!$AS$1:$BW$40,$A7,FALSE)/ABS(AC$4)</f>
        <v>0</v>
      </c>
      <c r="AD7" s="897">
        <f>HLOOKUP(AD$2,LCI!$AS$1:$BW$40,$A7,FALSE)/ABS(AD$4)</f>
        <v>0</v>
      </c>
      <c r="AE7" s="897">
        <f>HLOOKUP(AE$2,LCI!$AS$1:$BW$40,$A7,FALSE)/ABS(AE$4)</f>
        <v>0</v>
      </c>
      <c r="AF7" s="897">
        <f>HLOOKUP(AF$2,LCI!$AS$1:$BW$40,$A7,FALSE)/ABS(AF$4)</f>
        <v>0</v>
      </c>
      <c r="AG7" s="897">
        <f>HLOOKUP(AG$2,LCI!$AS$1:$BW$40,$A7,FALSE)/ABS(AG$4)</f>
        <v>0</v>
      </c>
      <c r="AH7" s="897">
        <f>HLOOKUP(AH$2,LCI!$AS$1:$BW$40,$A7,FALSE)/ABS(AH$4)</f>
        <v>0</v>
      </c>
    </row>
    <row r="8" spans="1:34">
      <c r="A8" s="894">
        <v>6</v>
      </c>
      <c r="B8" s="845"/>
      <c r="C8" s="898" t="s">
        <v>116</v>
      </c>
      <c r="D8" s="387" t="s">
        <v>94</v>
      </c>
      <c r="E8" s="897">
        <f>HLOOKUP(E$2,LCI!$AS$1:$BW$40,$A8,FALSE)/ABS(E$4)</f>
        <v>0</v>
      </c>
      <c r="F8" s="897">
        <f>HLOOKUP(F$2,LCI!$AS$1:$BW$40,$A8,FALSE)/ABS(F$4)</f>
        <v>0</v>
      </c>
      <c r="G8" s="897">
        <f>HLOOKUP(G$2,LCI!$AS$1:$BW$40,$A8,FALSE)/ABS(G$4)</f>
        <v>0</v>
      </c>
      <c r="H8" s="897">
        <f>HLOOKUP(H$2,LCI!$AS$1:$BW$40,$A8,FALSE)/ABS(H$4)</f>
        <v>0</v>
      </c>
      <c r="I8" s="897">
        <f>HLOOKUP(I$2,LCI!$AS$1:$BW$40,$A8,FALSE)/ABS(I$4)</f>
        <v>0</v>
      </c>
      <c r="J8" s="897">
        <f>HLOOKUP(J$2,LCI!$AS$1:$BW$40,$A8,FALSE)/ABS(J$4)</f>
        <v>0</v>
      </c>
      <c r="K8" s="897">
        <f>HLOOKUP(K$2,LCI!$AS$1:$BW$40,$A8,FALSE)/ABS(K$4)</f>
        <v>0</v>
      </c>
      <c r="L8" s="897">
        <f>HLOOKUP(L$2,LCI!$AS$1:$BW$40,$A8,FALSE)/ABS(L$4)</f>
        <v>0</v>
      </c>
      <c r="M8" s="897">
        <f>HLOOKUP(M$2,LCI!$AS$1:$BW$40,$A8,FALSE)/ABS(M$4)</f>
        <v>1.9099999999999998E-3</v>
      </c>
      <c r="N8" s="897">
        <f>HLOOKUP(N$2,LCI!$AS$1:$BW$40,$A8,FALSE)/ABS(N$4)</f>
        <v>1.91E-3</v>
      </c>
      <c r="O8" s="897">
        <f>HLOOKUP(O$2,LCI!$AS$1:$BW$40,$A8,FALSE)/ABS(O$4)</f>
        <v>1.91E-3</v>
      </c>
      <c r="P8" s="897">
        <f>HLOOKUP(P$2,LCI!$AS$1:$BW$40,$A8,FALSE)/ABS(P$4)</f>
        <v>1.91E-3</v>
      </c>
      <c r="Q8" s="897">
        <f>HLOOKUP(Q$2,LCI!$AS$1:$BW$40,$A8,FALSE)/ABS(Q$4)</f>
        <v>0</v>
      </c>
      <c r="R8" s="897">
        <f>HLOOKUP(R$2,LCI!$AS$1:$BW$40,$A8,FALSE)/ABS(R$4)</f>
        <v>0</v>
      </c>
      <c r="S8" s="897">
        <f>HLOOKUP(S$2,LCI!$AS$1:$BW$40,$A8,FALSE)/ABS(S$4)</f>
        <v>0</v>
      </c>
      <c r="T8" s="897">
        <f>HLOOKUP(T$2,LCI!$AS$1:$BW$40,$A8,FALSE)/ABS(T$4)</f>
        <v>0</v>
      </c>
      <c r="U8" s="897">
        <f>HLOOKUP(U$2,LCI!$AS$1:$BW$40,$A8,FALSE)/ABS(U$4)</f>
        <v>0</v>
      </c>
      <c r="V8" s="897">
        <f>HLOOKUP(V$2,LCI!$AS$1:$BW$40,$A8,FALSE)/ABS(V$4)</f>
        <v>0</v>
      </c>
      <c r="W8" s="897">
        <f>HLOOKUP(W$2,LCI!$AS$1:$BW$40,$A8,FALSE)/ABS(W$4)</f>
        <v>0</v>
      </c>
      <c r="X8" s="897">
        <f>HLOOKUP(X$2,LCI!$AS$1:$BW$40,$A8,FALSE)/ABS(X$4)</f>
        <v>0</v>
      </c>
      <c r="Y8" s="897">
        <f>HLOOKUP(Y$2,LCI!$AS$1:$BW$40,$A8,FALSE)/ABS(Y$4)</f>
        <v>0</v>
      </c>
      <c r="Z8" s="897">
        <f>HLOOKUP(Z$2,LCI!$AS$1:$BW$40,$A8,FALSE)/ABS(Z$4)</f>
        <v>0</v>
      </c>
      <c r="AA8" s="897">
        <f>HLOOKUP(AA$2,LCI!$AS$1:$BW$40,$A8,FALSE)/ABS(AA$4)</f>
        <v>0</v>
      </c>
      <c r="AB8" s="897">
        <f>HLOOKUP(AB$2,LCI!$AS$1:$BW$40,$A8,FALSE)/ABS(AB$4)</f>
        <v>0</v>
      </c>
      <c r="AC8" s="897">
        <f>HLOOKUP(AC$2,LCI!$AS$1:$BW$40,$A8,FALSE)/ABS(AC$4)</f>
        <v>0</v>
      </c>
      <c r="AD8" s="897">
        <f>HLOOKUP(AD$2,LCI!$AS$1:$BW$40,$A8,FALSE)/ABS(AD$4)</f>
        <v>0</v>
      </c>
      <c r="AE8" s="897">
        <f>HLOOKUP(AE$2,LCI!$AS$1:$BW$40,$A8,FALSE)/ABS(AE$4)</f>
        <v>0</v>
      </c>
      <c r="AF8" s="897">
        <f>HLOOKUP(AF$2,LCI!$AS$1:$BW$40,$A8,FALSE)/ABS(AF$4)</f>
        <v>0</v>
      </c>
      <c r="AG8" s="897">
        <f>HLOOKUP(AG$2,LCI!$AS$1:$BW$40,$A8,FALSE)/ABS(AG$4)</f>
        <v>0</v>
      </c>
      <c r="AH8" s="897">
        <f>HLOOKUP(AH$2,LCI!$AS$1:$BW$40,$A8,FALSE)/ABS(AH$4)</f>
        <v>0</v>
      </c>
    </row>
    <row r="9" spans="1:34">
      <c r="A9" s="894">
        <v>7</v>
      </c>
      <c r="B9" s="845"/>
      <c r="C9" s="898" t="s">
        <v>114</v>
      </c>
      <c r="D9" s="387" t="s">
        <v>94</v>
      </c>
      <c r="E9" s="897">
        <f>HLOOKUP(E$2,LCI!$AS$1:$BW$40,$A9,FALSE)/ABS(E$4)</f>
        <v>0</v>
      </c>
      <c r="F9" s="897">
        <f>HLOOKUP(F$2,LCI!$AS$1:$BW$40,$A9,FALSE)/ABS(F$4)</f>
        <v>0</v>
      </c>
      <c r="G9" s="897">
        <f>HLOOKUP(G$2,LCI!$AS$1:$BW$40,$A9,FALSE)/ABS(G$4)</f>
        <v>0</v>
      </c>
      <c r="H9" s="897">
        <f>HLOOKUP(H$2,LCI!$AS$1:$BW$40,$A9,FALSE)/ABS(H$4)</f>
        <v>0</v>
      </c>
      <c r="I9" s="897">
        <f>HLOOKUP(I$2,LCI!$AS$1:$BW$40,$A9,FALSE)/ABS(I$4)</f>
        <v>0</v>
      </c>
      <c r="J9" s="897">
        <f>HLOOKUP(J$2,LCI!$AS$1:$BW$40,$A9,FALSE)/ABS(J$4)</f>
        <v>0</v>
      </c>
      <c r="K9" s="897">
        <f>HLOOKUP(K$2,LCI!$AS$1:$BW$40,$A9,FALSE)/ABS(K$4)</f>
        <v>0</v>
      </c>
      <c r="L9" s="897">
        <f>HLOOKUP(L$2,LCI!$AS$1:$BW$40,$A9,FALSE)/ABS(L$4)</f>
        <v>0</v>
      </c>
      <c r="M9" s="897">
        <f>HLOOKUP(M$2,LCI!$AS$1:$BW$40,$A9,FALSE)/ABS(M$4)</f>
        <v>0</v>
      </c>
      <c r="N9" s="897">
        <f>HLOOKUP(N$2,LCI!$AS$1:$BW$40,$A9,FALSE)/ABS(N$4)</f>
        <v>0</v>
      </c>
      <c r="O9" s="897">
        <f>HLOOKUP(O$2,LCI!$AS$1:$BW$40,$A9,FALSE)/ABS(O$4)</f>
        <v>0</v>
      </c>
      <c r="P9" s="897">
        <f>HLOOKUP(P$2,LCI!$AS$1:$BW$40,$A9,FALSE)/ABS(P$4)</f>
        <v>0</v>
      </c>
      <c r="Q9" s="897">
        <f>HLOOKUP(Q$2,LCI!$AS$1:$BW$40,$A9,FALSE)/ABS(Q$4)</f>
        <v>0</v>
      </c>
      <c r="R9" s="897">
        <f>HLOOKUP(R$2,LCI!$AS$1:$BW$40,$A9,FALSE)/ABS(R$4)</f>
        <v>0</v>
      </c>
      <c r="S9" s="897">
        <f>HLOOKUP(S$2,LCI!$AS$1:$BW$40,$A9,FALSE)/ABS(S$4)</f>
        <v>0</v>
      </c>
      <c r="T9" s="897">
        <f>HLOOKUP(T$2,LCI!$AS$1:$BW$40,$A9,FALSE)/ABS(T$4)</f>
        <v>0</v>
      </c>
      <c r="U9" s="897">
        <f>HLOOKUP(U$2,LCI!$AS$1:$BW$40,$A9,FALSE)/ABS(U$4)</f>
        <v>0</v>
      </c>
      <c r="V9" s="897">
        <f>HLOOKUP(V$2,LCI!$AS$1:$BW$40,$A9,FALSE)/ABS(V$4)</f>
        <v>0</v>
      </c>
      <c r="W9" s="897">
        <f>HLOOKUP(W$2,LCI!$AS$1:$BW$40,$A9,FALSE)/ABS(W$4)</f>
        <v>0</v>
      </c>
      <c r="X9" s="897">
        <f>HLOOKUP(X$2,LCI!$AS$1:$BW$40,$A9,FALSE)/ABS(X$4)</f>
        <v>0</v>
      </c>
      <c r="Y9" s="897">
        <f>HLOOKUP(Y$2,LCI!$AS$1:$BW$40,$A9,FALSE)/ABS(Y$4)</f>
        <v>0</v>
      </c>
      <c r="Z9" s="897">
        <f>HLOOKUP(Z$2,LCI!$AS$1:$BW$40,$A9,FALSE)/ABS(Z$4)</f>
        <v>0</v>
      </c>
      <c r="AA9" s="897">
        <f>HLOOKUP(AA$2,LCI!$AS$1:$BW$40,$A9,FALSE)/ABS(AA$4)</f>
        <v>0</v>
      </c>
      <c r="AB9" s="897">
        <f>HLOOKUP(AB$2,LCI!$AS$1:$BW$40,$A9,FALSE)/ABS(AB$4)</f>
        <v>0</v>
      </c>
      <c r="AC9" s="897">
        <f>HLOOKUP(AC$2,LCI!$AS$1:$BW$40,$A9,FALSE)/ABS(AC$4)</f>
        <v>0</v>
      </c>
      <c r="AD9" s="897">
        <f>HLOOKUP(AD$2,LCI!$AS$1:$BW$40,$A9,FALSE)/ABS(AD$4)</f>
        <v>0</v>
      </c>
      <c r="AE9" s="897">
        <f>HLOOKUP(AE$2,LCI!$AS$1:$BW$40,$A9,FALSE)/ABS(AE$4)</f>
        <v>0</v>
      </c>
      <c r="AF9" s="897">
        <f>HLOOKUP(AF$2,LCI!$AS$1:$BW$40,$A9,FALSE)/ABS(AF$4)</f>
        <v>0</v>
      </c>
      <c r="AG9" s="897">
        <f>HLOOKUP(AG$2,LCI!$AS$1:$BW$40,$A9,FALSE)/ABS(AG$4)</f>
        <v>0</v>
      </c>
      <c r="AH9" s="897">
        <f>HLOOKUP(AH$2,LCI!$AS$1:$BW$40,$A9,FALSE)/ABS(AH$4)</f>
        <v>0</v>
      </c>
    </row>
    <row r="10" spans="1:34">
      <c r="A10" s="894">
        <v>8</v>
      </c>
      <c r="B10" s="845"/>
      <c r="C10" s="898" t="s">
        <v>112</v>
      </c>
      <c r="D10" s="387" t="s">
        <v>94</v>
      </c>
      <c r="E10" s="897">
        <f>HLOOKUP(E$2,LCI!$AS$1:$BW$40,$A10,FALSE)/ABS(E$4)</f>
        <v>0</v>
      </c>
      <c r="F10" s="897">
        <f>HLOOKUP(F$2,LCI!$AS$1:$BW$40,$A10,FALSE)/ABS(F$4)</f>
        <v>0</v>
      </c>
      <c r="G10" s="897">
        <f>HLOOKUP(G$2,LCI!$AS$1:$BW$40,$A10,FALSE)/ABS(G$4)</f>
        <v>0</v>
      </c>
      <c r="H10" s="897">
        <f>HLOOKUP(H$2,LCI!$AS$1:$BW$40,$A10,FALSE)/ABS(H$4)</f>
        <v>0</v>
      </c>
      <c r="I10" s="897">
        <f>HLOOKUP(I$2,LCI!$AS$1:$BW$40,$A10,FALSE)/ABS(I$4)</f>
        <v>0</v>
      </c>
      <c r="J10" s="897">
        <f>HLOOKUP(J$2,LCI!$AS$1:$BW$40,$A10,FALSE)/ABS(J$4)</f>
        <v>0</v>
      </c>
      <c r="K10" s="897">
        <f>HLOOKUP(K$2,LCI!$AS$1:$BW$40,$A10,FALSE)/ABS(K$4)</f>
        <v>0</v>
      </c>
      <c r="L10" s="897">
        <f>HLOOKUP(L$2,LCI!$AS$1:$BW$40,$A10,FALSE)/ABS(L$4)</f>
        <v>0</v>
      </c>
      <c r="M10" s="897">
        <f>HLOOKUP(M$2,LCI!$AS$1:$BW$40,$A10,FALSE)/ABS(M$4)</f>
        <v>0</v>
      </c>
      <c r="N10" s="897">
        <f>HLOOKUP(N$2,LCI!$AS$1:$BW$40,$A10,FALSE)/ABS(N$4)</f>
        <v>0</v>
      </c>
      <c r="O10" s="897">
        <f>HLOOKUP(O$2,LCI!$AS$1:$BW$40,$A10,FALSE)/ABS(O$4)</f>
        <v>0</v>
      </c>
      <c r="P10" s="897">
        <f>HLOOKUP(P$2,LCI!$AS$1:$BW$40,$A10,FALSE)/ABS(P$4)</f>
        <v>0</v>
      </c>
      <c r="Q10" s="897">
        <f>HLOOKUP(Q$2,LCI!$AS$1:$BW$40,$A10,FALSE)/ABS(Q$4)</f>
        <v>0</v>
      </c>
      <c r="R10" s="897">
        <f>HLOOKUP(R$2,LCI!$AS$1:$BW$40,$A10,FALSE)/ABS(R$4)</f>
        <v>0</v>
      </c>
      <c r="S10" s="897">
        <f>HLOOKUP(S$2,LCI!$AS$1:$BW$40,$A10,FALSE)/ABS(S$4)</f>
        <v>0</v>
      </c>
      <c r="T10" s="897">
        <f>HLOOKUP(T$2,LCI!$AS$1:$BW$40,$A10,FALSE)/ABS(T$4)</f>
        <v>0</v>
      </c>
      <c r="U10" s="897">
        <f>HLOOKUP(U$2,LCI!$AS$1:$BW$40,$A10,FALSE)/ABS(U$4)</f>
        <v>0</v>
      </c>
      <c r="V10" s="897">
        <f>HLOOKUP(V$2,LCI!$AS$1:$BW$40,$A10,FALSE)/ABS(V$4)</f>
        <v>0</v>
      </c>
      <c r="W10" s="897">
        <f>HLOOKUP(W$2,LCI!$AS$1:$BW$40,$A10,FALSE)/ABS(W$4)</f>
        <v>0</v>
      </c>
      <c r="X10" s="897">
        <f>HLOOKUP(X$2,LCI!$AS$1:$BW$40,$A10,FALSE)/ABS(X$4)</f>
        <v>0</v>
      </c>
      <c r="Y10" s="897">
        <f>HLOOKUP(Y$2,LCI!$AS$1:$BW$40,$A10,FALSE)/ABS(Y$4)</f>
        <v>0</v>
      </c>
      <c r="Z10" s="897">
        <f>HLOOKUP(Z$2,LCI!$AS$1:$BW$40,$A10,FALSE)/ABS(Z$4)</f>
        <v>0</v>
      </c>
      <c r="AA10" s="897">
        <f>HLOOKUP(AA$2,LCI!$AS$1:$BW$40,$A10,FALSE)/ABS(AA$4)</f>
        <v>0</v>
      </c>
      <c r="AB10" s="897">
        <f>HLOOKUP(AB$2,LCI!$AS$1:$BW$40,$A10,FALSE)/ABS(AB$4)</f>
        <v>0</v>
      </c>
      <c r="AC10" s="897">
        <f>HLOOKUP(AC$2,LCI!$AS$1:$BW$40,$A10,FALSE)/ABS(AC$4)</f>
        <v>0</v>
      </c>
      <c r="AD10" s="897">
        <f>HLOOKUP(AD$2,LCI!$AS$1:$BW$40,$A10,FALSE)/ABS(AD$4)</f>
        <v>0</v>
      </c>
      <c r="AE10" s="897">
        <f>HLOOKUP(AE$2,LCI!$AS$1:$BW$40,$A10,FALSE)/ABS(AE$4)</f>
        <v>0</v>
      </c>
      <c r="AF10" s="897">
        <f>HLOOKUP(AF$2,LCI!$AS$1:$BW$40,$A10,FALSE)/ABS(AF$4)</f>
        <v>0</v>
      </c>
      <c r="AG10" s="897">
        <f>HLOOKUP(AG$2,LCI!$AS$1:$BW$40,$A10,FALSE)/ABS(AG$4)</f>
        <v>0</v>
      </c>
      <c r="AH10" s="897">
        <f>HLOOKUP(AH$2,LCI!$AS$1:$BW$40,$A10,FALSE)/ABS(AH$4)</f>
        <v>0</v>
      </c>
    </row>
    <row r="11" spans="1:34">
      <c r="A11" s="894">
        <v>9</v>
      </c>
      <c r="B11" s="845"/>
      <c r="C11" s="898" t="s">
        <v>5</v>
      </c>
      <c r="D11" s="387" t="s">
        <v>94</v>
      </c>
      <c r="E11" s="897">
        <f>HLOOKUP(E$2,LCI!$AS$1:$BW$40,$A11,FALSE)/ABS(E$4)</f>
        <v>0</v>
      </c>
      <c r="F11" s="897">
        <f>HLOOKUP(F$2,LCI!$AS$1:$BW$40,$A11,FALSE)/ABS(F$4)</f>
        <v>0</v>
      </c>
      <c r="G11" s="897">
        <f>HLOOKUP(G$2,LCI!$AS$1:$BW$40,$A11,FALSE)/ABS(G$4)</f>
        <v>0</v>
      </c>
      <c r="H11" s="897">
        <f>HLOOKUP(H$2,LCI!$AS$1:$BW$40,$A11,FALSE)/ABS(H$4)</f>
        <v>0</v>
      </c>
      <c r="I11" s="897">
        <f>HLOOKUP(I$2,LCI!$AS$1:$BW$40,$A11,FALSE)/ABS(I$4)</f>
        <v>0</v>
      </c>
      <c r="J11" s="897">
        <f>HLOOKUP(J$2,LCI!$AS$1:$BW$40,$A11,FALSE)/ABS(J$4)</f>
        <v>0</v>
      </c>
      <c r="K11" s="897">
        <f>HLOOKUP(K$2,LCI!$AS$1:$BW$40,$A11,FALSE)/ABS(K$4)</f>
        <v>-1</v>
      </c>
      <c r="L11" s="897">
        <f>HLOOKUP(L$2,LCI!$AS$1:$BW$40,$A11,FALSE)/ABS(L$4)</f>
        <v>1</v>
      </c>
      <c r="M11" s="897">
        <f>HLOOKUP(M$2,LCI!$AS$1:$BW$40,$A11,FALSE)/ABS(M$4)</f>
        <v>2.1049933696609053</v>
      </c>
      <c r="N11" s="897">
        <f>HLOOKUP(N$2,LCI!$AS$1:$BW$40,$A11,FALSE)/ABS(N$4)</f>
        <v>2.105</v>
      </c>
      <c r="O11" s="897">
        <f>HLOOKUP(O$2,LCI!$AS$1:$BW$40,$A11,FALSE)/ABS(O$4)</f>
        <v>1.8970434642885836</v>
      </c>
      <c r="P11" s="897">
        <f>HLOOKUP(P$2,LCI!$AS$1:$BW$40,$A11,FALSE)/ABS(P$4)</f>
        <v>1.897</v>
      </c>
      <c r="Q11" s="897">
        <f>HLOOKUP(Q$2,LCI!$AS$1:$BW$40,$A11,FALSE)/ABS(Q$4)</f>
        <v>0</v>
      </c>
      <c r="R11" s="897">
        <f>HLOOKUP(R$2,LCI!$AS$1:$BW$40,$A11,FALSE)/ABS(R$4)</f>
        <v>0</v>
      </c>
      <c r="S11" s="897">
        <f>HLOOKUP(S$2,LCI!$AS$1:$BW$40,$A11,FALSE)/ABS(S$4)</f>
        <v>0</v>
      </c>
      <c r="T11" s="897">
        <f>HLOOKUP(T$2,LCI!$AS$1:$BW$40,$A11,FALSE)/ABS(T$4)</f>
        <v>0</v>
      </c>
      <c r="U11" s="897">
        <f>HLOOKUP(U$2,LCI!$AS$1:$BW$40,$A11,FALSE)/ABS(U$4)</f>
        <v>0</v>
      </c>
      <c r="V11" s="897">
        <f>HLOOKUP(V$2,LCI!$AS$1:$BW$40,$A11,FALSE)/ABS(V$4)</f>
        <v>0</v>
      </c>
      <c r="W11" s="897">
        <f>HLOOKUP(W$2,LCI!$AS$1:$BW$40,$A11,FALSE)/ABS(W$4)</f>
        <v>0</v>
      </c>
      <c r="X11" s="897">
        <f>HLOOKUP(X$2,LCI!$AS$1:$BW$40,$A11,FALSE)/ABS(X$4)</f>
        <v>0</v>
      </c>
      <c r="Y11" s="897">
        <f>HLOOKUP(Y$2,LCI!$AS$1:$BW$40,$A11,FALSE)/ABS(Y$4)</f>
        <v>0</v>
      </c>
      <c r="Z11" s="897">
        <f>HLOOKUP(Z$2,LCI!$AS$1:$BW$40,$A11,FALSE)/ABS(Z$4)</f>
        <v>0</v>
      </c>
      <c r="AA11" s="897">
        <f>HLOOKUP(AA$2,LCI!$AS$1:$BW$40,$A11,FALSE)/ABS(AA$4)</f>
        <v>0</v>
      </c>
      <c r="AB11" s="897">
        <f>HLOOKUP(AB$2,LCI!$AS$1:$BW$40,$A11,FALSE)/ABS(AB$4)</f>
        <v>0</v>
      </c>
      <c r="AC11" s="897">
        <f>HLOOKUP(AC$2,LCI!$AS$1:$BW$40,$A11,FALSE)/ABS(AC$4)</f>
        <v>0</v>
      </c>
      <c r="AD11" s="897">
        <f>HLOOKUP(AD$2,LCI!$AS$1:$BW$40,$A11,FALSE)/ABS(AD$4)</f>
        <v>0</v>
      </c>
      <c r="AE11" s="897">
        <f>HLOOKUP(AE$2,LCI!$AS$1:$BW$40,$A11,FALSE)/ABS(AE$4)</f>
        <v>0</v>
      </c>
      <c r="AF11" s="897">
        <f>HLOOKUP(AF$2,LCI!$AS$1:$BW$40,$A11,FALSE)/ABS(AF$4)</f>
        <v>0</v>
      </c>
      <c r="AG11" s="897">
        <f>HLOOKUP(AG$2,LCI!$AS$1:$BW$40,$A11,FALSE)/ABS(AG$4)</f>
        <v>0</v>
      </c>
      <c r="AH11" s="897">
        <f>HLOOKUP(AH$2,LCI!$AS$1:$BW$40,$A11,FALSE)/ABS(AH$4)</f>
        <v>0</v>
      </c>
    </row>
    <row r="12" spans="1:34">
      <c r="A12" s="894">
        <v>10</v>
      </c>
      <c r="B12" s="845"/>
      <c r="C12" s="898" t="s">
        <v>511</v>
      </c>
      <c r="D12" s="387" t="s">
        <v>94</v>
      </c>
      <c r="E12" s="897">
        <f>HLOOKUP(E$2,LCI!$AS$1:$BW$40,$A12,FALSE)/ABS(E$4)</f>
        <v>0</v>
      </c>
      <c r="F12" s="897">
        <f>HLOOKUP(F$2,LCI!$AS$1:$BW$40,$A12,FALSE)/ABS(F$4)</f>
        <v>0</v>
      </c>
      <c r="G12" s="897">
        <f>HLOOKUP(G$2,LCI!$AS$1:$BW$40,$A12,FALSE)/ABS(G$4)</f>
        <v>0</v>
      </c>
      <c r="H12" s="897">
        <f>HLOOKUP(H$2,LCI!$AS$1:$BW$40,$A12,FALSE)/ABS(H$4)</f>
        <v>0</v>
      </c>
      <c r="I12" s="897">
        <f>HLOOKUP(I$2,LCI!$AS$1:$BW$40,$A12,FALSE)/ABS(I$4)</f>
        <v>0</v>
      </c>
      <c r="J12" s="897">
        <f>HLOOKUP(J$2,LCI!$AS$1:$BW$40,$A12,FALSE)/ABS(J$4)</f>
        <v>0</v>
      </c>
      <c r="K12" s="897">
        <f>HLOOKUP(K$2,LCI!$AS$1:$BW$40,$A12,FALSE)/ABS(K$4)</f>
        <v>0</v>
      </c>
      <c r="L12" s="897">
        <f>HLOOKUP(L$2,LCI!$AS$1:$BW$40,$A12,FALSE)/ABS(L$4)</f>
        <v>0</v>
      </c>
      <c r="M12" s="897">
        <f>HLOOKUP(M$2,LCI!$AS$1:$BW$40,$A12,FALSE)/ABS(M$4)</f>
        <v>0</v>
      </c>
      <c r="N12" s="897">
        <f>HLOOKUP(N$2,LCI!$AS$1:$BW$40,$A12,FALSE)/ABS(N$4)</f>
        <v>0</v>
      </c>
      <c r="O12" s="897">
        <f>HLOOKUP(O$2,LCI!$AS$1:$BW$40,$A12,FALSE)/ABS(O$4)</f>
        <v>0</v>
      </c>
      <c r="P12" s="897">
        <f>HLOOKUP(P$2,LCI!$AS$1:$BW$40,$A12,FALSE)/ABS(P$4)</f>
        <v>0</v>
      </c>
      <c r="Q12" s="897">
        <f>HLOOKUP(Q$2,LCI!$AS$1:$BW$40,$A12,FALSE)/ABS(Q$4)</f>
        <v>0</v>
      </c>
      <c r="R12" s="897">
        <f>HLOOKUP(R$2,LCI!$AS$1:$BW$40,$A12,FALSE)/ABS(R$4)</f>
        <v>0</v>
      </c>
      <c r="S12" s="897">
        <f>HLOOKUP(S$2,LCI!$AS$1:$BW$40,$A12,FALSE)/ABS(S$4)</f>
        <v>0</v>
      </c>
      <c r="T12" s="897">
        <f>HLOOKUP(T$2,LCI!$AS$1:$BW$40,$A12,FALSE)/ABS(T$4)</f>
        <v>0</v>
      </c>
      <c r="U12" s="897">
        <f>HLOOKUP(U$2,LCI!$AS$1:$BW$40,$A12,FALSE)/ABS(U$4)</f>
        <v>0</v>
      </c>
      <c r="V12" s="897">
        <f>HLOOKUP(V$2,LCI!$AS$1:$BW$40,$A12,FALSE)/ABS(V$4)</f>
        <v>0</v>
      </c>
      <c r="W12" s="897">
        <f>HLOOKUP(W$2,LCI!$AS$1:$BW$40,$A12,FALSE)/ABS(W$4)</f>
        <v>0</v>
      </c>
      <c r="X12" s="897">
        <f>HLOOKUP(X$2,LCI!$AS$1:$BW$40,$A12,FALSE)/ABS(X$4)</f>
        <v>0</v>
      </c>
      <c r="Y12" s="897">
        <f>HLOOKUP(Y$2,LCI!$AS$1:$BW$40,$A12,FALSE)/ABS(Y$4)</f>
        <v>0</v>
      </c>
      <c r="Z12" s="897">
        <f>HLOOKUP(Z$2,LCI!$AS$1:$BW$40,$A12,FALSE)/ABS(Z$4)</f>
        <v>0</v>
      </c>
      <c r="AA12" s="897">
        <f>HLOOKUP(AA$2,LCI!$AS$1:$BW$40,$A12,FALSE)/ABS(AA$4)</f>
        <v>0</v>
      </c>
      <c r="AB12" s="897">
        <f>HLOOKUP(AB$2,LCI!$AS$1:$BW$40,$A12,FALSE)/ABS(AB$4)</f>
        <v>0</v>
      </c>
      <c r="AC12" s="897">
        <f>HLOOKUP(AC$2,LCI!$AS$1:$BW$40,$A12,FALSE)/ABS(AC$4)</f>
        <v>0</v>
      </c>
      <c r="AD12" s="897">
        <f>HLOOKUP(AD$2,LCI!$AS$1:$BW$40,$A12,FALSE)/ABS(AD$4)</f>
        <v>0</v>
      </c>
      <c r="AE12" s="897">
        <f>HLOOKUP(AE$2,LCI!$AS$1:$BW$40,$A12,FALSE)/ABS(AE$4)</f>
        <v>0</v>
      </c>
      <c r="AF12" s="897">
        <f>HLOOKUP(AF$2,LCI!$AS$1:$BW$40,$A12,FALSE)/ABS(AF$4)</f>
        <v>0</v>
      </c>
      <c r="AG12" s="897">
        <f>HLOOKUP(AG$2,LCI!$AS$1:$BW$40,$A12,FALSE)/ABS(AG$4)</f>
        <v>0</v>
      </c>
      <c r="AH12" s="897">
        <f>HLOOKUP(AH$2,LCI!$AS$1:$BW$40,$A12,FALSE)/ABS(AH$4)</f>
        <v>0</v>
      </c>
    </row>
    <row r="13" spans="1:34">
      <c r="A13" s="894">
        <v>11</v>
      </c>
      <c r="B13" s="845"/>
      <c r="C13" s="898" t="s">
        <v>512</v>
      </c>
      <c r="D13" s="387" t="s">
        <v>94</v>
      </c>
      <c r="E13" s="897">
        <f>HLOOKUP(E$2,LCI!$AS$1:$BW$40,$A13,FALSE)/ABS(E$4)</f>
        <v>0</v>
      </c>
      <c r="F13" s="897">
        <f>HLOOKUP(F$2,LCI!$AS$1:$BW$40,$A13,FALSE)/ABS(F$4)</f>
        <v>0</v>
      </c>
      <c r="G13" s="897">
        <f>HLOOKUP(G$2,LCI!$AS$1:$BW$40,$A13,FALSE)/ABS(G$4)</f>
        <v>0</v>
      </c>
      <c r="H13" s="897">
        <f>HLOOKUP(H$2,LCI!$AS$1:$BW$40,$A13,FALSE)/ABS(H$4)</f>
        <v>0</v>
      </c>
      <c r="I13" s="897">
        <f>HLOOKUP(I$2,LCI!$AS$1:$BW$40,$A13,FALSE)/ABS(I$4)</f>
        <v>0</v>
      </c>
      <c r="J13" s="897">
        <f>HLOOKUP(J$2,LCI!$AS$1:$BW$40,$A13,FALSE)/ABS(J$4)</f>
        <v>0</v>
      </c>
      <c r="K13" s="897">
        <f>HLOOKUP(K$2,LCI!$AS$1:$BW$40,$A13,FALSE)/ABS(K$4)</f>
        <v>0</v>
      </c>
      <c r="L13" s="897">
        <f>HLOOKUP(L$2,LCI!$AS$1:$BW$40,$A13,FALSE)/ABS(L$4)</f>
        <v>0</v>
      </c>
      <c r="M13" s="897">
        <f>HLOOKUP(M$2,LCI!$AS$1:$BW$40,$A13,FALSE)/ABS(M$4)</f>
        <v>0</v>
      </c>
      <c r="N13" s="897">
        <f>HLOOKUP(N$2,LCI!$AS$1:$BW$40,$A13,FALSE)/ABS(N$4)</f>
        <v>0</v>
      </c>
      <c r="O13" s="897">
        <f>HLOOKUP(O$2,LCI!$AS$1:$BW$40,$A13,FALSE)/ABS(O$4)</f>
        <v>0</v>
      </c>
      <c r="P13" s="897">
        <f>HLOOKUP(P$2,LCI!$AS$1:$BW$40,$A13,FALSE)/ABS(P$4)</f>
        <v>0</v>
      </c>
      <c r="Q13" s="897">
        <f>HLOOKUP(Q$2,LCI!$AS$1:$BW$40,$A13,FALSE)/ABS(Q$4)</f>
        <v>0</v>
      </c>
      <c r="R13" s="897">
        <f>HLOOKUP(R$2,LCI!$AS$1:$BW$40,$A13,FALSE)/ABS(R$4)</f>
        <v>0</v>
      </c>
      <c r="S13" s="897">
        <f>HLOOKUP(S$2,LCI!$AS$1:$BW$40,$A13,FALSE)/ABS(S$4)</f>
        <v>0</v>
      </c>
      <c r="T13" s="897">
        <f>HLOOKUP(T$2,LCI!$AS$1:$BW$40,$A13,FALSE)/ABS(T$4)</f>
        <v>0</v>
      </c>
      <c r="U13" s="897">
        <f>HLOOKUP(U$2,LCI!$AS$1:$BW$40,$A13,FALSE)/ABS(U$4)</f>
        <v>0</v>
      </c>
      <c r="V13" s="897">
        <f>HLOOKUP(V$2,LCI!$AS$1:$BW$40,$A13,FALSE)/ABS(V$4)</f>
        <v>0</v>
      </c>
      <c r="W13" s="897">
        <f>HLOOKUP(W$2,LCI!$AS$1:$BW$40,$A13,FALSE)/ABS(W$4)</f>
        <v>0</v>
      </c>
      <c r="X13" s="897">
        <f>HLOOKUP(X$2,LCI!$AS$1:$BW$40,$A13,FALSE)/ABS(X$4)</f>
        <v>0</v>
      </c>
      <c r="Y13" s="897">
        <f>HLOOKUP(Y$2,LCI!$AS$1:$BW$40,$A13,FALSE)/ABS(Y$4)</f>
        <v>0</v>
      </c>
      <c r="Z13" s="897">
        <f>HLOOKUP(Z$2,LCI!$AS$1:$BW$40,$A13,FALSE)/ABS(Z$4)</f>
        <v>0</v>
      </c>
      <c r="AA13" s="897">
        <f>HLOOKUP(AA$2,LCI!$AS$1:$BW$40,$A13,FALSE)/ABS(AA$4)</f>
        <v>0</v>
      </c>
      <c r="AB13" s="897">
        <f>HLOOKUP(AB$2,LCI!$AS$1:$BW$40,$A13,FALSE)/ABS(AB$4)</f>
        <v>0</v>
      </c>
      <c r="AC13" s="897">
        <f>HLOOKUP(AC$2,LCI!$AS$1:$BW$40,$A13,FALSE)/ABS(AC$4)</f>
        <v>0</v>
      </c>
      <c r="AD13" s="897">
        <f>HLOOKUP(AD$2,LCI!$AS$1:$BW$40,$A13,FALSE)/ABS(AD$4)</f>
        <v>0</v>
      </c>
      <c r="AE13" s="897">
        <f>HLOOKUP(AE$2,LCI!$AS$1:$BW$40,$A13,FALSE)/ABS(AE$4)</f>
        <v>0</v>
      </c>
      <c r="AF13" s="897">
        <f>HLOOKUP(AF$2,LCI!$AS$1:$BW$40,$A13,FALSE)/ABS(AF$4)</f>
        <v>0</v>
      </c>
      <c r="AG13" s="897">
        <f>HLOOKUP(AG$2,LCI!$AS$1:$BW$40,$A13,FALSE)/ABS(AG$4)</f>
        <v>0</v>
      </c>
      <c r="AH13" s="897">
        <f>HLOOKUP(AH$2,LCI!$AS$1:$BW$40,$A13,FALSE)/ABS(AH$4)</f>
        <v>0</v>
      </c>
    </row>
    <row r="14" spans="1:34">
      <c r="A14" s="894">
        <v>12</v>
      </c>
      <c r="B14" s="845"/>
      <c r="C14" s="898" t="s">
        <v>504</v>
      </c>
      <c r="D14" s="387" t="s">
        <v>94</v>
      </c>
      <c r="E14" s="897">
        <f>HLOOKUP(E$2,LCI!$AS$1:$BW$40,$A14,FALSE)/ABS(E$4)</f>
        <v>0</v>
      </c>
      <c r="F14" s="897">
        <f>HLOOKUP(F$2,LCI!$AS$1:$BW$40,$A14,FALSE)/ABS(F$4)</f>
        <v>0</v>
      </c>
      <c r="G14" s="897">
        <f>HLOOKUP(G$2,LCI!$AS$1:$BW$40,$A14,FALSE)/ABS(G$4)</f>
        <v>0</v>
      </c>
      <c r="H14" s="897">
        <f>HLOOKUP(H$2,LCI!$AS$1:$BW$40,$A14,FALSE)/ABS(H$4)</f>
        <v>0</v>
      </c>
      <c r="I14" s="897">
        <f>HLOOKUP(I$2,LCI!$AS$1:$BW$40,$A14,FALSE)/ABS(I$4)</f>
        <v>0</v>
      </c>
      <c r="J14" s="897">
        <f>HLOOKUP(J$2,LCI!$AS$1:$BW$40,$A14,FALSE)/ABS(J$4)</f>
        <v>0</v>
      </c>
      <c r="K14" s="897">
        <f>HLOOKUP(K$2,LCI!$AS$1:$BW$40,$A14,FALSE)/ABS(K$4)</f>
        <v>0</v>
      </c>
      <c r="L14" s="897">
        <f>HLOOKUP(L$2,LCI!$AS$1:$BW$40,$A14,FALSE)/ABS(L$4)</f>
        <v>0</v>
      </c>
      <c r="M14" s="897">
        <f>HLOOKUP(M$2,LCI!$AS$1:$BW$40,$A14,FALSE)/ABS(M$4)</f>
        <v>0</v>
      </c>
      <c r="N14" s="897">
        <f>HLOOKUP(N$2,LCI!$AS$1:$BW$40,$A14,FALSE)/ABS(N$4)</f>
        <v>0</v>
      </c>
      <c r="O14" s="897">
        <f>HLOOKUP(O$2,LCI!$AS$1:$BW$40,$A14,FALSE)/ABS(O$4)</f>
        <v>0.47499999999999998</v>
      </c>
      <c r="P14" s="897">
        <f>HLOOKUP(P$2,LCI!$AS$1:$BW$40,$A14,FALSE)/ABS(P$4)</f>
        <v>0.47499999999999998</v>
      </c>
      <c r="Q14" s="897">
        <f>HLOOKUP(Q$2,LCI!$AS$1:$BW$40,$A14,FALSE)/ABS(Q$4)</f>
        <v>0</v>
      </c>
      <c r="R14" s="897">
        <f>HLOOKUP(R$2,LCI!$AS$1:$BW$40,$A14,FALSE)/ABS(R$4)</f>
        <v>0</v>
      </c>
      <c r="S14" s="897">
        <f>HLOOKUP(S$2,LCI!$AS$1:$BW$40,$A14,FALSE)/ABS(S$4)</f>
        <v>0</v>
      </c>
      <c r="T14" s="897">
        <f>HLOOKUP(T$2,LCI!$AS$1:$BW$40,$A14,FALSE)/ABS(T$4)</f>
        <v>0</v>
      </c>
      <c r="U14" s="897">
        <f>HLOOKUP(U$2,LCI!$AS$1:$BW$40,$A14,FALSE)/ABS(U$4)</f>
        <v>0</v>
      </c>
      <c r="V14" s="897">
        <f>HLOOKUP(V$2,LCI!$AS$1:$BW$40,$A14,FALSE)/ABS(V$4)</f>
        <v>0</v>
      </c>
      <c r="W14" s="897">
        <f>HLOOKUP(W$2,LCI!$AS$1:$BW$40,$A14,FALSE)/ABS(W$4)</f>
        <v>0</v>
      </c>
      <c r="X14" s="897">
        <f>HLOOKUP(X$2,LCI!$AS$1:$BW$40,$A14,FALSE)/ABS(X$4)</f>
        <v>0</v>
      </c>
      <c r="Y14" s="897">
        <f>HLOOKUP(Y$2,LCI!$AS$1:$BW$40,$A14,FALSE)/ABS(Y$4)</f>
        <v>0</v>
      </c>
      <c r="Z14" s="897">
        <f>HLOOKUP(Z$2,LCI!$AS$1:$BW$40,$A14,FALSE)/ABS(Z$4)</f>
        <v>0</v>
      </c>
      <c r="AA14" s="897">
        <f>HLOOKUP(AA$2,LCI!$AS$1:$BW$40,$A14,FALSE)/ABS(AA$4)</f>
        <v>0</v>
      </c>
      <c r="AB14" s="897">
        <f>HLOOKUP(AB$2,LCI!$AS$1:$BW$40,$A14,FALSE)/ABS(AB$4)</f>
        <v>0</v>
      </c>
      <c r="AC14" s="897">
        <f>HLOOKUP(AC$2,LCI!$AS$1:$BW$40,$A14,FALSE)/ABS(AC$4)</f>
        <v>0</v>
      </c>
      <c r="AD14" s="897">
        <f>HLOOKUP(AD$2,LCI!$AS$1:$BW$40,$A14,FALSE)/ABS(AD$4)</f>
        <v>0</v>
      </c>
      <c r="AE14" s="897">
        <f>HLOOKUP(AE$2,LCI!$AS$1:$BW$40,$A14,FALSE)/ABS(AE$4)</f>
        <v>0</v>
      </c>
      <c r="AF14" s="897">
        <f>HLOOKUP(AF$2,LCI!$AS$1:$BW$40,$A14,FALSE)/ABS(AF$4)</f>
        <v>0</v>
      </c>
      <c r="AG14" s="897">
        <f>HLOOKUP(AG$2,LCI!$AS$1:$BW$40,$A14,FALSE)/ABS(AG$4)</f>
        <v>0</v>
      </c>
      <c r="AH14" s="897">
        <f>HLOOKUP(AH$2,LCI!$AS$1:$BW$40,$A14,FALSE)/ABS(AH$4)</f>
        <v>0</v>
      </c>
    </row>
    <row r="15" spans="1:34">
      <c r="A15" s="894">
        <v>13</v>
      </c>
      <c r="B15" s="845"/>
      <c r="C15" s="898" t="s">
        <v>505</v>
      </c>
      <c r="D15" s="387" t="s">
        <v>94</v>
      </c>
      <c r="E15" s="897">
        <f>HLOOKUP(E$2,LCI!$AS$1:$BW$40,$A15,FALSE)/ABS(E$4)</f>
        <v>0</v>
      </c>
      <c r="F15" s="897">
        <f>HLOOKUP(F$2,LCI!$AS$1:$BW$40,$A15,FALSE)/ABS(F$4)</f>
        <v>0</v>
      </c>
      <c r="G15" s="897">
        <f>HLOOKUP(G$2,LCI!$AS$1:$BW$40,$A15,FALSE)/ABS(G$4)</f>
        <v>0</v>
      </c>
      <c r="H15" s="897">
        <f>HLOOKUP(H$2,LCI!$AS$1:$BW$40,$A15,FALSE)/ABS(H$4)</f>
        <v>0</v>
      </c>
      <c r="I15" s="897">
        <f>HLOOKUP(I$2,LCI!$AS$1:$BW$40,$A15,FALSE)/ABS(I$4)</f>
        <v>0</v>
      </c>
      <c r="J15" s="897">
        <f>HLOOKUP(J$2,LCI!$AS$1:$BW$40,$A15,FALSE)/ABS(J$4)</f>
        <v>0</v>
      </c>
      <c r="K15" s="897">
        <f>HLOOKUP(K$2,LCI!$AS$1:$BW$40,$A15,FALSE)/ABS(K$4)</f>
        <v>0</v>
      </c>
      <c r="L15" s="897">
        <f>HLOOKUP(L$2,LCI!$AS$1:$BW$40,$A15,FALSE)/ABS(L$4)</f>
        <v>0</v>
      </c>
      <c r="M15" s="897">
        <f>HLOOKUP(M$2,LCI!$AS$1:$BW$40,$A15,FALSE)/ABS(M$4)</f>
        <v>0.51500000000000001</v>
      </c>
      <c r="N15" s="897">
        <f>HLOOKUP(N$2,LCI!$AS$1:$BW$40,$A15,FALSE)/ABS(N$4)</f>
        <v>0.51500000000000001</v>
      </c>
      <c r="O15" s="897">
        <f>HLOOKUP(O$2,LCI!$AS$1:$BW$40,$A15,FALSE)/ABS(O$4)</f>
        <v>0</v>
      </c>
      <c r="P15" s="897">
        <f>HLOOKUP(P$2,LCI!$AS$1:$BW$40,$A15,FALSE)/ABS(P$4)</f>
        <v>0</v>
      </c>
      <c r="Q15" s="897">
        <f>HLOOKUP(Q$2,LCI!$AS$1:$BW$40,$A15,FALSE)/ABS(Q$4)</f>
        <v>0</v>
      </c>
      <c r="R15" s="897">
        <f>HLOOKUP(R$2,LCI!$AS$1:$BW$40,$A15,FALSE)/ABS(R$4)</f>
        <v>0</v>
      </c>
      <c r="S15" s="897">
        <f>HLOOKUP(S$2,LCI!$AS$1:$BW$40,$A15,FALSE)/ABS(S$4)</f>
        <v>0</v>
      </c>
      <c r="T15" s="897">
        <f>HLOOKUP(T$2,LCI!$AS$1:$BW$40,$A15,FALSE)/ABS(T$4)</f>
        <v>0</v>
      </c>
      <c r="U15" s="897">
        <f>HLOOKUP(U$2,LCI!$AS$1:$BW$40,$A15,FALSE)/ABS(U$4)</f>
        <v>0</v>
      </c>
      <c r="V15" s="897">
        <f>HLOOKUP(V$2,LCI!$AS$1:$BW$40,$A15,FALSE)/ABS(V$4)</f>
        <v>0</v>
      </c>
      <c r="W15" s="897">
        <f>HLOOKUP(W$2,LCI!$AS$1:$BW$40,$A15,FALSE)/ABS(W$4)</f>
        <v>0</v>
      </c>
      <c r="X15" s="897">
        <f>HLOOKUP(X$2,LCI!$AS$1:$BW$40,$A15,FALSE)/ABS(X$4)</f>
        <v>0</v>
      </c>
      <c r="Y15" s="897">
        <f>HLOOKUP(Y$2,LCI!$AS$1:$BW$40,$A15,FALSE)/ABS(Y$4)</f>
        <v>0</v>
      </c>
      <c r="Z15" s="897">
        <f>HLOOKUP(Z$2,LCI!$AS$1:$BW$40,$A15,FALSE)/ABS(Z$4)</f>
        <v>0</v>
      </c>
      <c r="AA15" s="897">
        <f>HLOOKUP(AA$2,LCI!$AS$1:$BW$40,$A15,FALSE)/ABS(AA$4)</f>
        <v>0</v>
      </c>
      <c r="AB15" s="897">
        <f>HLOOKUP(AB$2,LCI!$AS$1:$BW$40,$A15,FALSE)/ABS(AB$4)</f>
        <v>0</v>
      </c>
      <c r="AC15" s="897">
        <f>HLOOKUP(AC$2,LCI!$AS$1:$BW$40,$A15,FALSE)/ABS(AC$4)</f>
        <v>0</v>
      </c>
      <c r="AD15" s="897">
        <f>HLOOKUP(AD$2,LCI!$AS$1:$BW$40,$A15,FALSE)/ABS(AD$4)</f>
        <v>0</v>
      </c>
      <c r="AE15" s="897">
        <f>HLOOKUP(AE$2,LCI!$AS$1:$BW$40,$A15,FALSE)/ABS(AE$4)</f>
        <v>0</v>
      </c>
      <c r="AF15" s="897">
        <f>HLOOKUP(AF$2,LCI!$AS$1:$BW$40,$A15,FALSE)/ABS(AF$4)</f>
        <v>0</v>
      </c>
      <c r="AG15" s="897">
        <f>HLOOKUP(AG$2,LCI!$AS$1:$BW$40,$A15,FALSE)/ABS(AG$4)</f>
        <v>0</v>
      </c>
      <c r="AH15" s="897">
        <f>HLOOKUP(AH$2,LCI!$AS$1:$BW$40,$A15,FALSE)/ABS(AH$4)</f>
        <v>0</v>
      </c>
    </row>
    <row r="16" spans="1:34">
      <c r="A16" s="894">
        <v>14</v>
      </c>
      <c r="B16" s="845"/>
      <c r="C16" s="898" t="s">
        <v>244</v>
      </c>
      <c r="D16" s="387" t="s">
        <v>94</v>
      </c>
      <c r="E16" s="897">
        <f>HLOOKUP(E$2,LCI!$AS$1:$BW$40,$A16,FALSE)/ABS(E$4)</f>
        <v>0</v>
      </c>
      <c r="F16" s="897">
        <f>HLOOKUP(F$2,LCI!$AS$1:$BW$40,$A16,FALSE)/ABS(F$4)</f>
        <v>0</v>
      </c>
      <c r="G16" s="897">
        <f>HLOOKUP(G$2,LCI!$AS$1:$BW$40,$A16,FALSE)/ABS(G$4)</f>
        <v>0</v>
      </c>
      <c r="H16" s="897">
        <f>HLOOKUP(H$2,LCI!$AS$1:$BW$40,$A16,FALSE)/ABS(H$4)</f>
        <v>0</v>
      </c>
      <c r="I16" s="897">
        <f>HLOOKUP(I$2,LCI!$AS$1:$BW$40,$A16,FALSE)/ABS(I$4)</f>
        <v>0</v>
      </c>
      <c r="J16" s="897">
        <f>HLOOKUP(J$2,LCI!$AS$1:$BW$40,$A16,FALSE)/ABS(J$4)</f>
        <v>0</v>
      </c>
      <c r="K16" s="897">
        <f>HLOOKUP(K$2,LCI!$AS$1:$BW$40,$A16,FALSE)/ABS(K$4)</f>
        <v>0</v>
      </c>
      <c r="L16" s="897">
        <f>HLOOKUP(L$2,LCI!$AS$1:$BW$40,$A16,FALSE)/ABS(L$4)</f>
        <v>0</v>
      </c>
      <c r="M16" s="897">
        <f>HLOOKUP(M$2,LCI!$AS$1:$BW$40,$A16,FALSE)/ABS(M$4)</f>
        <v>1.6000000000000003E-3</v>
      </c>
      <c r="N16" s="897">
        <f>HLOOKUP(N$2,LCI!$AS$1:$BW$40,$A16,FALSE)/ABS(N$4)</f>
        <v>1.6000000000000001E-3</v>
      </c>
      <c r="O16" s="897">
        <f>HLOOKUP(O$2,LCI!$AS$1:$BW$40,$A16,FALSE)/ABS(O$4)</f>
        <v>1.6000000000000001E-3</v>
      </c>
      <c r="P16" s="897">
        <f>HLOOKUP(P$2,LCI!$AS$1:$BW$40,$A16,FALSE)/ABS(P$4)</f>
        <v>1.6000000000000001E-3</v>
      </c>
      <c r="Q16" s="897">
        <f>HLOOKUP(Q$2,LCI!$AS$1:$BW$40,$A16,FALSE)/ABS(Q$4)</f>
        <v>0</v>
      </c>
      <c r="R16" s="897">
        <f>HLOOKUP(R$2,LCI!$AS$1:$BW$40,$A16,FALSE)/ABS(R$4)</f>
        <v>4.0000000000000002E-4</v>
      </c>
      <c r="S16" s="897">
        <f>HLOOKUP(S$2,LCI!$AS$1:$BW$40,$A16,FALSE)/ABS(S$4)</f>
        <v>0</v>
      </c>
      <c r="T16" s="897">
        <f>HLOOKUP(T$2,LCI!$AS$1:$BW$40,$A16,FALSE)/ABS(T$4)</f>
        <v>0</v>
      </c>
      <c r="U16" s="897">
        <f>HLOOKUP(U$2,LCI!$AS$1:$BW$40,$A16,FALSE)/ABS(U$4)</f>
        <v>0</v>
      </c>
      <c r="V16" s="897">
        <f>HLOOKUP(V$2,LCI!$AS$1:$BW$40,$A16,FALSE)/ABS(V$4)</f>
        <v>0</v>
      </c>
      <c r="W16" s="897">
        <f>HLOOKUP(W$2,LCI!$AS$1:$BW$40,$A16,FALSE)/ABS(W$4)</f>
        <v>0</v>
      </c>
      <c r="X16" s="897">
        <f>HLOOKUP(X$2,LCI!$AS$1:$BW$40,$A16,FALSE)/ABS(X$4)</f>
        <v>0</v>
      </c>
      <c r="Y16" s="897">
        <f>HLOOKUP(Y$2,LCI!$AS$1:$BW$40,$A16,FALSE)/ABS(Y$4)</f>
        <v>0</v>
      </c>
      <c r="Z16" s="897">
        <f>HLOOKUP(Z$2,LCI!$AS$1:$BW$40,$A16,FALSE)/ABS(Z$4)</f>
        <v>0</v>
      </c>
      <c r="AA16" s="897">
        <f>HLOOKUP(AA$2,LCI!$AS$1:$BW$40,$A16,FALSE)/ABS(AA$4)</f>
        <v>0</v>
      </c>
      <c r="AB16" s="897">
        <f>HLOOKUP(AB$2,LCI!$AS$1:$BW$40,$A16,FALSE)/ABS(AB$4)</f>
        <v>0</v>
      </c>
      <c r="AC16" s="897">
        <f>HLOOKUP(AC$2,LCI!$AS$1:$BW$40,$A16,FALSE)/ABS(AC$4)</f>
        <v>0</v>
      </c>
      <c r="AD16" s="897">
        <f>HLOOKUP(AD$2,LCI!$AS$1:$BW$40,$A16,FALSE)/ABS(AD$4)</f>
        <v>0</v>
      </c>
      <c r="AE16" s="897">
        <f>HLOOKUP(AE$2,LCI!$AS$1:$BW$40,$A16,FALSE)/ABS(AE$4)</f>
        <v>0</v>
      </c>
      <c r="AF16" s="897">
        <f>HLOOKUP(AF$2,LCI!$AS$1:$BW$40,$A16,FALSE)/ABS(AF$4)</f>
        <v>0</v>
      </c>
      <c r="AG16" s="897">
        <f>HLOOKUP(AG$2,LCI!$AS$1:$BW$40,$A16,FALSE)/ABS(AG$4)</f>
        <v>0</v>
      </c>
      <c r="AH16" s="897">
        <f>HLOOKUP(AH$2,LCI!$AS$1:$BW$40,$A16,FALSE)/ABS(AH$4)</f>
        <v>0</v>
      </c>
    </row>
    <row r="17" spans="1:34">
      <c r="A17" s="894">
        <v>15</v>
      </c>
      <c r="B17" s="845"/>
      <c r="C17" s="898" t="s">
        <v>109</v>
      </c>
      <c r="D17" s="387" t="s">
        <v>94</v>
      </c>
      <c r="E17" s="897">
        <f>HLOOKUP(E$2,LCI!$AS$1:$BW$40,$A17,FALSE)/ABS(E$4)</f>
        <v>0</v>
      </c>
      <c r="F17" s="897">
        <f>HLOOKUP(F$2,LCI!$AS$1:$BW$40,$A17,FALSE)/ABS(F$4)</f>
        <v>0</v>
      </c>
      <c r="G17" s="897">
        <f>HLOOKUP(G$2,LCI!$AS$1:$BW$40,$A17,FALSE)/ABS(G$4)</f>
        <v>0</v>
      </c>
      <c r="H17" s="897">
        <f>HLOOKUP(H$2,LCI!$AS$1:$BW$40,$A17,FALSE)/ABS(H$4)</f>
        <v>0</v>
      </c>
      <c r="I17" s="897">
        <f>HLOOKUP(I$2,LCI!$AS$1:$BW$40,$A17,FALSE)/ABS(I$4)</f>
        <v>0</v>
      </c>
      <c r="J17" s="897">
        <f>HLOOKUP(J$2,LCI!$AS$1:$BW$40,$A17,FALSE)/ABS(J$4)</f>
        <v>0</v>
      </c>
      <c r="K17" s="897">
        <f>HLOOKUP(K$2,LCI!$AS$1:$BW$40,$A17,FALSE)/ABS(K$4)</f>
        <v>0</v>
      </c>
      <c r="L17" s="897">
        <f>HLOOKUP(L$2,LCI!$AS$1:$BW$40,$A17,FALSE)/ABS(L$4)</f>
        <v>0</v>
      </c>
      <c r="M17" s="897">
        <f>HLOOKUP(M$2,LCI!$AS$1:$BW$40,$A17,FALSE)/ABS(M$4)</f>
        <v>2.07E-2</v>
      </c>
      <c r="N17" s="897">
        <f>HLOOKUP(N$2,LCI!$AS$1:$BW$40,$A17,FALSE)/ABS(N$4)</f>
        <v>2.07E-2</v>
      </c>
      <c r="O17" s="897">
        <f>HLOOKUP(O$2,LCI!$AS$1:$BW$40,$A17,FALSE)/ABS(O$4)</f>
        <v>2.1000000000000001E-2</v>
      </c>
      <c r="P17" s="897">
        <f>HLOOKUP(P$2,LCI!$AS$1:$BW$40,$A17,FALSE)/ABS(P$4)</f>
        <v>2.1000000000000001E-2</v>
      </c>
      <c r="Q17" s="897">
        <f>HLOOKUP(Q$2,LCI!$AS$1:$BW$40,$A17,FALSE)/ABS(Q$4)</f>
        <v>0</v>
      </c>
      <c r="R17" s="897">
        <f>HLOOKUP(R$2,LCI!$AS$1:$BW$40,$A17,FALSE)/ABS(R$4)</f>
        <v>0</v>
      </c>
      <c r="S17" s="897">
        <f>HLOOKUP(S$2,LCI!$AS$1:$BW$40,$A17,FALSE)/ABS(S$4)</f>
        <v>0</v>
      </c>
      <c r="T17" s="897">
        <f>HLOOKUP(T$2,LCI!$AS$1:$BW$40,$A17,FALSE)/ABS(T$4)</f>
        <v>0</v>
      </c>
      <c r="U17" s="897">
        <f>HLOOKUP(U$2,LCI!$AS$1:$BW$40,$A17,FALSE)/ABS(U$4)</f>
        <v>0</v>
      </c>
      <c r="V17" s="897">
        <f>HLOOKUP(V$2,LCI!$AS$1:$BW$40,$A17,FALSE)/ABS(V$4)</f>
        <v>0</v>
      </c>
      <c r="W17" s="897">
        <f>HLOOKUP(W$2,LCI!$AS$1:$BW$40,$A17,FALSE)/ABS(W$4)</f>
        <v>0</v>
      </c>
      <c r="X17" s="897">
        <f>HLOOKUP(X$2,LCI!$AS$1:$BW$40,$A17,FALSE)/ABS(X$4)</f>
        <v>0</v>
      </c>
      <c r="Y17" s="897">
        <f>HLOOKUP(Y$2,LCI!$AS$1:$BW$40,$A17,FALSE)/ABS(Y$4)</f>
        <v>0</v>
      </c>
      <c r="Z17" s="897">
        <f>HLOOKUP(Z$2,LCI!$AS$1:$BW$40,$A17,FALSE)/ABS(Z$4)</f>
        <v>0</v>
      </c>
      <c r="AA17" s="897">
        <f>HLOOKUP(AA$2,LCI!$AS$1:$BW$40,$A17,FALSE)/ABS(AA$4)</f>
        <v>0</v>
      </c>
      <c r="AB17" s="897">
        <f>HLOOKUP(AB$2,LCI!$AS$1:$BW$40,$A17,FALSE)/ABS(AB$4)</f>
        <v>0</v>
      </c>
      <c r="AC17" s="897">
        <f>HLOOKUP(AC$2,LCI!$AS$1:$BW$40,$A17,FALSE)/ABS(AC$4)</f>
        <v>0</v>
      </c>
      <c r="AD17" s="897">
        <f>HLOOKUP(AD$2,LCI!$AS$1:$BW$40,$A17,FALSE)/ABS(AD$4)</f>
        <v>0</v>
      </c>
      <c r="AE17" s="897">
        <f>HLOOKUP(AE$2,LCI!$AS$1:$BW$40,$A17,FALSE)/ABS(AE$4)</f>
        <v>0</v>
      </c>
      <c r="AF17" s="897">
        <f>HLOOKUP(AF$2,LCI!$AS$1:$BW$40,$A17,FALSE)/ABS(AF$4)</f>
        <v>0</v>
      </c>
      <c r="AG17" s="897">
        <f>HLOOKUP(AG$2,LCI!$AS$1:$BW$40,$A17,FALSE)/ABS(AG$4)</f>
        <v>0</v>
      </c>
      <c r="AH17" s="897">
        <f>HLOOKUP(AH$2,LCI!$AS$1:$BW$40,$A17,FALSE)/ABS(AH$4)</f>
        <v>0</v>
      </c>
    </row>
    <row r="18" spans="1:34">
      <c r="A18" s="894">
        <v>16</v>
      </c>
      <c r="B18" s="845"/>
      <c r="C18" s="898" t="s">
        <v>517</v>
      </c>
      <c r="D18" s="387" t="s">
        <v>94</v>
      </c>
      <c r="E18" s="897">
        <f>HLOOKUP(E$2,LCI!$AS$1:$BW$40,$A18,FALSE)/ABS(E$4)</f>
        <v>0</v>
      </c>
      <c r="F18" s="897">
        <f>HLOOKUP(F$2,LCI!$AS$1:$BW$40,$A18,FALSE)/ABS(F$4)</f>
        <v>0</v>
      </c>
      <c r="G18" s="897">
        <f>HLOOKUP(G$2,LCI!$AS$1:$BW$40,$A18,FALSE)/ABS(G$4)</f>
        <v>0</v>
      </c>
      <c r="H18" s="897">
        <f>HLOOKUP(H$2,LCI!$AS$1:$BW$40,$A18,FALSE)/ABS(H$4)</f>
        <v>0</v>
      </c>
      <c r="I18" s="897">
        <f>HLOOKUP(I$2,LCI!$AS$1:$BW$40,$A18,FALSE)/ABS(I$4)</f>
        <v>0</v>
      </c>
      <c r="J18" s="897">
        <f>HLOOKUP(J$2,LCI!$AS$1:$BW$40,$A18,FALSE)/ABS(J$4)</f>
        <v>0</v>
      </c>
      <c r="K18" s="897">
        <f>HLOOKUP(K$2,LCI!$AS$1:$BW$40,$A18,FALSE)/ABS(K$4)</f>
        <v>0</v>
      </c>
      <c r="L18" s="897">
        <f>HLOOKUP(L$2,LCI!$AS$1:$BW$40,$A18,FALSE)/ABS(L$4)</f>
        <v>0</v>
      </c>
      <c r="M18" s="897">
        <f>HLOOKUP(M$2,LCI!$AS$1:$BW$40,$A18,FALSE)/ABS(M$4)</f>
        <v>0</v>
      </c>
      <c r="N18" s="897">
        <f>HLOOKUP(N$2,LCI!$AS$1:$BW$40,$A18,FALSE)/ABS(N$4)</f>
        <v>0</v>
      </c>
      <c r="O18" s="897">
        <f>HLOOKUP(O$2,LCI!$AS$1:$BW$40,$A18,FALSE)/ABS(O$4)</f>
        <v>0</v>
      </c>
      <c r="P18" s="897">
        <f>HLOOKUP(P$2,LCI!$AS$1:$BW$40,$A18,FALSE)/ABS(P$4)</f>
        <v>0</v>
      </c>
      <c r="Q18" s="897">
        <f>HLOOKUP(Q$2,LCI!$AS$1:$BW$40,$A18,FALSE)/ABS(Q$4)</f>
        <v>0</v>
      </c>
      <c r="R18" s="897">
        <f>HLOOKUP(R$2,LCI!$AS$1:$BW$40,$A18,FALSE)/ABS(R$4)</f>
        <v>0</v>
      </c>
      <c r="S18" s="897">
        <f>HLOOKUP(S$2,LCI!$AS$1:$BW$40,$A18,FALSE)/ABS(S$4)</f>
        <v>0</v>
      </c>
      <c r="T18" s="897">
        <f>HLOOKUP(T$2,LCI!$AS$1:$BW$40,$A18,FALSE)/ABS(T$4)</f>
        <v>0</v>
      </c>
      <c r="U18" s="897">
        <f>HLOOKUP(U$2,LCI!$AS$1:$BW$40,$A18,FALSE)/ABS(U$4)</f>
        <v>0</v>
      </c>
      <c r="V18" s="897">
        <f>HLOOKUP(V$2,LCI!$AS$1:$BW$40,$A18,FALSE)/ABS(V$4)</f>
        <v>0</v>
      </c>
      <c r="W18" s="897">
        <f>HLOOKUP(W$2,LCI!$AS$1:$BW$40,$A18,FALSE)/ABS(W$4)</f>
        <v>0</v>
      </c>
      <c r="X18" s="897">
        <f>HLOOKUP(X$2,LCI!$AS$1:$BW$40,$A18,FALSE)/ABS(X$4)</f>
        <v>0</v>
      </c>
      <c r="Y18" s="897">
        <f>HLOOKUP(Y$2,LCI!$AS$1:$BW$40,$A18,FALSE)/ABS(Y$4)</f>
        <v>0</v>
      </c>
      <c r="Z18" s="897">
        <f>HLOOKUP(Z$2,LCI!$AS$1:$BW$40,$A18,FALSE)/ABS(Z$4)</f>
        <v>0</v>
      </c>
      <c r="AA18" s="897">
        <f>HLOOKUP(AA$2,LCI!$AS$1:$BW$40,$A18,FALSE)/ABS(AA$4)</f>
        <v>0</v>
      </c>
      <c r="AB18" s="897">
        <f>HLOOKUP(AB$2,LCI!$AS$1:$BW$40,$A18,FALSE)/ABS(AB$4)</f>
        <v>0</v>
      </c>
      <c r="AC18" s="897">
        <f>HLOOKUP(AC$2,LCI!$AS$1:$BW$40,$A18,FALSE)/ABS(AC$4)</f>
        <v>0</v>
      </c>
      <c r="AD18" s="897">
        <f>HLOOKUP(AD$2,LCI!$AS$1:$BW$40,$A18,FALSE)/ABS(AD$4)</f>
        <v>0</v>
      </c>
      <c r="AE18" s="897">
        <f>HLOOKUP(AE$2,LCI!$AS$1:$BW$40,$A18,FALSE)/ABS(AE$4)</f>
        <v>0</v>
      </c>
      <c r="AF18" s="897">
        <f>HLOOKUP(AF$2,LCI!$AS$1:$BW$40,$A18,FALSE)/ABS(AF$4)</f>
        <v>0</v>
      </c>
      <c r="AG18" s="897">
        <f>HLOOKUP(AG$2,LCI!$AS$1:$BW$40,$A18,FALSE)/ABS(AG$4)</f>
        <v>0</v>
      </c>
      <c r="AH18" s="897">
        <f>HLOOKUP(AH$2,LCI!$AS$1:$BW$40,$A18,FALSE)/ABS(AH$4)</f>
        <v>0</v>
      </c>
    </row>
    <row r="19" spans="1:34">
      <c r="A19" s="894">
        <v>17</v>
      </c>
      <c r="B19" s="845"/>
      <c r="C19" s="898" t="s">
        <v>105</v>
      </c>
      <c r="D19" s="387" t="s">
        <v>94</v>
      </c>
      <c r="E19" s="897">
        <f>HLOOKUP(E$2,LCI!$AS$1:$BW$40,$A19,FALSE)/ABS(E$4)</f>
        <v>0</v>
      </c>
      <c r="F19" s="897">
        <f>HLOOKUP(F$2,LCI!$AS$1:$BW$40,$A19,FALSE)/ABS(F$4)</f>
        <v>0</v>
      </c>
      <c r="G19" s="897">
        <f>HLOOKUP(G$2,LCI!$AS$1:$BW$40,$A19,FALSE)/ABS(G$4)</f>
        <v>0</v>
      </c>
      <c r="H19" s="897">
        <f>HLOOKUP(H$2,LCI!$AS$1:$BW$40,$A19,FALSE)/ABS(H$4)</f>
        <v>0</v>
      </c>
      <c r="I19" s="897">
        <f>HLOOKUP(I$2,LCI!$AS$1:$BW$40,$A19,FALSE)/ABS(I$4)</f>
        <v>-1</v>
      </c>
      <c r="J19" s="897">
        <f>HLOOKUP(J$2,LCI!$AS$1:$BW$40,$A19,FALSE)/ABS(J$4)</f>
        <v>1</v>
      </c>
      <c r="K19" s="897">
        <f>HLOOKUP(K$2,LCI!$AS$1:$BW$40,$A19,FALSE)/ABS(K$4)</f>
        <v>1.53</v>
      </c>
      <c r="L19" s="897">
        <f>HLOOKUP(L$2,LCI!$AS$1:$BW$40,$A19,FALSE)/ABS(L$4)</f>
        <v>1.53</v>
      </c>
      <c r="M19" s="897">
        <f>HLOOKUP(M$2,LCI!$AS$1:$BW$40,$A19,FALSE)/ABS(M$4)</f>
        <v>0</v>
      </c>
      <c r="N19" s="897">
        <f>HLOOKUP(N$2,LCI!$AS$1:$BW$40,$A19,FALSE)/ABS(N$4)</f>
        <v>0</v>
      </c>
      <c r="O19" s="897">
        <f>HLOOKUP(O$2,LCI!$AS$1:$BW$40,$A19,FALSE)/ABS(O$4)</f>
        <v>0</v>
      </c>
      <c r="P19" s="897">
        <f>HLOOKUP(P$2,LCI!$AS$1:$BW$40,$A19,FALSE)/ABS(P$4)</f>
        <v>0</v>
      </c>
      <c r="Q19" s="897">
        <f>HLOOKUP(Q$2,LCI!$AS$1:$BW$40,$A19,FALSE)/ABS(Q$4)</f>
        <v>0</v>
      </c>
      <c r="R19" s="897">
        <f>HLOOKUP(R$2,LCI!$AS$1:$BW$40,$A19,FALSE)/ABS(R$4)</f>
        <v>0</v>
      </c>
      <c r="S19" s="897">
        <f>HLOOKUP(S$2,LCI!$AS$1:$BW$40,$A19,FALSE)/ABS(S$4)</f>
        <v>0</v>
      </c>
      <c r="T19" s="897">
        <f>HLOOKUP(T$2,LCI!$AS$1:$BW$40,$A19,FALSE)/ABS(T$4)</f>
        <v>0</v>
      </c>
      <c r="U19" s="897">
        <f>HLOOKUP(U$2,LCI!$AS$1:$BW$40,$A19,FALSE)/ABS(U$4)</f>
        <v>0</v>
      </c>
      <c r="V19" s="897">
        <f>HLOOKUP(V$2,LCI!$AS$1:$BW$40,$A19,FALSE)/ABS(V$4)</f>
        <v>0</v>
      </c>
      <c r="W19" s="897">
        <f>HLOOKUP(W$2,LCI!$AS$1:$BW$40,$A19,FALSE)/ABS(W$4)</f>
        <v>0</v>
      </c>
      <c r="X19" s="897">
        <f>HLOOKUP(X$2,LCI!$AS$1:$BW$40,$A19,FALSE)/ABS(X$4)</f>
        <v>0</v>
      </c>
      <c r="Y19" s="897">
        <f>HLOOKUP(Y$2,LCI!$AS$1:$BW$40,$A19,FALSE)/ABS(Y$4)</f>
        <v>0</v>
      </c>
      <c r="Z19" s="897">
        <f>HLOOKUP(Z$2,LCI!$AS$1:$BW$40,$A19,FALSE)/ABS(Z$4)</f>
        <v>0</v>
      </c>
      <c r="AA19" s="897">
        <f>HLOOKUP(AA$2,LCI!$AS$1:$BW$40,$A19,FALSE)/ABS(AA$4)</f>
        <v>0</v>
      </c>
      <c r="AB19" s="897">
        <f>HLOOKUP(AB$2,LCI!$AS$1:$BW$40,$A19,FALSE)/ABS(AB$4)</f>
        <v>0</v>
      </c>
      <c r="AC19" s="897">
        <f>HLOOKUP(AC$2,LCI!$AS$1:$BW$40,$A19,FALSE)/ABS(AC$4)</f>
        <v>0</v>
      </c>
      <c r="AD19" s="897">
        <f>HLOOKUP(AD$2,LCI!$AS$1:$BW$40,$A19,FALSE)/ABS(AD$4)</f>
        <v>0</v>
      </c>
      <c r="AE19" s="897">
        <f>HLOOKUP(AE$2,LCI!$AS$1:$BW$40,$A19,FALSE)/ABS(AE$4)</f>
        <v>0</v>
      </c>
      <c r="AF19" s="897">
        <f>HLOOKUP(AF$2,LCI!$AS$1:$BW$40,$A19,FALSE)/ABS(AF$4)</f>
        <v>0</v>
      </c>
      <c r="AG19" s="897">
        <f>HLOOKUP(AG$2,LCI!$AS$1:$BW$40,$A19,FALSE)/ABS(AG$4)</f>
        <v>0</v>
      </c>
      <c r="AH19" s="897">
        <f>HLOOKUP(AH$2,LCI!$AS$1:$BW$40,$A19,FALSE)/ABS(AH$4)</f>
        <v>0</v>
      </c>
    </row>
    <row r="20" spans="1:34">
      <c r="A20" s="894">
        <v>18</v>
      </c>
      <c r="B20" s="845"/>
      <c r="C20" s="898" t="s">
        <v>492</v>
      </c>
      <c r="D20" s="387" t="s">
        <v>94</v>
      </c>
      <c r="E20" s="897">
        <f>HLOOKUP(E$2,LCI!$AS$1:$BW$40,$A20,FALSE)/ABS(E$4)</f>
        <v>0</v>
      </c>
      <c r="F20" s="897">
        <f>HLOOKUP(F$2,LCI!$AS$1:$BW$40,$A20,FALSE)/ABS(F$4)</f>
        <v>0</v>
      </c>
      <c r="G20" s="897">
        <f>HLOOKUP(G$2,LCI!$AS$1:$BW$40,$A20,FALSE)/ABS(G$4)</f>
        <v>0</v>
      </c>
      <c r="H20" s="897">
        <f>HLOOKUP(H$2,LCI!$AS$1:$BW$40,$A20,FALSE)/ABS(H$4)</f>
        <v>0</v>
      </c>
      <c r="I20" s="897">
        <f>HLOOKUP(I$2,LCI!$AS$1:$BW$40,$A20,FALSE)/ABS(I$4)</f>
        <v>0</v>
      </c>
      <c r="J20" s="897">
        <f>HLOOKUP(J$2,LCI!$AS$1:$BW$40,$A20,FALSE)/ABS(J$4)</f>
        <v>0</v>
      </c>
      <c r="K20" s="897">
        <f>HLOOKUP(K$2,LCI!$AS$1:$BW$40,$A20,FALSE)/ABS(K$4)</f>
        <v>0</v>
      </c>
      <c r="L20" s="897">
        <f>HLOOKUP(L$2,LCI!$AS$1:$BW$40,$A20,FALSE)/ABS(L$4)</f>
        <v>0</v>
      </c>
      <c r="M20" s="897">
        <f>HLOOKUP(M$2,LCI!$AS$1:$BW$40,$A20,FALSE)/ABS(M$4)</f>
        <v>-1</v>
      </c>
      <c r="N20" s="897">
        <f>HLOOKUP(N$2,LCI!$AS$1:$BW$40,$A20,FALSE)/ABS(N$4)</f>
        <v>1</v>
      </c>
      <c r="O20" s="897">
        <f>HLOOKUP(O$2,LCI!$AS$1:$BW$40,$A20,FALSE)/ABS(O$4)</f>
        <v>-1</v>
      </c>
      <c r="P20" s="897">
        <f>HLOOKUP(P$2,LCI!$AS$1:$BW$40,$A20,FALSE)/ABS(P$4)</f>
        <v>1</v>
      </c>
      <c r="Q20" s="897">
        <f>HLOOKUP(Q$2,LCI!$AS$1:$BW$40,$A20,FALSE)/ABS(Q$4)</f>
        <v>1</v>
      </c>
      <c r="R20" s="897">
        <f>SUM('LCI - Simapro'!K196:K197)</f>
        <v>1</v>
      </c>
      <c r="S20" s="897">
        <f>HLOOKUP(S$2,LCI!$AS$1:$BW$40,$A20,FALSE)/ABS(S$4)</f>
        <v>0</v>
      </c>
      <c r="T20" s="897">
        <f>HLOOKUP(T$2,LCI!$AS$1:$BW$40,$A20,FALSE)/ABS(T$4)</f>
        <v>0</v>
      </c>
      <c r="U20" s="897">
        <f>HLOOKUP(U$2,LCI!$AS$1:$BW$40,$A20,FALSE)/ABS(U$4)</f>
        <v>0</v>
      </c>
      <c r="V20" s="897">
        <f>HLOOKUP(V$2,LCI!$AS$1:$BW$40,$A20,FALSE)/ABS(V$4)</f>
        <v>0</v>
      </c>
      <c r="W20" s="897">
        <f>HLOOKUP(W$2,LCI!$AS$1:$BW$40,$A20,FALSE)/ABS(W$4)</f>
        <v>0</v>
      </c>
      <c r="X20" s="897">
        <f>HLOOKUP(X$2,LCI!$AS$1:$BW$40,$A20,FALSE)/ABS(X$4)</f>
        <v>0</v>
      </c>
      <c r="Y20" s="897">
        <f>HLOOKUP(Y$2,LCI!$AS$1:$BW$40,$A20,FALSE)/ABS(Y$4)</f>
        <v>0</v>
      </c>
      <c r="Z20" s="897">
        <f>HLOOKUP(Z$2,LCI!$AS$1:$BW$40,$A20,FALSE)/ABS(Z$4)</f>
        <v>0</v>
      </c>
      <c r="AA20" s="897">
        <f>HLOOKUP(AA$2,LCI!$AS$1:$BW$40,$A20,FALSE)/ABS(AA$4)</f>
        <v>0</v>
      </c>
      <c r="AB20" s="897">
        <f>HLOOKUP(AB$2,LCI!$AS$1:$BW$40,$A20,FALSE)/ABS(AB$4)</f>
        <v>0</v>
      </c>
      <c r="AC20" s="897">
        <f>HLOOKUP(AC$2,LCI!$AS$1:$BW$40,$A20,FALSE)/ABS(AC$4)</f>
        <v>0</v>
      </c>
      <c r="AD20" s="897">
        <f>HLOOKUP(AD$2,LCI!$AS$1:$BW$40,$A20,FALSE)/ABS(AD$4)</f>
        <v>0</v>
      </c>
      <c r="AE20" s="897">
        <f>HLOOKUP(AE$2,LCI!$AS$1:$BW$40,$A20,FALSE)/ABS(AE$4)</f>
        <v>0</v>
      </c>
      <c r="AF20" s="897">
        <f>HLOOKUP(AF$2,LCI!$AS$1:$BW$40,$A20,FALSE)/ABS(AF$4)</f>
        <v>0</v>
      </c>
      <c r="AG20" s="897">
        <f>HLOOKUP(AG$2,LCI!$AS$1:$BW$40,$A20,FALSE)/ABS(AG$4)</f>
        <v>0</v>
      </c>
      <c r="AH20" s="897">
        <f>HLOOKUP(AH$2,LCI!$AS$1:$BW$40,$A20,FALSE)/ABS(AH$4)</f>
        <v>0</v>
      </c>
    </row>
    <row r="21" spans="1:34">
      <c r="A21" s="894">
        <v>19</v>
      </c>
      <c r="B21" s="845"/>
      <c r="C21" s="898" t="s">
        <v>5373</v>
      </c>
      <c r="D21" s="387" t="s">
        <v>94</v>
      </c>
      <c r="E21" s="897">
        <f>HLOOKUP(E$2,LCI!$AS$1:$BW$40,$A21,FALSE)/ABS(E$4)</f>
        <v>0</v>
      </c>
      <c r="F21" s="897">
        <f>HLOOKUP(F$2,LCI!$AS$1:$BW$40,$A21,FALSE)/ABS(F$4)</f>
        <v>0</v>
      </c>
      <c r="G21" s="897">
        <f>HLOOKUP(G$2,LCI!$AS$1:$BW$40,$A21,FALSE)/ABS(G$4)</f>
        <v>0</v>
      </c>
      <c r="H21" s="897">
        <f>HLOOKUP(H$2,LCI!$AS$1:$BW$40,$A21,FALSE)/ABS(H$4)</f>
        <v>0</v>
      </c>
      <c r="I21" s="897">
        <f>HLOOKUP(I$2,LCI!$AS$1:$BW$40,$A21,FALSE)/ABS(I$4)</f>
        <v>0</v>
      </c>
      <c r="J21" s="897">
        <f>HLOOKUP(J$2,LCI!$AS$1:$BW$40,$A21,FALSE)/ABS(J$4)</f>
        <v>0</v>
      </c>
      <c r="K21" s="897">
        <f>HLOOKUP(K$2,LCI!$AS$1:$BW$40,$A21,FALSE)/ABS(K$4)</f>
        <v>0</v>
      </c>
      <c r="L21" s="897">
        <f>HLOOKUP(L$2,LCI!$AS$1:$BW$40,$A21,FALSE)/ABS(L$4)</f>
        <v>0</v>
      </c>
      <c r="M21" s="897">
        <f>HLOOKUP(M$2,LCI!$AS$1:$BW$40,$A21,FALSE)/ABS(M$4)</f>
        <v>0</v>
      </c>
      <c r="N21" s="897">
        <f>HLOOKUP(N$2,LCI!$AS$1:$BW$40,$A21,FALSE)/ABS(N$4)</f>
        <v>0</v>
      </c>
      <c r="O21" s="897">
        <f>HLOOKUP(O$2,LCI!$AS$1:$BW$40,$A21,FALSE)/ABS(O$4)</f>
        <v>0</v>
      </c>
      <c r="P21" s="897">
        <f>HLOOKUP(P$2,LCI!$AS$1:$BW$40,$A21,FALSE)/ABS(P$4)</f>
        <v>0</v>
      </c>
      <c r="Q21" s="897">
        <f>HLOOKUP(Q$2,LCI!$AS$1:$BW$40,$A21,FALSE)/ABS(Q$4)</f>
        <v>-1</v>
      </c>
      <c r="R21" s="897">
        <f>HLOOKUP(R$2,LCI!$AS$1:$BW$40,$A21,FALSE)/ABS(R$4)</f>
        <v>1</v>
      </c>
      <c r="S21" s="897">
        <f>HLOOKUP(S$2,LCI!$AS$1:$BW$40,$A21,FALSE)/ABS(S$4)</f>
        <v>0</v>
      </c>
      <c r="T21" s="897">
        <f>HLOOKUP(T$2,LCI!$AS$1:$BW$40,$A21,FALSE)/ABS(T$4)</f>
        <v>1</v>
      </c>
      <c r="U21" s="897">
        <f>HLOOKUP(U$2,LCI!$AS$1:$BW$40,$A21,FALSE)/ABS(U$4)</f>
        <v>0</v>
      </c>
      <c r="V21" s="897">
        <f>HLOOKUP(V$2,LCI!$AS$1:$BW$40,$A21,FALSE)/ABS(V$4)</f>
        <v>1</v>
      </c>
      <c r="W21" s="897">
        <f>HLOOKUP(W$2,LCI!$AS$1:$BW$40,$A21,FALSE)/ABS(W$4)</f>
        <v>0</v>
      </c>
      <c r="X21" s="897" t="e">
        <f>HLOOKUP(X$2,LCI!$AS$1:$BW$40,$A21,FALSE)/ABS(X$4)</f>
        <v>#VALUE!</v>
      </c>
      <c r="Y21" s="897">
        <f>HLOOKUP(Y$2,LCI!$AS$1:$BW$40,$A21,FALSE)/ABS(Y$4)</f>
        <v>0</v>
      </c>
      <c r="Z21" s="897">
        <f>HLOOKUP(Z$2,LCI!$AS$1:$BW$40,$A21,FALSE)/ABS(Z$4)</f>
        <v>0</v>
      </c>
      <c r="AA21" s="897">
        <f>HLOOKUP(AA$2,LCI!$AS$1:$BW$40,$A21,FALSE)/ABS(AA$4)</f>
        <v>0</v>
      </c>
      <c r="AB21" s="897" t="e">
        <f>HLOOKUP(AB$2,LCI!$AS$1:$BW$40,$A21,FALSE)/ABS(AB$4)</f>
        <v>#VALUE!</v>
      </c>
      <c r="AC21" s="897">
        <f>HLOOKUP(AC$2,LCI!$AS$1:$BW$40,$A21,FALSE)/ABS(AC$4)</f>
        <v>0</v>
      </c>
      <c r="AD21" s="897">
        <f>HLOOKUP(AD$2,LCI!$AS$1:$BW$40,$A21,FALSE)/ABS(AD$4)</f>
        <v>0</v>
      </c>
      <c r="AE21" s="897">
        <f>HLOOKUP(AE$2,LCI!$AS$1:$BW$40,$A21,FALSE)/ABS(AE$4)</f>
        <v>0</v>
      </c>
      <c r="AF21" s="897">
        <f>HLOOKUP(AF$2,LCI!$AS$1:$BW$40,$A21,FALSE)/ABS(AF$4)</f>
        <v>0</v>
      </c>
      <c r="AG21" s="897">
        <f>HLOOKUP(AG$2,LCI!$AS$1:$BW$40,$A21,FALSE)/ABS(AG$4)</f>
        <v>0</v>
      </c>
      <c r="AH21" s="897">
        <f>HLOOKUP(AH$2,LCI!$AS$1:$BW$40,$A21,FALSE)/ABS(AH$4)</f>
        <v>0</v>
      </c>
    </row>
    <row r="22" spans="1:34">
      <c r="A22" s="894">
        <v>20</v>
      </c>
      <c r="B22" s="845"/>
      <c r="C22" s="898" t="s">
        <v>5375</v>
      </c>
      <c r="D22" s="865" t="s">
        <v>94</v>
      </c>
      <c r="E22" s="897">
        <f>HLOOKUP(E$2,LCI!$AS$1:$BW$40,$A22,FALSE)/ABS(E$4)</f>
        <v>0</v>
      </c>
      <c r="F22" s="897">
        <f>HLOOKUP(F$2,LCI!$AS$1:$BW$40,$A22,FALSE)/ABS(F$4)</f>
        <v>0</v>
      </c>
      <c r="G22" s="897">
        <f>HLOOKUP(G$2,LCI!$AS$1:$BW$40,$A22,FALSE)/ABS(G$4)</f>
        <v>0</v>
      </c>
      <c r="H22" s="897">
        <f>HLOOKUP(H$2,LCI!$AS$1:$BW$40,$A22,FALSE)/ABS(H$4)</f>
        <v>0</v>
      </c>
      <c r="I22" s="897">
        <f>HLOOKUP(I$2,LCI!$AS$1:$BW$40,$A22,FALSE)/ABS(I$4)</f>
        <v>0</v>
      </c>
      <c r="J22" s="897">
        <f>HLOOKUP(J$2,LCI!$AS$1:$BW$40,$A22,FALSE)/ABS(J$4)</f>
        <v>0</v>
      </c>
      <c r="K22" s="897">
        <f>HLOOKUP(K$2,LCI!$AS$1:$BW$40,$A22,FALSE)/ABS(K$4)</f>
        <v>0</v>
      </c>
      <c r="L22" s="897">
        <f>HLOOKUP(L$2,LCI!$AS$1:$BW$40,$A22,FALSE)/ABS(L$4)</f>
        <v>0</v>
      </c>
      <c r="M22" s="897">
        <f>HLOOKUP(M$2,LCI!$AS$1:$BW$40,$A22,FALSE)/ABS(M$4)</f>
        <v>0</v>
      </c>
      <c r="N22" s="897">
        <f>HLOOKUP(N$2,LCI!$AS$1:$BW$40,$A22,FALSE)/ABS(N$4)</f>
        <v>0</v>
      </c>
      <c r="O22" s="897">
        <f>HLOOKUP(O$2,LCI!$AS$1:$BW$40,$A22,FALSE)/ABS(O$4)</f>
        <v>0</v>
      </c>
      <c r="P22" s="897">
        <f>HLOOKUP(P$2,LCI!$AS$1:$BW$40,$A22,FALSE)/ABS(P$4)</f>
        <v>0</v>
      </c>
      <c r="Q22" s="897">
        <f>HLOOKUP(Q$2,LCI!$AS$1:$BW$40,$A22,FALSE)/ABS(Q$4)</f>
        <v>0</v>
      </c>
      <c r="R22" s="897">
        <f>HLOOKUP(R$2,LCI!$AS$1:$BW$40,$A22,FALSE)/ABS(R$4)</f>
        <v>0</v>
      </c>
      <c r="S22" s="897">
        <f>HLOOKUP(S$2,LCI!$AS$1:$BW$40,$A22,FALSE)/ABS(S$4)</f>
        <v>0</v>
      </c>
      <c r="T22" s="897">
        <f>HLOOKUP(T$2,LCI!$AS$1:$BW$40,$A22,FALSE)/ABS(T$4)</f>
        <v>0</v>
      </c>
      <c r="U22" s="897">
        <f>HLOOKUP(U$2,LCI!$AS$1:$BW$40,$A22,FALSE)/ABS(U$4)</f>
        <v>0</v>
      </c>
      <c r="V22" s="897">
        <f>HLOOKUP(V$2,LCI!$AS$1:$BW$40,$A22,FALSE)/ABS(V$4)</f>
        <v>0</v>
      </c>
      <c r="W22" s="897">
        <f>HLOOKUP(W$2,LCI!$AS$1:$BW$40,$A22,FALSE)/ABS(W$4)</f>
        <v>0</v>
      </c>
      <c r="X22" s="897">
        <f>HLOOKUP(X$2,LCI!$AS$1:$BW$40,$A22,FALSE)/ABS(X$4)</f>
        <v>0</v>
      </c>
      <c r="Y22" s="897">
        <f>HLOOKUP(Y$2,LCI!$AS$1:$BW$40,$A22,FALSE)/ABS(Y$4)</f>
        <v>0</v>
      </c>
      <c r="Z22" s="897">
        <f>HLOOKUP(Z$2,LCI!$AS$1:$BW$40,$A22,FALSE)/ABS(Z$4)</f>
        <v>0</v>
      </c>
      <c r="AA22" s="897">
        <f>HLOOKUP(AA$2,LCI!$AS$1:$BW$40,$A22,FALSE)/ABS(AA$4)</f>
        <v>0</v>
      </c>
      <c r="AB22" s="897">
        <f>HLOOKUP(AB$2,LCI!$AS$1:$BW$40,$A22,FALSE)/ABS(AB$4)</f>
        <v>0</v>
      </c>
      <c r="AC22" s="897">
        <f>HLOOKUP(AC$2,LCI!$AS$1:$BW$40,$A22,FALSE)/ABS(AC$4)</f>
        <v>0</v>
      </c>
      <c r="AD22" s="897">
        <f>HLOOKUP(AD$2,LCI!$AS$1:$BW$40,$A22,FALSE)/ABS(AD$4)</f>
        <v>0</v>
      </c>
      <c r="AE22" s="897">
        <f>HLOOKUP(AE$2,LCI!$AS$1:$BW$40,$A22,FALSE)/ABS(AE$4)</f>
        <v>0</v>
      </c>
      <c r="AF22" s="897">
        <f>HLOOKUP(AF$2,LCI!$AS$1:$BW$40,$A22,FALSE)/ABS(AF$4)</f>
        <v>0</v>
      </c>
      <c r="AG22" s="897">
        <f>HLOOKUP(AG$2,LCI!$AS$1:$BW$40,$A22,FALSE)/ABS(AG$4)</f>
        <v>0</v>
      </c>
      <c r="AH22" s="897">
        <f>HLOOKUP(AH$2,LCI!$AS$1:$BW$40,$A22,FALSE)/ABS(AH$4)</f>
        <v>0</v>
      </c>
    </row>
    <row r="23" spans="1:34">
      <c r="A23" s="894">
        <v>21</v>
      </c>
      <c r="B23" s="845"/>
      <c r="C23" s="899" t="s">
        <v>203</v>
      </c>
      <c r="D23" s="387" t="s">
        <v>94</v>
      </c>
      <c r="E23" s="897">
        <f>HLOOKUP(E$2,LCI!$AS$1:$BW$40,$A23,FALSE)/ABS(E$4)</f>
        <v>0</v>
      </c>
      <c r="F23" s="897">
        <f>HLOOKUP(F$2,LCI!$AS$1:$BW$40,$A23,FALSE)/ABS(F$4)</f>
        <v>0</v>
      </c>
      <c r="G23" s="897">
        <f>HLOOKUP(G$2,LCI!$AS$1:$BW$40,$A23,FALSE)/ABS(G$4)</f>
        <v>0</v>
      </c>
      <c r="H23" s="897">
        <f>HLOOKUP(H$2,LCI!$AS$1:$BW$40,$A23,FALSE)/ABS(H$4)</f>
        <v>0</v>
      </c>
      <c r="I23" s="897">
        <f>HLOOKUP(I$2,LCI!$AS$1:$BW$40,$A23,FALSE)/ABS(I$4)</f>
        <v>0</v>
      </c>
      <c r="J23" s="897">
        <f>HLOOKUP(J$2,LCI!$AS$1:$BW$40,$A23,FALSE)/ABS(J$4)</f>
        <v>0</v>
      </c>
      <c r="K23" s="897">
        <f>HLOOKUP(K$2,LCI!$AS$1:$BW$40,$A23,FALSE)/ABS(K$4)</f>
        <v>0</v>
      </c>
      <c r="L23" s="897">
        <f>HLOOKUP(L$2,LCI!$AS$1:$BW$40,$A23,FALSE)/ABS(L$4)</f>
        <v>0</v>
      </c>
      <c r="M23" s="897">
        <f>HLOOKUP(M$2,LCI!$AS$1:$BW$40,$A23,FALSE)/ABS(M$4)</f>
        <v>0</v>
      </c>
      <c r="N23" s="897">
        <f>HLOOKUP(N$2,LCI!$AS$1:$BW$40,$A23,FALSE)/ABS(N$4)</f>
        <v>0</v>
      </c>
      <c r="O23" s="897">
        <f>HLOOKUP(O$2,LCI!$AS$1:$BW$40,$A23,FALSE)/ABS(O$4)</f>
        <v>0</v>
      </c>
      <c r="P23" s="897">
        <f>HLOOKUP(P$2,LCI!$AS$1:$BW$40,$A23,FALSE)/ABS(P$4)</f>
        <v>0</v>
      </c>
      <c r="Q23" s="897">
        <f>HLOOKUP(Q$2,LCI!$AS$1:$BW$40,$A23,FALSE)/ABS(Q$4)</f>
        <v>0</v>
      </c>
      <c r="R23" s="897">
        <f>HLOOKUP(R$2,LCI!$AS$1:$BW$40,$A23,FALSE)/ABS(R$4)</f>
        <v>0</v>
      </c>
      <c r="S23" s="897">
        <f>HLOOKUP(S$2,LCI!$AS$1:$BW$40,$A23,FALSE)/ABS(S$4)</f>
        <v>0</v>
      </c>
      <c r="T23" s="897">
        <f>HLOOKUP(T$2,LCI!$AS$1:$BW$40,$A23,FALSE)/ABS(T$4)</f>
        <v>0</v>
      </c>
      <c r="U23" s="897">
        <f>HLOOKUP(U$2,LCI!$AS$1:$BW$40,$A23,FALSE)/ABS(U$4)</f>
        <v>0</v>
      </c>
      <c r="V23" s="897">
        <f>HLOOKUP(V$2,LCI!$AS$1:$BW$40,$A23,FALSE)/ABS(V$4)</f>
        <v>0</v>
      </c>
      <c r="W23" s="897">
        <f>HLOOKUP(W$2,LCI!$AS$1:$BW$40,$A23,FALSE)/ABS(W$4)</f>
        <v>1.8484288354898337</v>
      </c>
      <c r="X23" s="897">
        <f>HLOOKUP(X$2,LCI!$AS$1:$BW$40,$A23,FALSE)/ABS(X$4)</f>
        <v>0</v>
      </c>
      <c r="Y23" s="897">
        <f>HLOOKUP(Y$2,LCI!$AS$1:$BW$40,$A23,FALSE)/ABS(Y$4)</f>
        <v>0</v>
      </c>
      <c r="Z23" s="897">
        <f>HLOOKUP(Z$2,LCI!$AS$1:$BW$40,$A23,FALSE)/ABS(Z$4)</f>
        <v>0</v>
      </c>
      <c r="AA23" s="897">
        <f>HLOOKUP(AA$2,LCI!$AS$1:$BW$40,$A23,FALSE)/ABS(AA$4)</f>
        <v>1.8484288354898339</v>
      </c>
      <c r="AB23" s="897">
        <f>HLOOKUP(AB$2,LCI!$AS$1:$BW$40,$A23,FALSE)/ABS(AB$4)</f>
        <v>0</v>
      </c>
      <c r="AC23" s="897">
        <f>HLOOKUP(AC$2,LCI!$AS$1:$BW$40,$A23,FALSE)/ABS(AC$4)</f>
        <v>0</v>
      </c>
      <c r="AD23" s="897">
        <f>HLOOKUP(AD$2,LCI!$AS$1:$BW$40,$A23,FALSE)/ABS(AD$4)</f>
        <v>0</v>
      </c>
      <c r="AE23" s="897">
        <f>HLOOKUP(AE$2,LCI!$AS$1:$BW$40,$A23,FALSE)/ABS(AE$4)</f>
        <v>0</v>
      </c>
      <c r="AF23" s="897">
        <f>HLOOKUP(AF$2,LCI!$AS$1:$BW$40,$A23,FALSE)/ABS(AF$4)</f>
        <v>0</v>
      </c>
      <c r="AG23" s="897">
        <f>HLOOKUP(AG$2,LCI!$AS$1:$BW$40,$A23,FALSE)/ABS(AG$4)</f>
        <v>0</v>
      </c>
      <c r="AH23" s="897">
        <f>HLOOKUP(AH$2,LCI!$AS$1:$BW$40,$A23,FALSE)/ABS(AH$4)</f>
        <v>0</v>
      </c>
    </row>
    <row r="24" spans="1:34">
      <c r="A24" s="894">
        <v>22</v>
      </c>
      <c r="B24" s="845"/>
      <c r="C24" s="899" t="s">
        <v>521</v>
      </c>
      <c r="D24" s="387" t="s">
        <v>94</v>
      </c>
      <c r="E24" s="897">
        <f>HLOOKUP(E$2,LCI!$AS$1:$BW$40,$A24,FALSE)/ABS(E$4)</f>
        <v>0</v>
      </c>
      <c r="F24" s="897">
        <f>HLOOKUP(F$2,LCI!$AS$1:$BW$40,$A24,FALSE)/ABS(F$4)</f>
        <v>0</v>
      </c>
      <c r="G24" s="897">
        <f>HLOOKUP(G$2,LCI!$AS$1:$BW$40,$A24,FALSE)/ABS(G$4)</f>
        <v>0</v>
      </c>
      <c r="H24" s="897">
        <f>HLOOKUP(H$2,LCI!$AS$1:$BW$40,$A24,FALSE)/ABS(H$4)</f>
        <v>0</v>
      </c>
      <c r="I24" s="897">
        <f>HLOOKUP(I$2,LCI!$AS$1:$BW$40,$A24,FALSE)/ABS(I$4)</f>
        <v>0</v>
      </c>
      <c r="J24" s="897">
        <f>HLOOKUP(J$2,LCI!$AS$1:$BW$40,$A24,FALSE)/ABS(J$4)</f>
        <v>0</v>
      </c>
      <c r="K24" s="897">
        <f>HLOOKUP(K$2,LCI!$AS$1:$BW$40,$A24,FALSE)/ABS(K$4)</f>
        <v>0</v>
      </c>
      <c r="L24" s="897">
        <f>HLOOKUP(L$2,LCI!$AS$1:$BW$40,$A24,FALSE)/ABS(L$4)</f>
        <v>0</v>
      </c>
      <c r="M24" s="897">
        <f>HLOOKUP(M$2,LCI!$AS$1:$BW$40,$A24,FALSE)/ABS(M$4)</f>
        <v>0</v>
      </c>
      <c r="N24" s="897">
        <f>HLOOKUP(N$2,LCI!$AS$1:$BW$40,$A24,FALSE)/ABS(N$4)</f>
        <v>0</v>
      </c>
      <c r="O24" s="897">
        <f>HLOOKUP(O$2,LCI!$AS$1:$BW$40,$A24,FALSE)/ABS(O$4)</f>
        <v>0</v>
      </c>
      <c r="P24" s="897">
        <f>HLOOKUP(P$2,LCI!$AS$1:$BW$40,$A24,FALSE)/ABS(P$4)</f>
        <v>0</v>
      </c>
      <c r="Q24" s="897">
        <f>HLOOKUP(Q$2,LCI!$AS$1:$BW$40,$A24,FALSE)/ABS(Q$4)</f>
        <v>0</v>
      </c>
      <c r="R24" s="897">
        <f>HLOOKUP(R$2,LCI!$AS$1:$BW$40,$A24,FALSE)/ABS(R$4)</f>
        <v>0</v>
      </c>
      <c r="S24" s="897">
        <f>HLOOKUP(S$2,LCI!$AS$1:$BW$40,$A24,FALSE)/ABS(S$4)</f>
        <v>0</v>
      </c>
      <c r="T24" s="897">
        <f>HLOOKUP(T$2,LCI!$AS$1:$BW$40,$A24,FALSE)/ABS(T$4)</f>
        <v>0</v>
      </c>
      <c r="U24" s="897">
        <f>HLOOKUP(U$2,LCI!$AS$1:$BW$40,$A24,FALSE)/ABS(U$4)</f>
        <v>0</v>
      </c>
      <c r="V24" s="897">
        <f>HLOOKUP(V$2,LCI!$AS$1:$BW$40,$A24,FALSE)/ABS(V$4)</f>
        <v>0</v>
      </c>
      <c r="W24" s="897">
        <f>HLOOKUP(W$2,LCI!$AS$1:$BW$40,$A24,FALSE)/ABS(W$4)</f>
        <v>-1</v>
      </c>
      <c r="X24" s="897">
        <f>HLOOKUP(X$2,LCI!$AS$1:$BW$40,$A24,FALSE)/ABS(X$4)</f>
        <v>0</v>
      </c>
      <c r="Y24" s="897">
        <f>HLOOKUP(Y$2,LCI!$AS$1:$BW$40,$A24,FALSE)/ABS(Y$4)</f>
        <v>0</v>
      </c>
      <c r="Z24" s="897">
        <f>HLOOKUP(Z$2,LCI!$AS$1:$BW$40,$A24,FALSE)/ABS(Z$4)</f>
        <v>0</v>
      </c>
      <c r="AA24" s="897">
        <f>HLOOKUP(AA$2,LCI!$AS$1:$BW$40,$A24,FALSE)/ABS(AA$4)</f>
        <v>-1</v>
      </c>
      <c r="AB24" s="897">
        <f>HLOOKUP(AB$2,LCI!$AS$1:$BW$40,$A24,FALSE)/ABS(AB$4)</f>
        <v>0</v>
      </c>
      <c r="AC24" s="897">
        <f>HLOOKUP(AC$2,LCI!$AS$1:$BW$40,$A24,FALSE)/ABS(AC$4)</f>
        <v>0</v>
      </c>
      <c r="AD24" s="897">
        <f>HLOOKUP(AD$2,LCI!$AS$1:$BW$40,$A24,FALSE)/ABS(AD$4)</f>
        <v>0</v>
      </c>
      <c r="AE24" s="897">
        <f>HLOOKUP(AE$2,LCI!$AS$1:$BW$40,$A24,FALSE)/ABS(AE$4)</f>
        <v>0</v>
      </c>
      <c r="AF24" s="897">
        <f>HLOOKUP(AF$2,LCI!$AS$1:$BW$40,$A24,FALSE)/ABS(AF$4)</f>
        <v>0</v>
      </c>
      <c r="AG24" s="897">
        <f>HLOOKUP(AG$2,LCI!$AS$1:$BW$40,$A24,FALSE)/ABS(AG$4)</f>
        <v>0</v>
      </c>
      <c r="AH24" s="897">
        <f>HLOOKUP(AH$2,LCI!$AS$1:$BW$40,$A24,FALSE)/ABS(AH$4)</f>
        <v>0</v>
      </c>
    </row>
    <row r="25" spans="1:34">
      <c r="A25" s="894">
        <v>23</v>
      </c>
      <c r="B25" s="845"/>
      <c r="C25" s="900" t="s">
        <v>530</v>
      </c>
      <c r="D25" s="387" t="s">
        <v>94</v>
      </c>
      <c r="E25" s="897">
        <f>HLOOKUP(E$2,LCI!$AS$1:$BW$40,$A25,FALSE)/ABS(E$4)</f>
        <v>0</v>
      </c>
      <c r="F25" s="897">
        <f>HLOOKUP(F$2,LCI!$AS$1:$BW$40,$A25,FALSE)/ABS(F$4)</f>
        <v>0</v>
      </c>
      <c r="G25" s="897">
        <f>HLOOKUP(G$2,LCI!$AS$1:$BW$40,$A25,FALSE)/ABS(G$4)</f>
        <v>0</v>
      </c>
      <c r="H25" s="897">
        <f>HLOOKUP(H$2,LCI!$AS$1:$BW$40,$A25,FALSE)/ABS(H$4)</f>
        <v>0</v>
      </c>
      <c r="I25" s="897">
        <f>HLOOKUP(I$2,LCI!$AS$1:$BW$40,$A25,FALSE)/ABS(I$4)</f>
        <v>0</v>
      </c>
      <c r="J25" s="897">
        <f>HLOOKUP(J$2,LCI!$AS$1:$BW$40,$A25,FALSE)/ABS(J$4)</f>
        <v>0</v>
      </c>
      <c r="K25" s="897">
        <f>HLOOKUP(K$2,LCI!$AS$1:$BW$40,$A25,FALSE)/ABS(K$4)</f>
        <v>0</v>
      </c>
      <c r="L25" s="897">
        <f>HLOOKUP(L$2,LCI!$AS$1:$BW$40,$A25,FALSE)/ABS(L$4)</f>
        <v>0</v>
      </c>
      <c r="M25" s="897">
        <f>HLOOKUP(M$2,LCI!$AS$1:$BW$40,$A25,FALSE)/ABS(M$4)</f>
        <v>0</v>
      </c>
      <c r="N25" s="897">
        <f>HLOOKUP(N$2,LCI!$AS$1:$BW$40,$A25,FALSE)/ABS(N$4)</f>
        <v>0</v>
      </c>
      <c r="O25" s="897">
        <f>HLOOKUP(O$2,LCI!$AS$1:$BW$40,$A25,FALSE)/ABS(O$4)</f>
        <v>0</v>
      </c>
      <c r="P25" s="897">
        <f>HLOOKUP(P$2,LCI!$AS$1:$BW$40,$A25,FALSE)/ABS(P$4)</f>
        <v>0</v>
      </c>
      <c r="Q25" s="897">
        <f>HLOOKUP(Q$2,LCI!$AS$1:$BW$40,$A25,FALSE)/ABS(Q$4)</f>
        <v>0</v>
      </c>
      <c r="R25" s="897">
        <f>HLOOKUP(R$2,LCI!$AS$1:$BW$40,$A25,FALSE)/ABS(R$4)</f>
        <v>0</v>
      </c>
      <c r="S25" s="897">
        <f>HLOOKUP(S$2,LCI!$AS$1:$BW$40,$A25,FALSE)/ABS(S$4)</f>
        <v>0</v>
      </c>
      <c r="T25" s="897">
        <f>HLOOKUP(T$2,LCI!$AS$1:$BW$40,$A25,FALSE)/ABS(T$4)</f>
        <v>0</v>
      </c>
      <c r="U25" s="897">
        <f>HLOOKUP(U$2,LCI!$AS$1:$BW$40,$A25,FALSE)/ABS(U$4)</f>
        <v>0</v>
      </c>
      <c r="V25" s="897">
        <f>HLOOKUP(V$2,LCI!$AS$1:$BW$40,$A25,FALSE)/ABS(V$4)</f>
        <v>0</v>
      </c>
      <c r="W25" s="897">
        <f>HLOOKUP(W$2,LCI!$AS$1:$BW$40,$A25,FALSE)/ABS(W$4)</f>
        <v>0</v>
      </c>
      <c r="X25" s="897" t="e">
        <f>HLOOKUP(X$2,LCI!$AS$1:$BW$40,$A25,FALSE)/ABS(X$4)</f>
        <v>#VALUE!</v>
      </c>
      <c r="Y25" s="897">
        <f>HLOOKUP(Y$2,LCI!$AS$1:$BW$40,$A25,FALSE)/ABS(Y$4)</f>
        <v>0</v>
      </c>
      <c r="Z25" s="897">
        <f>HLOOKUP(Z$2,LCI!$AS$1:$BW$40,$A25,FALSE)/ABS(Z$4)</f>
        <v>0</v>
      </c>
      <c r="AA25" s="897">
        <f>HLOOKUP(AA$2,LCI!$AS$1:$BW$40,$A25,FALSE)/ABS(AA$4)</f>
        <v>0</v>
      </c>
      <c r="AB25" s="897" t="e">
        <f>HLOOKUP(AB$2,LCI!$AS$1:$BW$40,$A25,FALSE)/ABS(AB$4)</f>
        <v>#VALUE!</v>
      </c>
      <c r="AC25" s="897">
        <f>HLOOKUP(AC$2,LCI!$AS$1:$BW$40,$A25,FALSE)/ABS(AC$4)</f>
        <v>0</v>
      </c>
      <c r="AD25" s="897">
        <f>HLOOKUP(AD$2,LCI!$AS$1:$BW$40,$A25,FALSE)/ABS(AD$4)</f>
        <v>0</v>
      </c>
      <c r="AE25" s="897">
        <f>HLOOKUP(AE$2,LCI!$AS$1:$BW$40,$A25,FALSE)/ABS(AE$4)</f>
        <v>0</v>
      </c>
      <c r="AF25" s="897">
        <f>HLOOKUP(AF$2,LCI!$AS$1:$BW$40,$A25,FALSE)/ABS(AF$4)</f>
        <v>0</v>
      </c>
      <c r="AG25" s="897">
        <f>HLOOKUP(AG$2,LCI!$AS$1:$BW$40,$A25,FALSE)/ABS(AG$4)</f>
        <v>0</v>
      </c>
      <c r="AH25" s="897">
        <f>HLOOKUP(AH$2,LCI!$AS$1:$BW$40,$A25,FALSE)/ABS(AH$4)</f>
        <v>0</v>
      </c>
    </row>
    <row r="26" spans="1:34">
      <c r="A26" s="894">
        <v>24</v>
      </c>
      <c r="B26" s="845"/>
      <c r="C26" s="899" t="s">
        <v>5552</v>
      </c>
      <c r="D26" s="387" t="s">
        <v>94</v>
      </c>
      <c r="E26" s="897">
        <f>HLOOKUP(E$2,LCI!$AS$1:$BW$40,$A26,FALSE)/ABS(E$4)</f>
        <v>0</v>
      </c>
      <c r="F26" s="897">
        <f>HLOOKUP(F$2,LCI!$AS$1:$BW$40,$A26,FALSE)/ABS(F$4)</f>
        <v>0</v>
      </c>
      <c r="G26" s="897">
        <f>HLOOKUP(G$2,LCI!$AS$1:$BW$40,$A26,FALSE)/ABS(G$4)</f>
        <v>0</v>
      </c>
      <c r="H26" s="897">
        <f>HLOOKUP(H$2,LCI!$AS$1:$BW$40,$A26,FALSE)/ABS(H$4)</f>
        <v>0</v>
      </c>
      <c r="I26" s="897">
        <f>HLOOKUP(I$2,LCI!$AS$1:$BW$40,$A26,FALSE)/ABS(I$4)</f>
        <v>0</v>
      </c>
      <c r="J26" s="897">
        <f>HLOOKUP(J$2,LCI!$AS$1:$BW$40,$A26,FALSE)/ABS(J$4)</f>
        <v>0</v>
      </c>
      <c r="K26" s="897">
        <f>HLOOKUP(K$2,LCI!$AS$1:$BW$40,$A26,FALSE)/ABS(K$4)</f>
        <v>0</v>
      </c>
      <c r="L26" s="897">
        <f>HLOOKUP(L$2,LCI!$AS$1:$BW$40,$A26,FALSE)/ABS(L$4)</f>
        <v>0</v>
      </c>
      <c r="M26" s="897">
        <f>HLOOKUP(M$2,LCI!$AS$1:$BW$40,$A26,FALSE)/ABS(M$4)</f>
        <v>0</v>
      </c>
      <c r="N26" s="897">
        <f>HLOOKUP(N$2,LCI!$AS$1:$BW$40,$A26,FALSE)/ABS(N$4)</f>
        <v>0</v>
      </c>
      <c r="O26" s="897">
        <f>HLOOKUP(O$2,LCI!$AS$1:$BW$40,$A26,FALSE)/ABS(O$4)</f>
        <v>0</v>
      </c>
      <c r="P26" s="897">
        <f>HLOOKUP(P$2,LCI!$AS$1:$BW$40,$A26,FALSE)/ABS(P$4)</f>
        <v>0</v>
      </c>
      <c r="Q26" s="897">
        <f>HLOOKUP(Q$2,LCI!$AS$1:$BW$40,$A26,FALSE)/ABS(Q$4)</f>
        <v>0</v>
      </c>
      <c r="R26" s="897">
        <f>HLOOKUP(R$2,LCI!$AS$1:$BW$40,$A26,FALSE)/ABS(R$4)</f>
        <v>0</v>
      </c>
      <c r="S26" s="897">
        <f>HLOOKUP(S$2,LCI!$AS$1:$BW$40,$A26,FALSE)/ABS(S$4)</f>
        <v>1</v>
      </c>
      <c r="T26" s="897">
        <f>HLOOKUP(T$2,LCI!$AS$1:$BW$40,$A26,FALSE)/ABS(T$4)</f>
        <v>1</v>
      </c>
      <c r="U26" s="897">
        <f>HLOOKUP(U$2,LCI!$AS$1:$BW$40,$A26,FALSE)/ABS(U$4)</f>
        <v>1</v>
      </c>
      <c r="V26" s="897">
        <f>HLOOKUP(V$2,LCI!$AS$1:$BW$40,$A26,FALSE)/ABS(V$4)</f>
        <v>1</v>
      </c>
      <c r="W26" s="897">
        <f>HLOOKUP(W$2,LCI!$AS$1:$BW$40,$A26,FALSE)/ABS(W$4)</f>
        <v>0</v>
      </c>
      <c r="X26" s="897">
        <f>HLOOKUP(X$2,LCI!$AS$1:$BW$40,$A26,FALSE)/ABS(X$4)</f>
        <v>1</v>
      </c>
      <c r="Y26" s="897">
        <f>HLOOKUP(Y$2,LCI!$AS$1:$BW$40,$A26,FALSE)/ABS(Y$4)</f>
        <v>0</v>
      </c>
      <c r="Z26" s="897">
        <f>HLOOKUP(Z$2,LCI!$AS$1:$BW$40,$A26,FALSE)/ABS(Z$4)</f>
        <v>0</v>
      </c>
      <c r="AA26" s="897">
        <f>HLOOKUP(AA$2,LCI!$AS$1:$BW$40,$A26,FALSE)/ABS(AA$4)</f>
        <v>0</v>
      </c>
      <c r="AB26" s="897">
        <f>HLOOKUP(AB$2,LCI!$AS$1:$BW$40,$A26,FALSE)/ABS(AB$4)</f>
        <v>1</v>
      </c>
      <c r="AC26" s="897">
        <f>HLOOKUP(AC$2,LCI!$AS$1:$BW$40,$A26,FALSE)/ABS(AC$4)</f>
        <v>0</v>
      </c>
      <c r="AD26" s="897">
        <f>HLOOKUP(AD$2,LCI!$AS$1:$BW$40,$A26,FALSE)/ABS(AD$4)</f>
        <v>0</v>
      </c>
      <c r="AE26" s="897">
        <f>HLOOKUP(AE$2,LCI!$AS$1:$BW$40,$A26,FALSE)/ABS(AE$4)</f>
        <v>0</v>
      </c>
      <c r="AF26" s="897">
        <f>HLOOKUP(AF$2,LCI!$AS$1:$BW$40,$A26,FALSE)/ABS(AF$4)</f>
        <v>0.36042377185980701</v>
      </c>
      <c r="AG26" s="897">
        <f>HLOOKUP(AG$2,LCI!$AS$1:$BW$40,$A26,FALSE)/ABS(AG$4)</f>
        <v>1</v>
      </c>
      <c r="AH26" s="897">
        <f>HLOOKUP(AH$2,LCI!$AS$1:$BW$40,$A26,FALSE)/ABS(AH$4)</f>
        <v>0</v>
      </c>
    </row>
    <row r="27" spans="1:34">
      <c r="A27" s="894">
        <v>25</v>
      </c>
      <c r="B27" s="845"/>
      <c r="C27" s="899" t="s">
        <v>515</v>
      </c>
      <c r="D27" s="387" t="s">
        <v>94</v>
      </c>
      <c r="E27" s="897">
        <f>HLOOKUP(E$2,LCI!$AS$1:$BW$40,$A27,FALSE)/ABS(E$4)</f>
        <v>0</v>
      </c>
      <c r="F27" s="897">
        <f>HLOOKUP(F$2,LCI!$AS$1:$BW$40,$A27,FALSE)/ABS(F$4)</f>
        <v>0</v>
      </c>
      <c r="G27" s="897">
        <f>HLOOKUP(G$2,LCI!$AS$1:$BW$40,$A27,FALSE)/ABS(G$4)</f>
        <v>0</v>
      </c>
      <c r="H27" s="897">
        <f>HLOOKUP(H$2,LCI!$AS$1:$BW$40,$A27,FALSE)/ABS(H$4)</f>
        <v>0</v>
      </c>
      <c r="I27" s="897">
        <f>HLOOKUP(I$2,LCI!$AS$1:$BW$40,$A27,FALSE)/ABS(I$4)</f>
        <v>0</v>
      </c>
      <c r="J27" s="897">
        <f>HLOOKUP(J$2,LCI!$AS$1:$BW$40,$A27,FALSE)/ABS(J$4)</f>
        <v>0</v>
      </c>
      <c r="K27" s="897">
        <f>HLOOKUP(K$2,LCI!$AS$1:$BW$40,$A27,FALSE)/ABS(K$4)</f>
        <v>0</v>
      </c>
      <c r="L27" s="897">
        <f>HLOOKUP(L$2,LCI!$AS$1:$BW$40,$A27,FALSE)/ABS(L$4)</f>
        <v>0</v>
      </c>
      <c r="M27" s="897">
        <f>HLOOKUP(M$2,LCI!$AS$1:$BW$40,$A27,FALSE)/ABS(M$4)</f>
        <v>0</v>
      </c>
      <c r="N27" s="897">
        <f>HLOOKUP(N$2,LCI!$AS$1:$BW$40,$A27,FALSE)/ABS(N$4)</f>
        <v>0</v>
      </c>
      <c r="O27" s="897">
        <f>HLOOKUP(O$2,LCI!$AS$1:$BW$40,$A27,FALSE)/ABS(O$4)</f>
        <v>0</v>
      </c>
      <c r="P27" s="897">
        <f>HLOOKUP(P$2,LCI!$AS$1:$BW$40,$A27,FALSE)/ABS(P$4)</f>
        <v>0</v>
      </c>
      <c r="Q27" s="897">
        <f>HLOOKUP(Q$2,LCI!$AS$1:$BW$40,$A27,FALSE)/ABS(Q$4)</f>
        <v>0</v>
      </c>
      <c r="R27" s="897">
        <f>HLOOKUP(R$2,LCI!$AS$1:$BW$40,$A27,FALSE)/ABS(R$4)</f>
        <v>0</v>
      </c>
      <c r="S27" s="897">
        <f>HLOOKUP(S$2,LCI!$AS$1:$BW$40,$A27,FALSE)/ABS(S$4)</f>
        <v>-1</v>
      </c>
      <c r="T27" s="897">
        <f>HLOOKUP(T$2,LCI!$AS$1:$BW$40,$A27,FALSE)/ABS(T$4)</f>
        <v>0</v>
      </c>
      <c r="U27" s="897">
        <f>HLOOKUP(U$2,LCI!$AS$1:$BW$40,$A27,FALSE)/ABS(U$4)</f>
        <v>-1</v>
      </c>
      <c r="V27" s="897">
        <f>HLOOKUP(V$2,LCI!$AS$1:$BW$40,$A27,FALSE)/ABS(V$4)</f>
        <v>0</v>
      </c>
      <c r="W27" s="897">
        <f>HLOOKUP(W$2,LCI!$AS$1:$BW$40,$A27,FALSE)/ABS(W$4)</f>
        <v>0</v>
      </c>
      <c r="X27" s="897">
        <f>HLOOKUP(X$2,LCI!$AS$1:$BW$40,$A27,FALSE)/ABS(X$4)</f>
        <v>0</v>
      </c>
      <c r="Y27" s="897">
        <f>HLOOKUP(Y$2,LCI!$AS$1:$BW$40,$A27,FALSE)/ABS(Y$4)</f>
        <v>0</v>
      </c>
      <c r="Z27" s="897">
        <f>HLOOKUP(Z$2,LCI!$AS$1:$BW$40,$A27,FALSE)/ABS(Z$4)</f>
        <v>0</v>
      </c>
      <c r="AA27" s="897">
        <f>HLOOKUP(AA$2,LCI!$AS$1:$BW$40,$A27,FALSE)/ABS(AA$4)</f>
        <v>0</v>
      </c>
      <c r="AB27" s="897">
        <f>HLOOKUP(AB$2,LCI!$AS$1:$BW$40,$A27,FALSE)/ABS(AB$4)</f>
        <v>0</v>
      </c>
      <c r="AC27" s="897">
        <f>HLOOKUP(AC$2,LCI!$AS$1:$BW$40,$A27,FALSE)/ABS(AC$4)</f>
        <v>0</v>
      </c>
      <c r="AD27" s="897">
        <f>HLOOKUP(AD$2,LCI!$AS$1:$BW$40,$A27,FALSE)/ABS(AD$4)</f>
        <v>0</v>
      </c>
      <c r="AE27" s="897">
        <f>HLOOKUP(AE$2,LCI!$AS$1:$BW$40,$A27,FALSE)/ABS(AE$4)</f>
        <v>1</v>
      </c>
      <c r="AF27" s="897">
        <f>HLOOKUP(AF$2,LCI!$AS$1:$BW$40,$A27,FALSE)/ABS(AF$4)</f>
        <v>1</v>
      </c>
      <c r="AG27" s="897">
        <f>HLOOKUP(AG$2,LCI!$AS$1:$BW$40,$A27,FALSE)/ABS(AG$4)</f>
        <v>-1</v>
      </c>
      <c r="AH27" s="897" t="e">
        <f>HLOOKUP(AH$2,LCI!$AS$1:$BW$40,$A27,FALSE)/ABS(AH$4)</f>
        <v>#VALUE!</v>
      </c>
    </row>
    <row r="28" spans="1:34" ht="28.8">
      <c r="A28" s="894">
        <v>26</v>
      </c>
      <c r="B28" s="845"/>
      <c r="C28" s="899" t="s">
        <v>516</v>
      </c>
      <c r="D28" s="387" t="s">
        <v>94</v>
      </c>
      <c r="E28" s="897">
        <f>HLOOKUP(E$2,LCI!$AS$1:$BW$40,$A28,FALSE)/ABS(E$4)</f>
        <v>0</v>
      </c>
      <c r="F28" s="897">
        <f>HLOOKUP(F$2,LCI!$AS$1:$BW$40,$A28,FALSE)/ABS(F$4)</f>
        <v>0</v>
      </c>
      <c r="G28" s="897">
        <f>HLOOKUP(G$2,LCI!$AS$1:$BW$40,$A28,FALSE)/ABS(G$4)</f>
        <v>0</v>
      </c>
      <c r="H28" s="897">
        <f>HLOOKUP(H$2,LCI!$AS$1:$BW$40,$A28,FALSE)/ABS(H$4)</f>
        <v>0</v>
      </c>
      <c r="I28" s="897">
        <f>HLOOKUP(I$2,LCI!$AS$1:$BW$40,$A28,FALSE)/ABS(I$4)</f>
        <v>0</v>
      </c>
      <c r="J28" s="897">
        <f>HLOOKUP(J$2,LCI!$AS$1:$BW$40,$A28,FALSE)/ABS(J$4)</f>
        <v>0</v>
      </c>
      <c r="K28" s="897">
        <f>HLOOKUP(K$2,LCI!$AS$1:$BW$40,$A28,FALSE)/ABS(K$4)</f>
        <v>0</v>
      </c>
      <c r="L28" s="897">
        <f>HLOOKUP(L$2,LCI!$AS$1:$BW$40,$A28,FALSE)/ABS(L$4)</f>
        <v>0</v>
      </c>
      <c r="M28" s="897">
        <f>HLOOKUP(M$2,LCI!$AS$1:$BW$40,$A28,FALSE)/ABS(M$4)</f>
        <v>0</v>
      </c>
      <c r="N28" s="897">
        <f>HLOOKUP(N$2,LCI!$AS$1:$BW$40,$A28,FALSE)/ABS(N$4)</f>
        <v>0</v>
      </c>
      <c r="O28" s="897">
        <f>HLOOKUP(O$2,LCI!$AS$1:$BW$40,$A28,FALSE)/ABS(O$4)</f>
        <v>0</v>
      </c>
      <c r="P28" s="897">
        <f>HLOOKUP(P$2,LCI!$AS$1:$BW$40,$A28,FALSE)/ABS(P$4)</f>
        <v>0</v>
      </c>
      <c r="Q28" s="897">
        <f>HLOOKUP(Q$2,LCI!$AS$1:$BW$40,$A28,FALSE)/ABS(Q$4)</f>
        <v>0</v>
      </c>
      <c r="R28" s="897">
        <f>HLOOKUP(R$2,LCI!$AS$1:$BW$40,$A28,FALSE)/ABS(R$4)</f>
        <v>0</v>
      </c>
      <c r="S28" s="897">
        <f>HLOOKUP(S$2,LCI!$AS$1:$BW$40,$A28,FALSE)/ABS(S$4)</f>
        <v>0</v>
      </c>
      <c r="T28" s="897">
        <f>HLOOKUP(T$2,LCI!$AS$1:$BW$40,$A28,FALSE)/ABS(T$4)</f>
        <v>0</v>
      </c>
      <c r="U28" s="897">
        <f>HLOOKUP(U$2,LCI!$AS$1:$BW$40,$A28,FALSE)/ABS(U$4)</f>
        <v>0</v>
      </c>
      <c r="V28" s="897">
        <f>HLOOKUP(V$2,LCI!$AS$1:$BW$40,$A28,FALSE)/ABS(V$4)</f>
        <v>0</v>
      </c>
      <c r="W28" s="897">
        <f>HLOOKUP(W$2,LCI!$AS$1:$BW$40,$A28,FALSE)/ABS(W$4)</f>
        <v>0</v>
      </c>
      <c r="X28" s="897">
        <f>HLOOKUP(X$2,LCI!$AS$1:$BW$40,$A28,FALSE)/ABS(X$4)</f>
        <v>0</v>
      </c>
      <c r="Y28" s="897">
        <f>HLOOKUP(Y$2,LCI!$AS$1:$BW$40,$A28,FALSE)/ABS(Y$4)</f>
        <v>0</v>
      </c>
      <c r="Z28" s="897">
        <f>HLOOKUP(Z$2,LCI!$AS$1:$BW$40,$A28,FALSE)/ABS(Z$4)</f>
        <v>0</v>
      </c>
      <c r="AA28" s="897">
        <f>HLOOKUP(AA$2,LCI!$AS$1:$BW$40,$A28,FALSE)/ABS(AA$4)</f>
        <v>0</v>
      </c>
      <c r="AB28" s="897">
        <f>HLOOKUP(AB$2,LCI!$AS$1:$BW$40,$A28,FALSE)/ABS(AB$4)</f>
        <v>0</v>
      </c>
      <c r="AC28" s="897">
        <f>HLOOKUP(AC$2,LCI!$AS$1:$BW$40,$A28,FALSE)/ABS(AC$4)</f>
        <v>0</v>
      </c>
      <c r="AD28" s="897">
        <f>HLOOKUP(AD$2,LCI!$AS$1:$BW$40,$A28,FALSE)/ABS(AD$4)</f>
        <v>0</v>
      </c>
      <c r="AE28" s="897">
        <f>HLOOKUP(AE$2,LCI!$AS$1:$BW$40,$A28,FALSE)/ABS(AE$4)</f>
        <v>-1</v>
      </c>
      <c r="AF28" s="897">
        <f>HLOOKUP(AF$2,LCI!$AS$1:$BW$40,$A28,FALSE)/ABS(AF$4)</f>
        <v>0</v>
      </c>
      <c r="AG28" s="897">
        <f>HLOOKUP(AG$2,LCI!$AS$1:$BW$40,$A28,FALSE)/ABS(AG$4)</f>
        <v>0</v>
      </c>
      <c r="AH28" s="897">
        <f>HLOOKUP(AH$2,LCI!$AS$1:$BW$40,$A28,FALSE)/ABS(AH$4)</f>
        <v>1</v>
      </c>
    </row>
    <row r="29" spans="1:34">
      <c r="A29" s="894">
        <v>27</v>
      </c>
      <c r="B29" s="845"/>
      <c r="C29" s="899" t="s">
        <v>514</v>
      </c>
      <c r="D29" s="387" t="s">
        <v>94</v>
      </c>
      <c r="E29" s="897">
        <f>HLOOKUP(E$2,LCI!$AS$1:$BW$40,$A29,FALSE)/ABS(E$4)</f>
        <v>0</v>
      </c>
      <c r="F29" s="897">
        <f>HLOOKUP(F$2,LCI!$AS$1:$BW$40,$A29,FALSE)/ABS(F$4)</f>
        <v>0</v>
      </c>
      <c r="G29" s="897">
        <f>HLOOKUP(G$2,LCI!$AS$1:$BW$40,$A29,FALSE)/ABS(G$4)</f>
        <v>0</v>
      </c>
      <c r="H29" s="897">
        <f>HLOOKUP(H$2,LCI!$AS$1:$BW$40,$A29,FALSE)/ABS(H$4)</f>
        <v>0</v>
      </c>
      <c r="I29" s="897">
        <f>HLOOKUP(I$2,LCI!$AS$1:$BW$40,$A29,FALSE)/ABS(I$4)</f>
        <v>0</v>
      </c>
      <c r="J29" s="897">
        <f>HLOOKUP(J$2,LCI!$AS$1:$BW$40,$A29,FALSE)/ABS(J$4)</f>
        <v>0</v>
      </c>
      <c r="K29" s="897">
        <f>HLOOKUP(K$2,LCI!$AS$1:$BW$40,$A29,FALSE)/ABS(K$4)</f>
        <v>0</v>
      </c>
      <c r="L29" s="897">
        <f>HLOOKUP(L$2,LCI!$AS$1:$BW$40,$A29,FALSE)/ABS(L$4)</f>
        <v>0</v>
      </c>
      <c r="M29" s="897">
        <f>HLOOKUP(M$2,LCI!$AS$1:$BW$40,$A29,FALSE)/ABS(M$4)</f>
        <v>0</v>
      </c>
      <c r="N29" s="897">
        <f>HLOOKUP(N$2,LCI!$AS$1:$BW$40,$A29,FALSE)/ABS(N$4)</f>
        <v>0</v>
      </c>
      <c r="O29" s="897">
        <f>HLOOKUP(O$2,LCI!$AS$1:$BW$40,$A29,FALSE)/ABS(O$4)</f>
        <v>0</v>
      </c>
      <c r="P29" s="897">
        <f>HLOOKUP(P$2,LCI!$AS$1:$BW$40,$A29,FALSE)/ABS(P$4)</f>
        <v>0</v>
      </c>
      <c r="Q29" s="897">
        <f>HLOOKUP(Q$2,LCI!$AS$1:$BW$40,$A29,FALSE)/ABS(Q$4)</f>
        <v>0</v>
      </c>
      <c r="R29" s="897">
        <f>HLOOKUP(R$2,LCI!$AS$1:$BW$40,$A29,FALSE)/ABS(R$4)</f>
        <v>0</v>
      </c>
      <c r="S29" s="897">
        <f>HLOOKUP(S$2,LCI!$AS$1:$BW$40,$A29,FALSE)/ABS(S$4)</f>
        <v>0</v>
      </c>
      <c r="T29" s="897">
        <f>HLOOKUP(T$2,LCI!$AS$1:$BW$40,$A29,FALSE)/ABS(T$4)</f>
        <v>0</v>
      </c>
      <c r="U29" s="897">
        <f>HLOOKUP(U$2,LCI!$AS$1:$BW$40,$A29,FALSE)/ABS(U$4)</f>
        <v>0</v>
      </c>
      <c r="V29" s="897">
        <f>HLOOKUP(V$2,LCI!$AS$1:$BW$40,$A29,FALSE)/ABS(V$4)</f>
        <v>0</v>
      </c>
      <c r="W29" s="897">
        <f>HLOOKUP(W$2,LCI!$AS$1:$BW$40,$A29,FALSE)/ABS(W$4)</f>
        <v>0</v>
      </c>
      <c r="X29" s="897">
        <f>HLOOKUP(X$2,LCI!$AS$1:$BW$40,$A29,FALSE)/ABS(X$4)</f>
        <v>0</v>
      </c>
      <c r="Y29" s="897">
        <f>HLOOKUP(Y$2,LCI!$AS$1:$BW$40,$A29,FALSE)/ABS(Y$4)</f>
        <v>0</v>
      </c>
      <c r="Z29" s="897">
        <f>HLOOKUP(Z$2,LCI!$AS$1:$BW$40,$A29,FALSE)/ABS(Z$4)</f>
        <v>0</v>
      </c>
      <c r="AA29" s="897">
        <f>HLOOKUP(AA$2,LCI!$AS$1:$BW$40,$A29,FALSE)/ABS(AA$4)</f>
        <v>0</v>
      </c>
      <c r="AB29" s="897">
        <f>HLOOKUP(AB$2,LCI!$AS$1:$BW$40,$A29,FALSE)/ABS(AB$4)</f>
        <v>0</v>
      </c>
      <c r="AC29" s="897">
        <f>HLOOKUP(AC$2,LCI!$AS$1:$BW$40,$A29,FALSE)/ABS(AC$4)</f>
        <v>0</v>
      </c>
      <c r="AD29" s="897">
        <f>HLOOKUP(AD$2,LCI!$AS$1:$BW$40,$A29,FALSE)/ABS(AD$4)</f>
        <v>0</v>
      </c>
      <c r="AE29" s="897">
        <f>HLOOKUP(AE$2,LCI!$AS$1:$BW$40,$A29,FALSE)/ABS(AE$4)</f>
        <v>0</v>
      </c>
      <c r="AF29" s="897">
        <f>HLOOKUP(AF$2,LCI!$AS$1:$BW$40,$A29,FALSE)/ABS(AF$4)</f>
        <v>0</v>
      </c>
      <c r="AG29" s="897">
        <f>HLOOKUP(AG$2,LCI!$AS$1:$BW$40,$A29,FALSE)/ABS(AG$4)</f>
        <v>0</v>
      </c>
      <c r="AH29" s="897">
        <f>HLOOKUP(AH$2,LCI!$AS$1:$BW$40,$A29,FALSE)/ABS(AH$4)</f>
        <v>0</v>
      </c>
    </row>
    <row r="30" spans="1:34">
      <c r="A30" s="894">
        <v>28</v>
      </c>
      <c r="B30" s="845"/>
      <c r="C30" s="901" t="s">
        <v>117</v>
      </c>
      <c r="D30" s="387" t="s">
        <v>94</v>
      </c>
      <c r="E30" s="897">
        <f>HLOOKUP(E$2,LCI!$AS$1:$BW$40,$A30,FALSE)/ABS(E$4)</f>
        <v>0</v>
      </c>
      <c r="F30" s="897">
        <f>HLOOKUP(F$2,LCI!$AS$1:$BW$40,$A30,FALSE)/ABS(F$4)</f>
        <v>0</v>
      </c>
      <c r="G30" s="897">
        <f>HLOOKUP(G$2,LCI!$AS$1:$BW$40,$A30,FALSE)/ABS(G$4)</f>
        <v>0</v>
      </c>
      <c r="H30" s="897">
        <f>HLOOKUP(H$2,LCI!$AS$1:$BW$40,$A30,FALSE)/ABS(H$4)</f>
        <v>0</v>
      </c>
      <c r="I30" s="897">
        <f>HLOOKUP(I$2,LCI!$AS$1:$BW$40,$A30,FALSE)/ABS(I$4)</f>
        <v>-0.29197758388903172</v>
      </c>
      <c r="J30" s="897">
        <f>HLOOKUP(J$2,LCI!$AS$1:$BW$40,$A30,FALSE)/ABS(J$4)</f>
        <v>0.48099999999999998</v>
      </c>
      <c r="K30" s="897">
        <f>HLOOKUP(K$2,LCI!$AS$1:$BW$40,$A30,FALSE)/ABS(K$4)</f>
        <v>0</v>
      </c>
      <c r="L30" s="897">
        <f>HLOOKUP(L$2,LCI!$AS$1:$BW$40,$A30,FALSE)/ABS(L$4)</f>
        <v>0</v>
      </c>
      <c r="M30" s="897">
        <f>HLOOKUP(M$2,LCI!$AS$1:$BW$40,$A30,FALSE)/ABS(M$4)</f>
        <v>0</v>
      </c>
      <c r="N30" s="897">
        <f>HLOOKUP(N$2,LCI!$AS$1:$BW$40,$A30,FALSE)/ABS(N$4)</f>
        <v>0</v>
      </c>
      <c r="O30" s="897">
        <f>HLOOKUP(O$2,LCI!$AS$1:$BW$40,$A30,FALSE)/ABS(O$4)</f>
        <v>0</v>
      </c>
      <c r="P30" s="897">
        <f>HLOOKUP(P$2,LCI!$AS$1:$BW$40,$A30,FALSE)/ABS(P$4)</f>
        <v>0</v>
      </c>
      <c r="Q30" s="897">
        <f>HLOOKUP(Q$2,LCI!$AS$1:$BW$40,$A30,FALSE)/ABS(Q$4)</f>
        <v>0</v>
      </c>
      <c r="R30" s="897">
        <f>HLOOKUP(R$2,LCI!$AS$1:$BW$40,$A30,FALSE)/ABS(R$4)</f>
        <v>0</v>
      </c>
      <c r="S30" s="897">
        <f>HLOOKUP(S$2,LCI!$AS$1:$BW$40,$A30,FALSE)/ABS(S$4)</f>
        <v>0</v>
      </c>
      <c r="T30" s="897">
        <f>HLOOKUP(T$2,LCI!$AS$1:$BW$40,$A30,FALSE)/ABS(T$4)</f>
        <v>0</v>
      </c>
      <c r="U30" s="897">
        <f>HLOOKUP(U$2,LCI!$AS$1:$BW$40,$A30,FALSE)/ABS(U$4)</f>
        <v>0</v>
      </c>
      <c r="V30" s="897">
        <f>HLOOKUP(V$2,LCI!$AS$1:$BW$40,$A30,FALSE)/ABS(V$4)</f>
        <v>0</v>
      </c>
      <c r="W30" s="897">
        <f>HLOOKUP(W$2,LCI!$AS$1:$BW$40,$A30,FALSE)/ABS(W$4)</f>
        <v>0</v>
      </c>
      <c r="X30" s="897">
        <f>HLOOKUP(X$2,LCI!$AS$1:$BW$40,$A30,FALSE)/ABS(X$4)</f>
        <v>0</v>
      </c>
      <c r="Y30" s="897">
        <f>HLOOKUP(Y$2,LCI!$AS$1:$BW$40,$A30,FALSE)/ABS(Y$4)</f>
        <v>0</v>
      </c>
      <c r="Z30" s="897">
        <f>HLOOKUP(Z$2,LCI!$AS$1:$BW$40,$A30,FALSE)/ABS(Z$4)</f>
        <v>0</v>
      </c>
      <c r="AA30" s="897">
        <f>HLOOKUP(AA$2,LCI!$AS$1:$BW$40,$A30,FALSE)/ABS(AA$4)</f>
        <v>0</v>
      </c>
      <c r="AB30" s="897">
        <f>HLOOKUP(AB$2,LCI!$AS$1:$BW$40,$A30,FALSE)/ABS(AB$4)</f>
        <v>0</v>
      </c>
      <c r="AC30" s="897">
        <f>HLOOKUP(AC$2,LCI!$AS$1:$BW$40,$A30,FALSE)/ABS(AC$4)</f>
        <v>0</v>
      </c>
      <c r="AD30" s="897">
        <f>HLOOKUP(AD$2,LCI!$AS$1:$BW$40,$A30,FALSE)/ABS(AD$4)</f>
        <v>0</v>
      </c>
      <c r="AE30" s="897">
        <f>HLOOKUP(AE$2,LCI!$AS$1:$BW$40,$A30,FALSE)/ABS(AE$4)</f>
        <v>0</v>
      </c>
      <c r="AF30" s="897">
        <f>HLOOKUP(AF$2,LCI!$AS$1:$BW$40,$A30,FALSE)/ABS(AF$4)</f>
        <v>0</v>
      </c>
      <c r="AG30" s="897">
        <f>HLOOKUP(AG$2,LCI!$AS$1:$BW$40,$A30,FALSE)/ABS(AG$4)</f>
        <v>0</v>
      </c>
      <c r="AH30" s="897">
        <f>HLOOKUP(AH$2,LCI!$AS$1:$BW$40,$A30,FALSE)/ABS(AH$4)</f>
        <v>0</v>
      </c>
    </row>
    <row r="31" spans="1:34">
      <c r="A31" s="894">
        <v>29</v>
      </c>
      <c r="B31" s="845"/>
      <c r="C31" s="901" t="s">
        <v>3</v>
      </c>
      <c r="D31" s="387" t="s">
        <v>94</v>
      </c>
      <c r="E31" s="897">
        <f>HLOOKUP(E$2,LCI!$AS$1:$BW$40,$A31,FALSE)/ABS(E$4)</f>
        <v>0</v>
      </c>
      <c r="F31" s="897">
        <f>HLOOKUP(F$2,LCI!$AS$1:$BW$40,$A31,FALSE)/ABS(F$4)</f>
        <v>0</v>
      </c>
      <c r="G31" s="897">
        <f>HLOOKUP(G$2,LCI!$AS$1:$BW$40,$A31,FALSE)/ABS(G$4)</f>
        <v>0</v>
      </c>
      <c r="H31" s="897">
        <f>HLOOKUP(H$2,LCI!$AS$1:$BW$40,$A31,FALSE)/ABS(H$4)</f>
        <v>0</v>
      </c>
      <c r="I31" s="897">
        <f>HLOOKUP(I$2,LCI!$AS$1:$BW$40,$A31,FALSE)/ABS(I$4)</f>
        <v>0</v>
      </c>
      <c r="J31" s="897">
        <f>HLOOKUP(J$2,LCI!$AS$1:$BW$40,$A31,FALSE)/ABS(J$4)</f>
        <v>0</v>
      </c>
      <c r="K31" s="897">
        <f>HLOOKUP(K$2,LCI!$AS$1:$BW$40,$A31,FALSE)/ABS(K$4)</f>
        <v>0</v>
      </c>
      <c r="L31" s="897">
        <f>HLOOKUP(L$2,LCI!$AS$1:$BW$40,$A31,FALSE)/ABS(L$4)</f>
        <v>0</v>
      </c>
      <c r="M31" s="897">
        <f>HLOOKUP(M$2,LCI!$AS$1:$BW$40,$A31,FALSE)/ABS(M$4)</f>
        <v>-1.4965000000000002</v>
      </c>
      <c r="N31" s="897">
        <f>HLOOKUP(N$2,LCI!$AS$1:$BW$40,$A31,FALSE)/ABS(N$4)</f>
        <v>1.4964999999999999</v>
      </c>
      <c r="O31" s="897">
        <f>HLOOKUP(O$2,LCI!$AS$1:$BW$40,$A31,FALSE)/ABS(O$4)</f>
        <v>-1.4964999999999999</v>
      </c>
      <c r="P31" s="897">
        <f>HLOOKUP(P$2,LCI!$AS$1:$BW$40,$A31,FALSE)/ABS(P$4)</f>
        <v>1.4964999999999999</v>
      </c>
      <c r="Q31" s="897">
        <f>HLOOKUP(Q$2,LCI!$AS$1:$BW$40,$A31,FALSE)/ABS(Q$4)</f>
        <v>0</v>
      </c>
      <c r="R31" s="897">
        <f>HLOOKUP(R$2,LCI!$AS$1:$BW$40,$A31,FALSE)/ABS(R$4)</f>
        <v>0</v>
      </c>
      <c r="S31" s="897">
        <f>HLOOKUP(S$2,LCI!$AS$1:$BW$40,$A31,FALSE)/ABS(S$4)</f>
        <v>0</v>
      </c>
      <c r="T31" s="897">
        <f>HLOOKUP(T$2,LCI!$AS$1:$BW$40,$A31,FALSE)/ABS(T$4)</f>
        <v>0</v>
      </c>
      <c r="U31" s="897">
        <f>HLOOKUP(U$2,LCI!$AS$1:$BW$40,$A31,FALSE)/ABS(U$4)</f>
        <v>0</v>
      </c>
      <c r="V31" s="897">
        <f>HLOOKUP(V$2,LCI!$AS$1:$BW$40,$A31,FALSE)/ABS(V$4)</f>
        <v>0</v>
      </c>
      <c r="W31" s="897">
        <f>HLOOKUP(W$2,LCI!$AS$1:$BW$40,$A31,FALSE)/ABS(W$4)</f>
        <v>0</v>
      </c>
      <c r="X31" s="897">
        <f>HLOOKUP(X$2,LCI!$AS$1:$BW$40,$A31,FALSE)/ABS(X$4)</f>
        <v>0</v>
      </c>
      <c r="Y31" s="897">
        <f>HLOOKUP(Y$2,LCI!$AS$1:$BW$40,$A31,FALSE)/ABS(Y$4)</f>
        <v>0</v>
      </c>
      <c r="Z31" s="897">
        <f>HLOOKUP(Z$2,LCI!$AS$1:$BW$40,$A31,FALSE)/ABS(Z$4)</f>
        <v>0</v>
      </c>
      <c r="AA31" s="897">
        <f>HLOOKUP(AA$2,LCI!$AS$1:$BW$40,$A31,FALSE)/ABS(AA$4)</f>
        <v>0</v>
      </c>
      <c r="AB31" s="897">
        <f>HLOOKUP(AB$2,LCI!$AS$1:$BW$40,$A31,FALSE)/ABS(AB$4)</f>
        <v>0</v>
      </c>
      <c r="AC31" s="897">
        <f>HLOOKUP(AC$2,LCI!$AS$1:$BW$40,$A31,FALSE)/ABS(AC$4)</f>
        <v>0</v>
      </c>
      <c r="AD31" s="897">
        <f>HLOOKUP(AD$2,LCI!$AS$1:$BW$40,$A31,FALSE)/ABS(AD$4)</f>
        <v>0</v>
      </c>
      <c r="AE31" s="897">
        <f>HLOOKUP(AE$2,LCI!$AS$1:$BW$40,$A31,FALSE)/ABS(AE$4)</f>
        <v>0</v>
      </c>
      <c r="AF31" s="897">
        <f>HLOOKUP(AF$2,LCI!$AS$1:$BW$40,$A31,FALSE)/ABS(AF$4)</f>
        <v>0</v>
      </c>
      <c r="AG31" s="897">
        <f>HLOOKUP(AG$2,LCI!$AS$1:$BW$40,$A31,FALSE)/ABS(AG$4)</f>
        <v>0</v>
      </c>
      <c r="AH31" s="897">
        <f>HLOOKUP(AH$2,LCI!$AS$1:$BW$40,$A31,FALSE)/ABS(AH$4)</f>
        <v>0</v>
      </c>
    </row>
    <row r="32" spans="1:34">
      <c r="A32" s="894">
        <v>30</v>
      </c>
      <c r="B32" s="845"/>
      <c r="C32" s="901" t="s">
        <v>4</v>
      </c>
      <c r="D32" s="865" t="s">
        <v>94</v>
      </c>
      <c r="E32" s="897">
        <f>HLOOKUP(E$2,LCI!$AS$1:$BW$40,$A32,FALSE)/ABS(E$4)</f>
        <v>0</v>
      </c>
      <c r="F32" s="897">
        <f>HLOOKUP(F$2,LCI!$AS$1:$BW$40,$A32,FALSE)/ABS(F$4)</f>
        <v>0</v>
      </c>
      <c r="G32" s="897">
        <f>HLOOKUP(G$2,LCI!$AS$1:$BW$40,$A32,FALSE)/ABS(G$4)</f>
        <v>0</v>
      </c>
      <c r="H32" s="897">
        <f>HLOOKUP(H$2,LCI!$AS$1:$BW$40,$A32,FALSE)/ABS(H$4)</f>
        <v>0</v>
      </c>
      <c r="I32" s="897">
        <f>HLOOKUP(I$2,LCI!$AS$1:$BW$40,$A32,FALSE)/ABS(I$4)</f>
        <v>0</v>
      </c>
      <c r="J32" s="897">
        <f>HLOOKUP(J$2,LCI!$AS$1:$BW$40,$A32,FALSE)/ABS(J$4)</f>
        <v>0</v>
      </c>
      <c r="K32" s="897">
        <f>HLOOKUP(K$2,LCI!$AS$1:$BW$40,$A32,FALSE)/ABS(K$4)</f>
        <v>0</v>
      </c>
      <c r="L32" s="897">
        <f>HLOOKUP(L$2,LCI!$AS$1:$BW$40,$A32,FALSE)/ABS(L$4)</f>
        <v>0</v>
      </c>
      <c r="M32" s="897">
        <f>HLOOKUP(M$2,LCI!$AS$1:$BW$40,$A32,FALSE)/ABS(M$4)</f>
        <v>-9.171E-2</v>
      </c>
      <c r="N32" s="897">
        <f>HLOOKUP(N$2,LCI!$AS$1:$BW$40,$A32,FALSE)/ABS(N$4)</f>
        <v>9.1707999999999998E-2</v>
      </c>
      <c r="O32" s="897">
        <f>HLOOKUP(O$2,LCI!$AS$1:$BW$40,$A32,FALSE)/ABS(O$4)</f>
        <v>-9.1709999999999986E-2</v>
      </c>
      <c r="P32" s="897">
        <f>HLOOKUP(P$2,LCI!$AS$1:$BW$40,$A32,FALSE)/ABS(P$4)</f>
        <v>9.1707999999999998E-2</v>
      </c>
      <c r="Q32" s="897">
        <f>HLOOKUP(Q$2,LCI!$AS$1:$BW$40,$A32,FALSE)/ABS(Q$4)</f>
        <v>0</v>
      </c>
      <c r="R32" s="897">
        <f>HLOOKUP(R$2,LCI!$AS$1:$BW$40,$A32,FALSE)/ABS(R$4)</f>
        <v>0</v>
      </c>
      <c r="S32" s="897">
        <f>HLOOKUP(S$2,LCI!$AS$1:$BW$40,$A32,FALSE)/ABS(S$4)</f>
        <v>0</v>
      </c>
      <c r="T32" s="897">
        <f>HLOOKUP(T$2,LCI!$AS$1:$BW$40,$A32,FALSE)/ABS(T$4)</f>
        <v>0</v>
      </c>
      <c r="U32" s="897">
        <f>HLOOKUP(U$2,LCI!$AS$1:$BW$40,$A32,FALSE)/ABS(U$4)</f>
        <v>0</v>
      </c>
      <c r="V32" s="897">
        <f>HLOOKUP(V$2,LCI!$AS$1:$BW$40,$A32,FALSE)/ABS(V$4)</f>
        <v>0</v>
      </c>
      <c r="W32" s="897">
        <f>HLOOKUP(W$2,LCI!$AS$1:$BW$40,$A32,FALSE)/ABS(W$4)</f>
        <v>0</v>
      </c>
      <c r="X32" s="897">
        <f>HLOOKUP(X$2,LCI!$AS$1:$BW$40,$A32,FALSE)/ABS(X$4)</f>
        <v>0</v>
      </c>
      <c r="Y32" s="897">
        <f>HLOOKUP(Y$2,LCI!$AS$1:$BW$40,$A32,FALSE)/ABS(Y$4)</f>
        <v>0</v>
      </c>
      <c r="Z32" s="897">
        <f>HLOOKUP(Z$2,LCI!$AS$1:$BW$40,$A32,FALSE)/ABS(Z$4)</f>
        <v>0</v>
      </c>
      <c r="AA32" s="897">
        <f>HLOOKUP(AA$2,LCI!$AS$1:$BW$40,$A32,FALSE)/ABS(AA$4)</f>
        <v>0</v>
      </c>
      <c r="AB32" s="897">
        <f>HLOOKUP(AB$2,LCI!$AS$1:$BW$40,$A32,FALSE)/ABS(AB$4)</f>
        <v>0</v>
      </c>
      <c r="AC32" s="897">
        <f>HLOOKUP(AC$2,LCI!$AS$1:$BW$40,$A32,FALSE)/ABS(AC$4)</f>
        <v>0</v>
      </c>
      <c r="AD32" s="897">
        <f>HLOOKUP(AD$2,LCI!$AS$1:$BW$40,$A32,FALSE)/ABS(AD$4)</f>
        <v>0</v>
      </c>
      <c r="AE32" s="897">
        <f>HLOOKUP(AE$2,LCI!$AS$1:$BW$40,$A32,FALSE)/ABS(AE$4)</f>
        <v>0</v>
      </c>
      <c r="AF32" s="897">
        <f>HLOOKUP(AF$2,LCI!$AS$1:$BW$40,$A32,FALSE)/ABS(AF$4)</f>
        <v>0</v>
      </c>
      <c r="AG32" s="897">
        <f>HLOOKUP(AG$2,LCI!$AS$1:$BW$40,$A32,FALSE)/ABS(AG$4)</f>
        <v>0</v>
      </c>
      <c r="AH32" s="897">
        <f>HLOOKUP(AH$2,LCI!$AS$1:$BW$40,$A32,FALSE)/ABS(AH$4)</f>
        <v>0</v>
      </c>
    </row>
    <row r="33" spans="1:34">
      <c r="A33" s="894">
        <v>31</v>
      </c>
      <c r="B33" s="845"/>
      <c r="C33" s="333" t="s">
        <v>5889</v>
      </c>
      <c r="D33" s="865" t="s">
        <v>94</v>
      </c>
      <c r="E33" s="897">
        <f>HLOOKUP(E$2,LCI!$AS$1:$BW$40,$A33,FALSE)/ABS(E$4)</f>
        <v>0</v>
      </c>
      <c r="F33" s="897">
        <f>HLOOKUP(F$2,LCI!$AS$1:$BW$40,$A33,FALSE)/ABS(F$4)</f>
        <v>0</v>
      </c>
      <c r="G33" s="897">
        <f>HLOOKUP(G$2,LCI!$AS$1:$BW$40,$A33,FALSE)/ABS(G$4)</f>
        <v>0</v>
      </c>
      <c r="H33" s="897">
        <f>HLOOKUP(H$2,LCI!$AS$1:$BW$40,$A33,FALSE)/ABS(H$4)</f>
        <v>0</v>
      </c>
      <c r="I33" s="897">
        <f>HLOOKUP(I$2,LCI!$AS$1:$BW$40,$A33,FALSE)/ABS(I$4)</f>
        <v>0</v>
      </c>
      <c r="J33" s="897">
        <f>HLOOKUP(J$2,LCI!$AS$1:$BW$40,$A33,FALSE)/ABS(J$4)</f>
        <v>0</v>
      </c>
      <c r="K33" s="897">
        <f>HLOOKUP(K$2,LCI!$AS$1:$BW$40,$A33,FALSE)/ABS(K$4)</f>
        <v>0</v>
      </c>
      <c r="L33" s="897">
        <f>HLOOKUP(L$2,LCI!$AS$1:$BW$40,$A33,FALSE)/ABS(L$4)</f>
        <v>0</v>
      </c>
      <c r="M33" s="897">
        <f>HLOOKUP(M$2,LCI!$AS$1:$BW$40,$A33,FALSE)/ABS(M$4)</f>
        <v>-1.1330123999999999</v>
      </c>
      <c r="N33" s="897">
        <f>HLOOKUP(N$2,LCI!$AS$1:$BW$40,$A33,FALSE)/ABS(N$4)</f>
        <v>0</v>
      </c>
      <c r="O33" s="897">
        <f>HLOOKUP(O$2,LCI!$AS$1:$BW$40,$A33,FALSE)/ABS(O$4)</f>
        <v>-0.42844300000000002</v>
      </c>
      <c r="P33" s="897">
        <f>HLOOKUP(P$2,LCI!$AS$1:$BW$40,$A33,FALSE)/ABS(P$4)</f>
        <v>0</v>
      </c>
      <c r="Q33" s="897">
        <f>HLOOKUP(Q$2,LCI!$AS$1:$BW$40,$A33,FALSE)/ABS(Q$4)</f>
        <v>0</v>
      </c>
      <c r="R33" s="897">
        <f>HLOOKUP(R$2,LCI!$AS$1:$BW$40,$A33,FALSE)/ABS(R$4)</f>
        <v>0</v>
      </c>
      <c r="S33" s="897">
        <f>HLOOKUP(S$2,LCI!$AS$1:$BW$40,$A33,FALSE)/ABS(S$4)</f>
        <v>0</v>
      </c>
      <c r="T33" s="897">
        <f>HLOOKUP(T$2,LCI!$AS$1:$BW$40,$A33,FALSE)/ABS(T$4)</f>
        <v>0</v>
      </c>
      <c r="U33" s="897">
        <f>HLOOKUP(U$2,LCI!$AS$1:$BW$40,$A33,FALSE)/ABS(U$4)</f>
        <v>0</v>
      </c>
      <c r="V33" s="897">
        <f>HLOOKUP(V$2,LCI!$AS$1:$BW$40,$A33,FALSE)/ABS(V$4)</f>
        <v>0</v>
      </c>
      <c r="W33" s="897">
        <f>HLOOKUP(W$2,LCI!$AS$1:$BW$40,$A33,FALSE)/ABS(W$4)</f>
        <v>0</v>
      </c>
      <c r="X33" s="897">
        <f>HLOOKUP(X$2,LCI!$AS$1:$BW$40,$A33,FALSE)/ABS(X$4)</f>
        <v>0</v>
      </c>
      <c r="Y33" s="897">
        <f>HLOOKUP(Y$2,LCI!$AS$1:$BW$40,$A33,FALSE)/ABS(Y$4)</f>
        <v>0</v>
      </c>
      <c r="Z33" s="897">
        <f>HLOOKUP(Z$2,LCI!$AS$1:$BW$40,$A33,FALSE)/ABS(Z$4)</f>
        <v>0</v>
      </c>
      <c r="AA33" s="897">
        <f>HLOOKUP(AA$2,LCI!$AS$1:$BW$40,$A33,FALSE)/ABS(AA$4)</f>
        <v>0</v>
      </c>
      <c r="AB33" s="897">
        <f>HLOOKUP(AB$2,LCI!$AS$1:$BW$40,$A33,FALSE)/ABS(AB$4)</f>
        <v>0</v>
      </c>
      <c r="AC33" s="897">
        <f>HLOOKUP(AC$2,LCI!$AS$1:$BW$40,$A33,FALSE)/ABS(AC$4)</f>
        <v>0</v>
      </c>
      <c r="AD33" s="897">
        <f>HLOOKUP(AD$2,LCI!$AS$1:$BW$40,$A33,FALSE)/ABS(AD$4)</f>
        <v>0</v>
      </c>
      <c r="AE33" s="897">
        <f>HLOOKUP(AE$2,LCI!$AS$1:$BW$40,$A33,FALSE)/ABS(AE$4)</f>
        <v>0</v>
      </c>
      <c r="AF33" s="897">
        <f>HLOOKUP(AF$2,LCI!$AS$1:$BW$40,$A33,FALSE)/ABS(AF$4)</f>
        <v>0</v>
      </c>
      <c r="AG33" s="897">
        <f>HLOOKUP(AG$2,LCI!$AS$1:$BW$40,$A33,FALSE)/ABS(AG$4)</f>
        <v>0</v>
      </c>
      <c r="AH33" s="897">
        <f>HLOOKUP(AH$2,LCI!$AS$1:$BW$40,$A33,FALSE)/ABS(AH$4)</f>
        <v>0</v>
      </c>
    </row>
    <row r="34" spans="1:34">
      <c r="A34" s="894">
        <v>32</v>
      </c>
      <c r="B34" s="845"/>
      <c r="C34" s="901" t="s">
        <v>483</v>
      </c>
      <c r="D34" s="865" t="s">
        <v>94</v>
      </c>
      <c r="E34" s="897">
        <f>HLOOKUP(E$2,LCI!$AS$1:$BW$40,$A34,FALSE)/ABS(E$4)</f>
        <v>0</v>
      </c>
      <c r="F34" s="897">
        <f>HLOOKUP(F$2,LCI!$AS$1:$BW$40,$A34,FALSE)/ABS(F$4)</f>
        <v>0</v>
      </c>
      <c r="G34" s="897">
        <f>HLOOKUP(G$2,LCI!$AS$1:$BW$40,$A34,FALSE)/ABS(G$4)</f>
        <v>0</v>
      </c>
      <c r="H34" s="897">
        <f>HLOOKUP(H$2,LCI!$AS$1:$BW$40,$A34,FALSE)/ABS(H$4)</f>
        <v>0</v>
      </c>
      <c r="I34" s="897">
        <f>HLOOKUP(I$2,LCI!$AS$1:$BW$40,$A34,FALSE)/ABS(I$4)</f>
        <v>7.0000000000000076E-2</v>
      </c>
      <c r="J34" s="897">
        <f>HLOOKUP(J$2,LCI!$AS$1:$BW$40,$A34,FALSE)/ABS(J$4)</f>
        <v>6.2E-2</v>
      </c>
      <c r="K34" s="897">
        <f>HLOOKUP(K$2,LCI!$AS$1:$BW$40,$A34,FALSE)/ABS(K$4)</f>
        <v>0</v>
      </c>
      <c r="L34" s="897">
        <f>HLOOKUP(L$2,LCI!$AS$1:$BW$40,$A34,FALSE)/ABS(L$4)</f>
        <v>0</v>
      </c>
      <c r="M34" s="897">
        <f>HLOOKUP(M$2,LCI!$AS$1:$BW$40,$A34,FALSE)/ABS(M$4)</f>
        <v>0</v>
      </c>
      <c r="N34" s="897">
        <f>HLOOKUP(N$2,LCI!$AS$1:$BW$40,$A34,FALSE)/ABS(N$4)</f>
        <v>0</v>
      </c>
      <c r="O34" s="897">
        <f>HLOOKUP(O$2,LCI!$AS$1:$BW$40,$A34,FALSE)/ABS(O$4)</f>
        <v>0</v>
      </c>
      <c r="P34" s="897">
        <f>HLOOKUP(P$2,LCI!$AS$1:$BW$40,$A34,FALSE)/ABS(P$4)</f>
        <v>0</v>
      </c>
      <c r="Q34" s="897">
        <f>HLOOKUP(Q$2,LCI!$AS$1:$BW$40,$A34,FALSE)/ABS(Q$4)</f>
        <v>0</v>
      </c>
      <c r="R34" s="897">
        <f>HLOOKUP(R$2,LCI!$AS$1:$BW$40,$A34,FALSE)/ABS(R$4)</f>
        <v>0</v>
      </c>
      <c r="S34" s="897">
        <f>HLOOKUP(S$2,LCI!$AS$1:$BW$40,$A34,FALSE)/ABS(S$4)</f>
        <v>0</v>
      </c>
      <c r="T34" s="897">
        <f>HLOOKUP(T$2,LCI!$AS$1:$BW$40,$A34,FALSE)/ABS(T$4)</f>
        <v>0</v>
      </c>
      <c r="U34" s="897">
        <f>HLOOKUP(U$2,LCI!$AS$1:$BW$40,$A34,FALSE)/ABS(U$4)</f>
        <v>0</v>
      </c>
      <c r="V34" s="897">
        <f>HLOOKUP(V$2,LCI!$AS$1:$BW$40,$A34,FALSE)/ABS(V$4)</f>
        <v>0</v>
      </c>
      <c r="W34" s="897">
        <f>HLOOKUP(W$2,LCI!$AS$1:$BW$40,$A34,FALSE)/ABS(W$4)</f>
        <v>0</v>
      </c>
      <c r="X34" s="897">
        <f>HLOOKUP(X$2,LCI!$AS$1:$BW$40,$A34,FALSE)/ABS(X$4)</f>
        <v>0</v>
      </c>
      <c r="Y34" s="897">
        <f>HLOOKUP(Y$2,LCI!$AS$1:$BW$40,$A34,FALSE)/ABS(Y$4)</f>
        <v>0</v>
      </c>
      <c r="Z34" s="897">
        <f>HLOOKUP(Z$2,LCI!$AS$1:$BW$40,$A34,FALSE)/ABS(Z$4)</f>
        <v>0</v>
      </c>
      <c r="AA34" s="897">
        <f>HLOOKUP(AA$2,LCI!$AS$1:$BW$40,$A34,FALSE)/ABS(AA$4)</f>
        <v>0</v>
      </c>
      <c r="AB34" s="897">
        <f>HLOOKUP(AB$2,LCI!$AS$1:$BW$40,$A34,FALSE)/ABS(AB$4)</f>
        <v>0</v>
      </c>
      <c r="AC34" s="897">
        <f>HLOOKUP(AC$2,LCI!$AS$1:$BW$40,$A34,FALSE)/ABS(AC$4)</f>
        <v>0</v>
      </c>
      <c r="AD34" s="897">
        <f>HLOOKUP(AD$2,LCI!$AS$1:$BW$40,$A34,FALSE)/ABS(AD$4)</f>
        <v>0</v>
      </c>
      <c r="AE34" s="897">
        <f>HLOOKUP(AE$2,LCI!$AS$1:$BW$40,$A34,FALSE)/ABS(AE$4)</f>
        <v>0</v>
      </c>
      <c r="AF34" s="897">
        <f>HLOOKUP(AF$2,LCI!$AS$1:$BW$40,$A34,FALSE)/ABS(AF$4)</f>
        <v>0</v>
      </c>
      <c r="AG34" s="897">
        <f>HLOOKUP(AG$2,LCI!$AS$1:$BW$40,$A34,FALSE)/ABS(AG$4)</f>
        <v>0</v>
      </c>
      <c r="AH34" s="897">
        <f>HLOOKUP(AH$2,LCI!$AS$1:$BW$40,$A34,FALSE)/ABS(AH$4)</f>
        <v>0</v>
      </c>
    </row>
    <row r="35" spans="1:34">
      <c r="A35" s="894">
        <v>33</v>
      </c>
      <c r="B35" s="845"/>
      <c r="C35" s="884" t="s">
        <v>87</v>
      </c>
      <c r="D35" s="387" t="s">
        <v>607</v>
      </c>
      <c r="E35" s="897">
        <f>HLOOKUP(E$2,LCI!$AS$1:$BW$40,$A35,FALSE)/ABS(E$4)</f>
        <v>0</v>
      </c>
      <c r="F35" s="897">
        <f>HLOOKUP(F$2,LCI!$AS$1:$BW$40,$A35,FALSE)/ABS(F$4)</f>
        <v>0</v>
      </c>
      <c r="G35" s="897">
        <f>HLOOKUP(G$2,LCI!$AS$1:$BW$40,$A35,FALSE)/ABS(G$4)</f>
        <v>0</v>
      </c>
      <c r="H35" s="897">
        <f>HLOOKUP(H$2,LCI!$AS$1:$BW$40,$A35,FALSE)/ABS(H$4)</f>
        <v>0</v>
      </c>
      <c r="I35" s="897">
        <f>HLOOKUP(I$2,LCI!$AS$1:$BW$40,$A35,FALSE)/ABS(I$4)</f>
        <v>0</v>
      </c>
      <c r="J35" s="897">
        <f>HLOOKUP(J$2,LCI!$AS$1:$BW$40,$A35,FALSE)/ABS(J$4)</f>
        <v>0</v>
      </c>
      <c r="K35" s="897">
        <f>HLOOKUP(K$2,LCI!$AS$1:$BW$40,$A35,FALSE)/ABS(K$4)</f>
        <v>0</v>
      </c>
      <c r="L35" s="897">
        <f>HLOOKUP(L$2,LCI!$AS$1:$BW$40,$A35,FALSE)/ABS(L$4)</f>
        <v>0</v>
      </c>
      <c r="M35" s="897">
        <f>HLOOKUP(M$2,LCI!$AS$1:$BW$40,$A35,FALSE)/ABS(M$4)</f>
        <v>0</v>
      </c>
      <c r="N35" s="897">
        <f>HLOOKUP(N$2,LCI!$AS$1:$BW$40,$A35,FALSE)/ABS(N$4)</f>
        <v>0.127</v>
      </c>
      <c r="O35" s="897">
        <f>HLOOKUP(O$2,LCI!$AS$1:$BW$40,$A35,FALSE)/ABS(O$4)</f>
        <v>0</v>
      </c>
      <c r="P35" s="897">
        <f>HLOOKUP(P$2,LCI!$AS$1:$BW$40,$A35,FALSE)/ABS(P$4)</f>
        <v>0.127</v>
      </c>
      <c r="Q35" s="897">
        <f>HLOOKUP(Q$2,LCI!$AS$1:$BW$40,$A35,FALSE)/ABS(Q$4)</f>
        <v>0</v>
      </c>
      <c r="R35" s="897">
        <f>HLOOKUP(R$2,LCI!$AS$1:$BW$40,$A35,FALSE)/ABS(R$4)</f>
        <v>0</v>
      </c>
      <c r="S35" s="897">
        <f>HLOOKUP(S$2,LCI!$AS$1:$BW$40,$A35,FALSE)/ABS(S$4)</f>
        <v>0</v>
      </c>
      <c r="T35" s="897">
        <f>HLOOKUP(T$2,LCI!$AS$1:$BW$40,$A35,FALSE)/ABS(T$4)</f>
        <v>0</v>
      </c>
      <c r="U35" s="897">
        <f>HLOOKUP(U$2,LCI!$AS$1:$BW$40,$A35,FALSE)/ABS(U$4)</f>
        <v>0</v>
      </c>
      <c r="V35" s="897">
        <f>HLOOKUP(V$2,LCI!$AS$1:$BW$40,$A35,FALSE)/ABS(V$4)</f>
        <v>0</v>
      </c>
      <c r="W35" s="897">
        <f>HLOOKUP(W$2,LCI!$AS$1:$BW$40,$A35,FALSE)/ABS(W$4)</f>
        <v>0</v>
      </c>
      <c r="X35" s="897">
        <f>HLOOKUP(X$2,LCI!$AS$1:$BW$40,$A35,FALSE)/ABS(X$4)</f>
        <v>0</v>
      </c>
      <c r="Y35" s="897">
        <f>HLOOKUP(Y$2,LCI!$AS$1:$BW$40,$A35,FALSE)/ABS(Y$4)</f>
        <v>0</v>
      </c>
      <c r="Z35" s="897">
        <f>HLOOKUP(Z$2,LCI!$AS$1:$BW$40,$A35,FALSE)/ABS(Z$4)</f>
        <v>0</v>
      </c>
      <c r="AA35" s="897">
        <f>HLOOKUP(AA$2,LCI!$AS$1:$BW$40,$A35,FALSE)/ABS(AA$4)</f>
        <v>0</v>
      </c>
      <c r="AB35" s="897">
        <f>HLOOKUP(AB$2,LCI!$AS$1:$BW$40,$A35,FALSE)/ABS(AB$4)</f>
        <v>0</v>
      </c>
      <c r="AC35" s="897">
        <f>HLOOKUP(AC$2,LCI!$AS$1:$BW$40,$A35,FALSE)/ABS(AC$4)</f>
        <v>0</v>
      </c>
      <c r="AD35" s="897">
        <f>HLOOKUP(AD$2,LCI!$AS$1:$BW$40,$A35,FALSE)/ABS(AD$4)</f>
        <v>0</v>
      </c>
      <c r="AE35" s="897">
        <f>HLOOKUP(AE$2,LCI!$AS$1:$BW$40,$A35,FALSE)/ABS(AE$4)</f>
        <v>0</v>
      </c>
      <c r="AF35" s="897">
        <f>HLOOKUP(AF$2,LCI!$AS$1:$BW$40,$A35,FALSE)/ABS(AF$4)</f>
        <v>0</v>
      </c>
      <c r="AG35" s="897">
        <f>HLOOKUP(AG$2,LCI!$AS$1:$BW$40,$A35,FALSE)/ABS(AG$4)</f>
        <v>0</v>
      </c>
      <c r="AH35" s="897">
        <f>HLOOKUP(AH$2,LCI!$AS$1:$BW$40,$A35,FALSE)/ABS(AH$4)</f>
        <v>0</v>
      </c>
    </row>
    <row r="36" spans="1:34">
      <c r="A36" s="894">
        <v>34</v>
      </c>
      <c r="B36" s="845"/>
      <c r="C36" s="884" t="s">
        <v>5338</v>
      </c>
      <c r="D36" s="387" t="s">
        <v>607</v>
      </c>
      <c r="E36" s="897">
        <f>HLOOKUP(E$2,LCI!$AS$1:$BW$40,$A36,FALSE)/ABS(E$4)</f>
        <v>1.7408555555555563E-2</v>
      </c>
      <c r="F36" s="897">
        <f>HLOOKUP(F$2,LCI!$AS$1:$BW$40,$A36,FALSE)/ABS(F$4)</f>
        <v>1.8993352326685701E-2</v>
      </c>
      <c r="G36" s="897">
        <f>HLOOKUP(G$2,LCI!$AS$1:$BW$40,$A36,FALSE)/ABS(G$4)</f>
        <v>0</v>
      </c>
      <c r="H36" s="897">
        <f>HLOOKUP(H$2,LCI!$AS$1:$BW$40,$A36,FALSE)/ABS(H$4)</f>
        <v>0</v>
      </c>
      <c r="I36" s="897">
        <f>HLOOKUP(I$2,LCI!$AS$1:$BW$40,$A36,FALSE)/ABS(I$4)</f>
        <v>1.813115</v>
      </c>
      <c r="J36" s="897">
        <f>HLOOKUP(J$2,LCI!$AS$1:$BW$40,$A36,FALSE)/ABS(J$4)</f>
        <v>1.5954415954415999</v>
      </c>
      <c r="K36" s="897">
        <f>HLOOKUP(K$2,LCI!$AS$1:$BW$40,$A36,FALSE)/ABS(K$4)</f>
        <v>1.5262726923076901</v>
      </c>
      <c r="L36" s="897">
        <f>HLOOKUP(L$2,LCI!$AS$1:$BW$40,$A36,FALSE)/ABS(L$4)</f>
        <v>2.6970560303893598</v>
      </c>
      <c r="M36" s="897">
        <f>HLOOKUP(M$2,LCI!$AS$1:$BW$40,$A36,FALSE)/ABS(M$4)</f>
        <v>0</v>
      </c>
      <c r="N36" s="897">
        <f>HLOOKUP(N$2,LCI!$AS$1:$BW$40,$A36,FALSE)/ABS(N$4)</f>
        <v>0</v>
      </c>
      <c r="O36" s="897">
        <f>HLOOKUP(O$2,LCI!$AS$1:$BW$40,$A36,FALSE)/ABS(O$4)</f>
        <v>0</v>
      </c>
      <c r="P36" s="897">
        <f>HLOOKUP(P$2,LCI!$AS$1:$BW$40,$A36,FALSE)/ABS(P$4)</f>
        <v>0</v>
      </c>
      <c r="Q36" s="897">
        <f>HLOOKUP(Q$2,LCI!$AS$1:$BW$40,$A36,FALSE)/ABS(Q$4)</f>
        <v>0</v>
      </c>
      <c r="R36" s="897">
        <f>HLOOKUP(R$2,LCI!$AS$1:$BW$40,$A36,FALSE)/ABS(R$4)</f>
        <v>4.7103513770180398E-3</v>
      </c>
      <c r="S36" s="897">
        <f>HLOOKUP(S$2,LCI!$AS$1:$BW$40,$A36,FALSE)/ABS(S$4)</f>
        <v>0</v>
      </c>
      <c r="T36" s="897">
        <f>HLOOKUP(T$2,LCI!$AS$1:$BW$40,$A36,FALSE)/ABS(T$4)</f>
        <v>0</v>
      </c>
      <c r="U36" s="897">
        <f>HLOOKUP(U$2,LCI!$AS$1:$BW$40,$A36,FALSE)/ABS(U$4)</f>
        <v>0</v>
      </c>
      <c r="V36" s="897">
        <f>HLOOKUP(V$2,LCI!$AS$1:$BW$40,$A36,FALSE)/ABS(V$4)</f>
        <v>0</v>
      </c>
      <c r="W36" s="897">
        <f>HLOOKUP(W$2,LCI!$AS$1:$BW$40,$A36,FALSE)/ABS(W$4)</f>
        <v>0</v>
      </c>
      <c r="X36" s="897">
        <f>HLOOKUP(X$2,LCI!$AS$1:$BW$40,$A36,FALSE)/ABS(X$4)</f>
        <v>0</v>
      </c>
      <c r="Y36" s="897">
        <f>HLOOKUP(Y$2,LCI!$AS$1:$BW$40,$A36,FALSE)/ABS(Y$4)</f>
        <v>0</v>
      </c>
      <c r="Z36" s="897">
        <f>HLOOKUP(Z$2,LCI!$AS$1:$BW$40,$A36,FALSE)/ABS(Z$4)</f>
        <v>0</v>
      </c>
      <c r="AA36" s="897">
        <f>HLOOKUP(AA$2,LCI!$AS$1:$BW$40,$A36,FALSE)/ABS(AA$4)</f>
        <v>0</v>
      </c>
      <c r="AB36" s="897">
        <f>HLOOKUP(AB$2,LCI!$AS$1:$BW$40,$A36,FALSE)/ABS(AB$4)</f>
        <v>0</v>
      </c>
      <c r="AC36" s="897">
        <f>HLOOKUP(AC$2,LCI!$AS$1:$BW$40,$A36,FALSE)/ABS(AC$4)</f>
        <v>0</v>
      </c>
      <c r="AD36" s="897">
        <f>HLOOKUP(AD$2,LCI!$AS$1:$BW$40,$A36,FALSE)/ABS(AD$4)</f>
        <v>0</v>
      </c>
      <c r="AE36" s="897">
        <f>HLOOKUP(AE$2,LCI!$AS$1:$BW$40,$A36,FALSE)/ABS(AE$4)</f>
        <v>0</v>
      </c>
      <c r="AF36" s="897">
        <f>HLOOKUP(AF$2,LCI!$AS$1:$BW$40,$A36,FALSE)/ABS(AF$4)</f>
        <v>0</v>
      </c>
      <c r="AG36" s="897">
        <f>HLOOKUP(AG$2,LCI!$AS$1:$BW$40,$A36,FALSE)/ABS(AG$4)</f>
        <v>0</v>
      </c>
      <c r="AH36" s="897">
        <f>HLOOKUP(AH$2,LCI!$AS$1:$BW$40,$A36,FALSE)/ABS(AH$4)</f>
        <v>0</v>
      </c>
    </row>
    <row r="37" spans="1:34">
      <c r="A37" s="894">
        <v>35</v>
      </c>
      <c r="B37" s="845"/>
      <c r="C37" s="884" t="s">
        <v>464</v>
      </c>
      <c r="D37" s="387" t="s">
        <v>607</v>
      </c>
      <c r="E37" s="897">
        <f>HLOOKUP(E$2,LCI!$AS$1:$BW$40,$A37,FALSE)/ABS(E$4)</f>
        <v>1.3391196581196585E-3</v>
      </c>
      <c r="F37" s="897">
        <f>HLOOKUP(F$2,LCI!$AS$1:$BW$40,$A37,FALSE)/ABS(F$4)</f>
        <v>6.48812915479582E-2</v>
      </c>
      <c r="G37" s="897">
        <f>HLOOKUP(G$2,LCI!$AS$1:$BW$40,$A37,FALSE)/ABS(G$4)</f>
        <v>0</v>
      </c>
      <c r="H37" s="897">
        <f>HLOOKUP(H$2,LCI!$AS$1:$BW$40,$A37,FALSE)/ABS(H$4)</f>
        <v>0</v>
      </c>
      <c r="I37" s="897">
        <f>HLOOKUP(I$2,LCI!$AS$1:$BW$40,$A37,FALSE)/ABS(I$4)</f>
        <v>0</v>
      </c>
      <c r="J37" s="897">
        <f>HLOOKUP(J$2,LCI!$AS$1:$BW$40,$A37,FALSE)/ABS(J$4)</f>
        <v>4.0550807217473901E-3</v>
      </c>
      <c r="K37" s="897">
        <f>HLOOKUP(K$2,LCI!$AS$1:$BW$40,$A37,FALSE)/ABS(K$4)</f>
        <v>0</v>
      </c>
      <c r="L37" s="897">
        <f>HLOOKUP(L$2,LCI!$AS$1:$BW$40,$A37,FALSE)/ABS(L$4)</f>
        <v>4.0550807217473901E-4</v>
      </c>
      <c r="M37" s="897">
        <f>HLOOKUP(M$2,LCI!$AS$1:$BW$40,$A37,FALSE)/ABS(M$4)</f>
        <v>0</v>
      </c>
      <c r="N37" s="897">
        <f>HLOOKUP(N$2,LCI!$AS$1:$BW$40,$A37,FALSE)/ABS(N$4)</f>
        <v>0</v>
      </c>
      <c r="O37" s="897">
        <f>HLOOKUP(O$2,LCI!$AS$1:$BW$40,$A37,FALSE)/ABS(O$4)</f>
        <v>0</v>
      </c>
      <c r="P37" s="897">
        <f>HLOOKUP(P$2,LCI!$AS$1:$BW$40,$A37,FALSE)/ABS(P$4)</f>
        <v>0</v>
      </c>
      <c r="Q37" s="897">
        <f>HLOOKUP(Q$2,LCI!$AS$1:$BW$40,$A37,FALSE)/ABS(Q$4)</f>
        <v>3.1810567901234565E-3</v>
      </c>
      <c r="R37" s="897">
        <f>HLOOKUP(R$2,LCI!$AS$1:$BW$40,$A37,FALSE)/ABS(R$4)</f>
        <v>0</v>
      </c>
      <c r="S37" s="897">
        <f>HLOOKUP(S$2,LCI!$AS$1:$BW$40,$A37,FALSE)/ABS(S$4)</f>
        <v>0</v>
      </c>
      <c r="T37" s="897">
        <f>HLOOKUP(T$2,LCI!$AS$1:$BW$40,$A37,FALSE)/ABS(T$4)</f>
        <v>4.8999999999999998E-3</v>
      </c>
      <c r="U37" s="897">
        <f>HLOOKUP(U$2,LCI!$AS$1:$BW$40,$A37,FALSE)/ABS(U$4)</f>
        <v>1.950815899999998E-2</v>
      </c>
      <c r="V37" s="897">
        <f>HLOOKUP(V$2,LCI!$AS$1:$BW$40,$A37,FALSE)/ABS(V$4)</f>
        <v>0</v>
      </c>
      <c r="W37" s="897">
        <f>HLOOKUP(W$2,LCI!$AS$1:$BW$40,$A37,FALSE)/ABS(W$4)</f>
        <v>2.3201599999999999E-2</v>
      </c>
      <c r="X37" s="897">
        <f>HLOOKUP(X$2,LCI!$AS$1:$BW$40,$A37,FALSE)/ABS(X$4)</f>
        <v>0</v>
      </c>
      <c r="Y37" s="897">
        <f>HLOOKUP(Y$2,LCI!$AS$1:$BW$40,$A37,FALSE)/ABS(Y$4)</f>
        <v>0</v>
      </c>
      <c r="Z37" s="897">
        <f>HLOOKUP(Z$2,LCI!$AS$1:$BW$40,$A37,FALSE)/ABS(Z$4)</f>
        <v>0</v>
      </c>
      <c r="AA37" s="897">
        <f>HLOOKUP(AA$2,LCI!$AS$1:$BW$40,$A37,FALSE)/ABS(AA$4)</f>
        <v>2.3201599999999996E-2</v>
      </c>
      <c r="AB37" s="897">
        <f>HLOOKUP(AB$2,LCI!$AS$1:$BW$40,$A37,FALSE)/ABS(AB$4)</f>
        <v>0</v>
      </c>
      <c r="AC37" s="897">
        <f>HLOOKUP(AC$2,LCI!$AS$1:$BW$40,$A37,FALSE)/ABS(AC$4)</f>
        <v>0</v>
      </c>
      <c r="AD37" s="897">
        <f>HLOOKUP(AD$2,LCI!$AS$1:$BW$40,$A37,FALSE)/ABS(AD$4)</f>
        <v>0</v>
      </c>
      <c r="AE37" s="897">
        <f>HLOOKUP(AE$2,LCI!$AS$1:$BW$40,$A37,FALSE)/ABS(AE$4)</f>
        <v>0</v>
      </c>
      <c r="AF37" s="897">
        <f>HLOOKUP(AF$2,LCI!$AS$1:$BW$40,$A37,FALSE)/ABS(AF$4)</f>
        <v>0</v>
      </c>
      <c r="AG37" s="897">
        <f>HLOOKUP(AG$2,LCI!$AS$1:$BW$40,$A37,FALSE)/ABS(AG$4)</f>
        <v>7.8032635999999919E-3</v>
      </c>
      <c r="AH37" s="897">
        <f>HLOOKUP(AH$2,LCI!$AS$1:$BW$40,$A37,FALSE)/ABS(AH$4)</f>
        <v>0</v>
      </c>
    </row>
    <row r="38" spans="1:34">
      <c r="A38" s="894">
        <v>36</v>
      </c>
      <c r="B38" s="845"/>
      <c r="C38" s="884" t="s">
        <v>84</v>
      </c>
      <c r="D38" s="387" t="s">
        <v>607</v>
      </c>
      <c r="E38" s="897">
        <f>HLOOKUP(E$2,LCI!$AS$1:$BW$40,$A38,FALSE)/ABS(E$4)</f>
        <v>0</v>
      </c>
      <c r="F38" s="897">
        <f>HLOOKUP(F$2,LCI!$AS$1:$BW$40,$A38,FALSE)/ABS(F$4)</f>
        <v>0</v>
      </c>
      <c r="G38" s="897">
        <f>HLOOKUP(G$2,LCI!$AS$1:$BW$40,$A38,FALSE)/ABS(G$4)</f>
        <v>0</v>
      </c>
      <c r="H38" s="897">
        <f>HLOOKUP(H$2,LCI!$AS$1:$BW$40,$A38,FALSE)/ABS(H$4)</f>
        <v>0</v>
      </c>
      <c r="I38" s="897">
        <f>HLOOKUP(I$2,LCI!$AS$1:$BW$40,$A38,FALSE)/ABS(I$4)</f>
        <v>0.11861500000000001</v>
      </c>
      <c r="J38" s="897">
        <f>HLOOKUP(J$2,LCI!$AS$1:$BW$40,$A38,FALSE)/ABS(J$4)</f>
        <v>0.31076923076923102</v>
      </c>
      <c r="K38" s="897">
        <f>HLOOKUP(K$2,LCI!$AS$1:$BW$40,$A38,FALSE)/ABS(K$4)</f>
        <v>9.9849615384615245E-2</v>
      </c>
      <c r="L38" s="897">
        <f>HLOOKUP(L$2,LCI!$AS$1:$BW$40,$A38,FALSE)/ABS(L$4)</f>
        <v>0.15538461538461501</v>
      </c>
      <c r="M38" s="897">
        <f>HLOOKUP(M$2,LCI!$AS$1:$BW$40,$A38,FALSE)/ABS(M$4)</f>
        <v>0</v>
      </c>
      <c r="N38" s="897">
        <f>HLOOKUP(N$2,LCI!$AS$1:$BW$40,$A38,FALSE)/ABS(N$4)</f>
        <v>0</v>
      </c>
      <c r="O38" s="897">
        <f>HLOOKUP(O$2,LCI!$AS$1:$BW$40,$A38,FALSE)/ABS(O$4)</f>
        <v>0</v>
      </c>
      <c r="P38" s="897">
        <f>HLOOKUP(P$2,LCI!$AS$1:$BW$40,$A38,FALSE)/ABS(P$4)</f>
        <v>0</v>
      </c>
      <c r="Q38" s="897">
        <f>HLOOKUP(Q$2,LCI!$AS$1:$BW$40,$A38,FALSE)/ABS(Q$4)</f>
        <v>0</v>
      </c>
      <c r="R38" s="897">
        <f>HLOOKUP(R$2,LCI!$AS$1:$BW$40,$A38,FALSE)/ABS(R$4)</f>
        <v>0.66815384615384599</v>
      </c>
      <c r="S38" s="897">
        <f>HLOOKUP(S$2,LCI!$AS$1:$BW$40,$A38,FALSE)/ABS(S$4)</f>
        <v>0.78212452799999999</v>
      </c>
      <c r="T38" s="897">
        <f>HLOOKUP(T$2,LCI!$AS$1:$BW$40,$A38,FALSE)/ABS(T$4)</f>
        <v>0.98529999999999995</v>
      </c>
      <c r="U38" s="897">
        <f>HLOOKUP(U$2,LCI!$AS$1:$BW$40,$A38,FALSE)/ABS(U$4)</f>
        <v>0</v>
      </c>
      <c r="V38" s="897">
        <f>HLOOKUP(V$2,LCI!$AS$1:$BW$40,$A38,FALSE)/ABS(V$4)</f>
        <v>0</v>
      </c>
      <c r="W38" s="897">
        <f>HLOOKUP(W$2,LCI!$AS$1:$BW$40,$A38,FALSE)/ABS(W$4)</f>
        <v>0</v>
      </c>
      <c r="X38" s="897">
        <f>HLOOKUP(X$2,LCI!$AS$1:$BW$40,$A38,FALSE)/ABS(X$4)</f>
        <v>0</v>
      </c>
      <c r="Y38" s="897">
        <f>HLOOKUP(Y$2,LCI!$AS$1:$BW$40,$A38,FALSE)/ABS(Y$4)</f>
        <v>0</v>
      </c>
      <c r="Z38" s="897">
        <f>HLOOKUP(Z$2,LCI!$AS$1:$BW$40,$A38,FALSE)/ABS(Z$4)</f>
        <v>0</v>
      </c>
      <c r="AA38" s="897">
        <f>HLOOKUP(AA$2,LCI!$AS$1:$BW$40,$A38,FALSE)/ABS(AA$4)</f>
        <v>0</v>
      </c>
      <c r="AB38" s="897">
        <f>HLOOKUP(AB$2,LCI!$AS$1:$BW$40,$A38,FALSE)/ABS(AB$4)</f>
        <v>0</v>
      </c>
      <c r="AC38" s="897">
        <f>HLOOKUP(AC$2,LCI!$AS$1:$BW$40,$A38,FALSE)/ABS(AC$4)</f>
        <v>0</v>
      </c>
      <c r="AD38" s="897">
        <f>HLOOKUP(AD$2,LCI!$AS$1:$BW$40,$A38,FALSE)/ABS(AD$4)</f>
        <v>0</v>
      </c>
      <c r="AE38" s="897">
        <f>HLOOKUP(AE$2,LCI!$AS$1:$BW$40,$A38,FALSE)/ABS(AE$4)</f>
        <v>0</v>
      </c>
      <c r="AF38" s="897">
        <f>HLOOKUP(AF$2,LCI!$AS$1:$BW$40,$A38,FALSE)/ABS(AF$4)</f>
        <v>0</v>
      </c>
      <c r="AG38" s="897">
        <f>HLOOKUP(AG$2,LCI!$AS$1:$BW$40,$A38,FALSE)/ABS(AG$4)</f>
        <v>0.46927471679999999</v>
      </c>
      <c r="AH38" s="897">
        <f>HLOOKUP(AH$2,LCI!$AS$1:$BW$40,$A38,FALSE)/ABS(AH$4)</f>
        <v>0</v>
      </c>
    </row>
    <row r="39" spans="1:34">
      <c r="A39" s="894">
        <v>37</v>
      </c>
      <c r="B39" s="845"/>
      <c r="C39" s="884" t="s">
        <v>85</v>
      </c>
      <c r="D39" s="387" t="s">
        <v>607</v>
      </c>
      <c r="E39" s="897">
        <f>HLOOKUP(E$2,LCI!$AS$1:$BW$40,$A39,FALSE)/ABS(E$4)</f>
        <v>0</v>
      </c>
      <c r="F39" s="897">
        <f>HLOOKUP(F$2,LCI!$AS$1:$BW$40,$A39,FALSE)/ABS(F$4)</f>
        <v>0</v>
      </c>
      <c r="G39" s="897">
        <f>HLOOKUP(G$2,LCI!$AS$1:$BW$40,$A39,FALSE)/ABS(G$4)</f>
        <v>0</v>
      </c>
      <c r="H39" s="897">
        <f>HLOOKUP(H$2,LCI!$AS$1:$BW$40,$A39,FALSE)/ABS(H$4)</f>
        <v>0</v>
      </c>
      <c r="I39" s="897">
        <f>HLOOKUP(I$2,LCI!$AS$1:$BW$40,$A39,FALSE)/ABS(I$4)</f>
        <v>1.25393</v>
      </c>
      <c r="J39" s="897">
        <f>HLOOKUP(J$2,LCI!$AS$1:$BW$40,$A39,FALSE)/ABS(J$4)</f>
        <v>1.2947200000000001</v>
      </c>
      <c r="K39" s="897">
        <f>HLOOKUP(K$2,LCI!$AS$1:$BW$40,$A39,FALSE)/ABS(K$4)</f>
        <v>1.0555530769230754</v>
      </c>
      <c r="L39" s="897">
        <f>HLOOKUP(L$2,LCI!$AS$1:$BW$40,$A39,FALSE)/ABS(L$4)</f>
        <v>0</v>
      </c>
      <c r="M39" s="897">
        <f>HLOOKUP(M$2,LCI!$AS$1:$BW$40,$A39,FALSE)/ABS(M$4)</f>
        <v>0</v>
      </c>
      <c r="N39" s="897">
        <f>HLOOKUP(N$2,LCI!$AS$1:$BW$40,$A39,FALSE)/ABS(N$4)</f>
        <v>0</v>
      </c>
      <c r="O39" s="897">
        <f>HLOOKUP(O$2,LCI!$AS$1:$BW$40,$A39,FALSE)/ABS(O$4)</f>
        <v>0</v>
      </c>
      <c r="P39" s="897">
        <f>HLOOKUP(P$2,LCI!$AS$1:$BW$40,$A39,FALSE)/ABS(P$4)</f>
        <v>0</v>
      </c>
      <c r="Q39" s="897">
        <f>HLOOKUP(Q$2,LCI!$AS$1:$BW$40,$A39,FALSE)/ABS(Q$4)</f>
        <v>0</v>
      </c>
      <c r="R39" s="897">
        <f>HLOOKUP(R$2,LCI!$AS$1:$BW$40,$A39,FALSE)/ABS(R$4)</f>
        <v>0</v>
      </c>
      <c r="S39" s="897">
        <f>HLOOKUP(S$2,LCI!$AS$1:$BW$40,$A39,FALSE)/ABS(S$4)</f>
        <v>0</v>
      </c>
      <c r="T39" s="897">
        <f>HLOOKUP(T$2,LCI!$AS$1:$BW$40,$A39,FALSE)/ABS(T$4)</f>
        <v>0</v>
      </c>
      <c r="U39" s="897">
        <f>HLOOKUP(U$2,LCI!$AS$1:$BW$40,$A39,FALSE)/ABS(U$4)</f>
        <v>0</v>
      </c>
      <c r="V39" s="897">
        <f>HLOOKUP(V$2,LCI!$AS$1:$BW$40,$A39,FALSE)/ABS(V$4)</f>
        <v>0</v>
      </c>
      <c r="W39" s="897">
        <f>HLOOKUP(W$2,LCI!$AS$1:$BW$40,$A39,FALSE)/ABS(W$4)</f>
        <v>0</v>
      </c>
      <c r="X39" s="897">
        <f>HLOOKUP(X$2,LCI!$AS$1:$BW$40,$A39,FALSE)/ABS(X$4)</f>
        <v>0</v>
      </c>
      <c r="Y39" s="897">
        <f>HLOOKUP(Y$2,LCI!$AS$1:$BW$40,$A39,FALSE)/ABS(Y$4)</f>
        <v>0</v>
      </c>
      <c r="Z39" s="897">
        <f>HLOOKUP(Z$2,LCI!$AS$1:$BW$40,$A39,FALSE)/ABS(Z$4)</f>
        <v>0</v>
      </c>
      <c r="AA39" s="897">
        <f>HLOOKUP(AA$2,LCI!$AS$1:$BW$40,$A39,FALSE)/ABS(AA$4)</f>
        <v>0</v>
      </c>
      <c r="AB39" s="897">
        <f>HLOOKUP(AB$2,LCI!$AS$1:$BW$40,$A39,FALSE)/ABS(AB$4)</f>
        <v>0</v>
      </c>
      <c r="AC39" s="897">
        <f>HLOOKUP(AC$2,LCI!$AS$1:$BW$40,$A39,FALSE)/ABS(AC$4)</f>
        <v>0</v>
      </c>
      <c r="AD39" s="897">
        <f>HLOOKUP(AD$2,LCI!$AS$1:$BW$40,$A39,FALSE)/ABS(AD$4)</f>
        <v>0</v>
      </c>
      <c r="AE39" s="897">
        <f>HLOOKUP(AE$2,LCI!$AS$1:$BW$40,$A39,FALSE)/ABS(AE$4)</f>
        <v>0</v>
      </c>
      <c r="AF39" s="897">
        <f>HLOOKUP(AF$2,LCI!$AS$1:$BW$40,$A39,FALSE)/ABS(AF$4)</f>
        <v>0</v>
      </c>
      <c r="AG39" s="897">
        <f>HLOOKUP(AG$2,LCI!$AS$1:$BW$40,$A39,FALSE)/ABS(AG$4)</f>
        <v>0</v>
      </c>
      <c r="AH39" s="897">
        <f>HLOOKUP(AH$2,LCI!$AS$1:$BW$40,$A39,FALSE)/ABS(AH$4)</f>
        <v>0</v>
      </c>
    </row>
    <row r="40" spans="1:34">
      <c r="A40" s="894">
        <v>38</v>
      </c>
      <c r="B40" s="845"/>
      <c r="C40" s="884" t="s">
        <v>465</v>
      </c>
      <c r="D40" s="387" t="s">
        <v>607</v>
      </c>
      <c r="E40" s="897">
        <f>HLOOKUP(E$2,LCI!$AS$1:$BW$40,$A40,FALSE)/ABS(E$4)</f>
        <v>6.1867328205128219E-2</v>
      </c>
      <c r="F40" s="897">
        <f>HLOOKUP(F$2,LCI!$AS$1:$BW$40,$A40,FALSE)/ABS(F$4)</f>
        <v>5.4000000000000003E-3</v>
      </c>
      <c r="G40" s="897">
        <f>HLOOKUP(G$2,LCI!$AS$1:$BW$40,$A40,FALSE)/ABS(G$4)</f>
        <v>0</v>
      </c>
      <c r="H40" s="897">
        <f>HLOOKUP(H$2,LCI!$AS$1:$BW$40,$A40,FALSE)/ABS(H$4)</f>
        <v>0</v>
      </c>
      <c r="I40" s="897">
        <f>HLOOKUP(I$2,LCI!$AS$1:$BW$40,$A40,FALSE)/ABS(I$4)</f>
        <v>0.20333999999999994</v>
      </c>
      <c r="J40" s="897">
        <f>HLOOKUP(J$2,LCI!$AS$1:$BW$40,$A40,FALSE)/ABS(J$4)</f>
        <v>0.18359999999999999</v>
      </c>
      <c r="K40" s="897">
        <f>HLOOKUP(K$2,LCI!$AS$1:$BW$40,$A40,FALSE)/ABS(K$4)</f>
        <v>0.17117076923076899</v>
      </c>
      <c r="L40" s="897">
        <f>HLOOKUP(L$2,LCI!$AS$1:$BW$40,$A40,FALSE)/ABS(L$4)</f>
        <v>0</v>
      </c>
      <c r="M40" s="897">
        <f>HLOOKUP(M$2,LCI!$AS$1:$BW$40,$A40,FALSE)/ABS(M$4)</f>
        <v>61.023600000000002</v>
      </c>
      <c r="N40" s="897">
        <f>HLOOKUP(N$2,LCI!$AS$1:$BW$40,$A40,FALSE)/ABS(N$4)</f>
        <v>61.023600000000002</v>
      </c>
      <c r="O40" s="897">
        <f>HLOOKUP(O$2,LCI!$AS$1:$BW$40,$A40,FALSE)/ABS(O$4)</f>
        <v>56.703600000000002</v>
      </c>
      <c r="P40" s="897">
        <f>HLOOKUP(P$2,LCI!$AS$1:$BW$40,$A40,FALSE)/ABS(P$4)</f>
        <v>56.703600000000002</v>
      </c>
      <c r="Q40" s="897">
        <f>HLOOKUP(Q$2,LCI!$AS$1:$BW$40,$A40,FALSE)/ABS(Q$4)</f>
        <v>0.44534795061728394</v>
      </c>
      <c r="R40" s="897">
        <f>HLOOKUP(R$2,LCI!$AS$1:$BW$40,$A40,FALSE)/ABS(R$4)</f>
        <v>0.12240000000000001</v>
      </c>
      <c r="S40" s="897">
        <f>HLOOKUP(S$2,LCI!$AS$1:$BW$40,$A40,FALSE)/ABS(S$4)</f>
        <v>0.53771061299999989</v>
      </c>
      <c r="T40" s="897">
        <f>HLOOKUP(T$2,LCI!$AS$1:$BW$40,$A40,FALSE)/ABS(T$4)</f>
        <v>0.39999600000000002</v>
      </c>
      <c r="U40" s="897">
        <f>HLOOKUP(U$2,LCI!$AS$1:$BW$40,$A40,FALSE)/ABS(U$4)</f>
        <v>2.7311422599999973</v>
      </c>
      <c r="V40" s="897">
        <f>HLOOKUP(V$2,LCI!$AS$1:$BW$40,$A40,FALSE)/ABS(V$4)</f>
        <v>0</v>
      </c>
      <c r="W40" s="897">
        <f>HLOOKUP(W$2,LCI!$AS$1:$BW$40,$A40,FALSE)/ABS(W$4)</f>
        <v>3.2482240000000004</v>
      </c>
      <c r="X40" s="897">
        <f>HLOOKUP(X$2,LCI!$AS$1:$BW$40,$A40,FALSE)/ABS(X$4)</f>
        <v>0</v>
      </c>
      <c r="Y40" s="897">
        <f>HLOOKUP(Y$2,LCI!$AS$1:$BW$40,$A40,FALSE)/ABS(Y$4)</f>
        <v>0</v>
      </c>
      <c r="Z40" s="897">
        <f>HLOOKUP(Z$2,LCI!$AS$1:$BW$40,$A40,FALSE)/ABS(Z$4)</f>
        <v>0</v>
      </c>
      <c r="AA40" s="897">
        <f>HLOOKUP(AA$2,LCI!$AS$1:$BW$40,$A40,FALSE)/ABS(AA$4)</f>
        <v>3.2482239999999996</v>
      </c>
      <c r="AB40" s="897">
        <f>HLOOKUP(AB$2,LCI!$AS$1:$BW$40,$A40,FALSE)/ABS(AB$4)</f>
        <v>0</v>
      </c>
      <c r="AC40" s="897">
        <f>HLOOKUP(AC$2,LCI!$AS$1:$BW$40,$A40,FALSE)/ABS(AC$4)</f>
        <v>0</v>
      </c>
      <c r="AD40" s="897">
        <f>HLOOKUP(AD$2,LCI!$AS$1:$BW$40,$A40,FALSE)/ABS(AD$4)</f>
        <v>0</v>
      </c>
      <c r="AE40" s="897">
        <f>HLOOKUP(AE$2,LCI!$AS$1:$BW$40,$A40,FALSE)/ABS(AE$4)</f>
        <v>0</v>
      </c>
      <c r="AF40" s="897">
        <f>HLOOKUP(AF$2,LCI!$AS$1:$BW$40,$A40,FALSE)/ABS(AF$4)</f>
        <v>0</v>
      </c>
      <c r="AG40" s="897">
        <f>HLOOKUP(AG$2,LCI!$AS$1:$BW$40,$A40,FALSE)/ABS(AG$4)</f>
        <v>1.415083271799999</v>
      </c>
      <c r="AH40" s="897">
        <f>HLOOKUP(AH$2,LCI!$AS$1:$BW$40,$A40,FALSE)/ABS(AH$4)</f>
        <v>0</v>
      </c>
    </row>
    <row r="41" spans="1:34">
      <c r="A41" s="894">
        <v>39</v>
      </c>
      <c r="B41" s="845"/>
      <c r="C41" s="884" t="s">
        <v>5343</v>
      </c>
      <c r="D41" s="387" t="s">
        <v>607</v>
      </c>
      <c r="E41" s="897">
        <f>HLOOKUP(E$2,LCI!$AS$1:$BW$40,$A41,FALSE)/ABS(E$4)</f>
        <v>8.6596404558404588E-3</v>
      </c>
      <c r="F41" s="897">
        <f>HLOOKUP(F$2,LCI!$AS$1:$BW$40,$A41,FALSE)/ABS(F$4)</f>
        <v>0</v>
      </c>
      <c r="G41" s="897">
        <f>HLOOKUP(G$2,LCI!$AS$1:$BW$40,$A41,FALSE)/ABS(G$4)</f>
        <v>0</v>
      </c>
      <c r="H41" s="897">
        <f>HLOOKUP(H$2,LCI!$AS$1:$BW$40,$A41,FALSE)/ABS(H$4)</f>
        <v>0</v>
      </c>
      <c r="I41" s="897">
        <f>HLOOKUP(I$2,LCI!$AS$1:$BW$40,$A41,FALSE)/ABS(I$4)</f>
        <v>0</v>
      </c>
      <c r="J41" s="897">
        <f>HLOOKUP(J$2,LCI!$AS$1:$BW$40,$A41,FALSE)/ABS(J$4)</f>
        <v>0</v>
      </c>
      <c r="K41" s="897">
        <f>HLOOKUP(K$2,LCI!$AS$1:$BW$40,$A41,FALSE)/ABS(K$4)</f>
        <v>0</v>
      </c>
      <c r="L41" s="897">
        <f>HLOOKUP(L$2,LCI!$AS$1:$BW$40,$A41,FALSE)/ABS(L$4)</f>
        <v>0</v>
      </c>
      <c r="M41" s="897">
        <f>HLOOKUP(M$2,LCI!$AS$1:$BW$40,$A41,FALSE)/ABS(M$4)</f>
        <v>0</v>
      </c>
      <c r="N41" s="897">
        <f>HLOOKUP(N$2,LCI!$AS$1:$BW$40,$A41,FALSE)/ABS(N$4)</f>
        <v>0</v>
      </c>
      <c r="O41" s="897">
        <f>HLOOKUP(O$2,LCI!$AS$1:$BW$40,$A41,FALSE)/ABS(O$4)</f>
        <v>0</v>
      </c>
      <c r="P41" s="897">
        <f>HLOOKUP(P$2,LCI!$AS$1:$BW$40,$A41,FALSE)/ABS(P$4)</f>
        <v>0</v>
      </c>
      <c r="Q41" s="897">
        <f>HLOOKUP(Q$2,LCI!$AS$1:$BW$40,$A41,FALSE)/ABS(Q$4)</f>
        <v>0.34673519012345677</v>
      </c>
      <c r="R41" s="897">
        <f>HLOOKUP(R$2,LCI!$AS$1:$BW$40,$A41,FALSE)/ABS(R$4)</f>
        <v>0</v>
      </c>
      <c r="S41" s="897">
        <f>HLOOKUP(S$2,LCI!$AS$1:$BW$40,$A41,FALSE)/ABS(S$4)</f>
        <v>3.5684431589999992</v>
      </c>
      <c r="T41" s="897">
        <f>HLOOKUP(T$2,LCI!$AS$1:$BW$40,$A41,FALSE)/ABS(T$4)</f>
        <v>0</v>
      </c>
      <c r="U41" s="897">
        <f>HLOOKUP(U$2,LCI!$AS$1:$BW$40,$A41,FALSE)/ABS(U$4)</f>
        <v>2.1263893309999982</v>
      </c>
      <c r="V41" s="897">
        <f>HLOOKUP(V$2,LCI!$AS$1:$BW$40,$A41,FALSE)/ABS(V$4)</f>
        <v>0</v>
      </c>
      <c r="W41" s="897">
        <f>HLOOKUP(W$2,LCI!$AS$1:$BW$40,$A41,FALSE)/ABS(W$4)</f>
        <v>2.5289744000000001</v>
      </c>
      <c r="X41" s="897">
        <f>HLOOKUP(X$2,LCI!$AS$1:$BW$40,$A41,FALSE)/ABS(X$4)</f>
        <v>0</v>
      </c>
      <c r="Y41" s="897">
        <f>HLOOKUP(Y$2,LCI!$AS$1:$BW$40,$A41,FALSE)/ABS(Y$4)</f>
        <v>0</v>
      </c>
      <c r="Z41" s="897">
        <f>HLOOKUP(Z$2,LCI!$AS$1:$BW$40,$A41,FALSE)/ABS(Z$4)</f>
        <v>0</v>
      </c>
      <c r="AA41" s="897">
        <f>HLOOKUP(AA$2,LCI!$AS$1:$BW$40,$A41,FALSE)/ABS(AA$4)</f>
        <v>2.5289744000000001</v>
      </c>
      <c r="AB41" s="897">
        <f>HLOOKUP(AB$2,LCI!$AS$1:$BW$40,$A41,FALSE)/ABS(AB$4)</f>
        <v>0</v>
      </c>
      <c r="AC41" s="897">
        <f>HLOOKUP(AC$2,LCI!$AS$1:$BW$40,$A41,FALSE)/ABS(AC$4)</f>
        <v>0</v>
      </c>
      <c r="AD41" s="897">
        <f>HLOOKUP(AD$2,LCI!$AS$1:$BW$40,$A41,FALSE)/ABS(AD$4)</f>
        <v>0</v>
      </c>
      <c r="AE41" s="897">
        <f>HLOOKUP(AE$2,LCI!$AS$1:$BW$40,$A41,FALSE)/ABS(AE$4)</f>
        <v>0</v>
      </c>
      <c r="AF41" s="897">
        <f>HLOOKUP(AF$2,LCI!$AS$1:$BW$40,$A41,FALSE)/ABS(AF$4)</f>
        <v>0</v>
      </c>
      <c r="AG41" s="897">
        <f>HLOOKUP(AG$2,LCI!$AS$1:$BW$40,$A41,FALSE)/ABS(AG$4)</f>
        <v>2.991621627799999</v>
      </c>
      <c r="AH41" s="897">
        <f>HLOOKUP(AH$2,LCI!$AS$1:$BW$40,$A41,FALSE)/ABS(AH$4)</f>
        <v>0</v>
      </c>
    </row>
    <row r="42" spans="1:34">
      <c r="A42" s="894">
        <v>40</v>
      </c>
      <c r="B42" s="845"/>
      <c r="C42" s="855" t="s">
        <v>5762</v>
      </c>
      <c r="D42" s="865" t="s">
        <v>94</v>
      </c>
      <c r="E42" s="897">
        <f>HLOOKUP(E$2,LCI!$AS$1:$BW$40,$A42,FALSE)/ABS(E$4)</f>
        <v>-0.23705589025000001</v>
      </c>
      <c r="F42" s="897">
        <f>HLOOKUP(F$2,LCI!$AS$1:$BW$40,$A42,FALSE)/ABS(F$4)</f>
        <v>-8.5492451265699997E-3</v>
      </c>
      <c r="G42" s="897">
        <f>HLOOKUP(G$2,LCI!$AS$1:$BW$40,$A42,FALSE)/ABS(G$4)</f>
        <v>0</v>
      </c>
      <c r="H42" s="897">
        <f>HLOOKUP(H$2,LCI!$AS$1:$BW$40,$A42,FALSE)/ABS(H$4)</f>
        <v>0</v>
      </c>
      <c r="I42" s="897">
        <f>HLOOKUP(I$2,LCI!$AS$1:$BW$40,$A42,FALSE)/ABS(I$4)</f>
        <v>-0.3688550529318691</v>
      </c>
      <c r="J42" s="897">
        <f>HLOOKUP(J$2,LCI!$AS$1:$BW$40,$A42,FALSE)/ABS(J$4)</f>
        <v>-0.35934374969911104</v>
      </c>
      <c r="K42" s="897">
        <f>HLOOKUP(K$2,LCI!$AS$1:$BW$40,$A42,FALSE)/ABS(K$4)</f>
        <v>-0.3105006547900267</v>
      </c>
      <c r="L42" s="897">
        <f>HLOOKUP(L$2,LCI!$AS$1:$BW$40,$A42,FALSE)/ABS(L$4)</f>
        <v>-0.27957965968259113</v>
      </c>
      <c r="M42" s="897">
        <f>HLOOKUP(M$2,LCI!$AS$1:$BW$40,$A42,FALSE)/ABS(M$4)</f>
        <v>-2.3512462300260304</v>
      </c>
      <c r="N42" s="897">
        <f>HLOOKUP(N$2,LCI!$AS$1:$BW$40,$A42,FALSE)/ABS(N$4)</f>
        <v>-2.3542292412884702</v>
      </c>
      <c r="O42" s="897">
        <f>HLOOKUP(O$2,LCI!$AS$1:$BW$40,$A42,FALSE)/ABS(O$4)</f>
        <v>-2.1847961400000004</v>
      </c>
      <c r="P42" s="897">
        <f>HLOOKUP(P$2,LCI!$AS$1:$BW$40,$A42,FALSE)/ABS(P$4)</f>
        <v>-2.1877790812884701</v>
      </c>
      <c r="Q42" s="897">
        <f>HLOOKUP(Q$2,LCI!$AS$1:$BW$40,$A42,FALSE)/ABS(Q$4)</f>
        <v>-4.6859027344516337E-2</v>
      </c>
      <c r="R42" s="897">
        <f>HLOOKUP(R$2,LCI!$AS$1:$BW$40,$A42,FALSE)/ABS(R$4)</f>
        <v>-3.0641630149997996E-2</v>
      </c>
      <c r="S42" s="897">
        <f>HLOOKUP(S$2,LCI!$AS$1:$BW$40,$A42,FALSE)/ABS(S$4)</f>
        <v>-0.3529261458832485</v>
      </c>
      <c r="T42" s="897">
        <f>HLOOKUP(T$2,LCI!$AS$1:$BW$40,$A42,FALSE)/ABS(T$4)</f>
        <v>-5.3422983570270005E-2</v>
      </c>
      <c r="U42" s="897">
        <f>HLOOKUP(U$2,LCI!$AS$1:$BW$40,$A42,FALSE)/ABS(U$4)</f>
        <v>-0.28736782029807595</v>
      </c>
      <c r="V42" s="897">
        <f>HLOOKUP(V$2,LCI!$AS$1:$BW$40,$A42,FALSE)/ABS(V$4)</f>
        <v>0</v>
      </c>
      <c r="W42" s="897">
        <f>HLOOKUP(W$2,LCI!$AS$1:$BW$40,$A42,FALSE)/ABS(W$4)</f>
        <v>-0.82077986440000006</v>
      </c>
      <c r="X42" s="897">
        <f>HLOOKUP(X$2,LCI!$AS$1:$BW$40,$A42,FALSE)/ABS(X$4)</f>
        <v>0</v>
      </c>
      <c r="Y42" s="897">
        <f>HLOOKUP(Y$2,LCI!$AS$1:$BW$40,$A42,FALSE)/ABS(Y$4)</f>
        <v>0</v>
      </c>
      <c r="Z42" s="897">
        <f>HLOOKUP(Z$2,LCI!$AS$1:$BW$40,$A42,FALSE)/ABS(Z$4)</f>
        <v>0</v>
      </c>
      <c r="AA42" s="897">
        <f>HLOOKUP(AA$2,LCI!$AS$1:$BW$40,$A42,FALSE)/ABS(AA$4)</f>
        <v>-0.82077986439999995</v>
      </c>
      <c r="AB42" s="897">
        <f>HLOOKUP(AB$2,LCI!$AS$1:$BW$40,$A42,FALSE)/ABS(AB$4)</f>
        <v>0</v>
      </c>
      <c r="AC42" s="897">
        <f>HLOOKUP(AC$2,LCI!$AS$1:$BW$40,$A42,FALSE)/ABS(AC$4)</f>
        <v>0</v>
      </c>
      <c r="AD42" s="897">
        <f>HLOOKUP(AD$2,LCI!$AS$1:$BW$40,$A42,FALSE)/ABS(AD$4)</f>
        <v>0</v>
      </c>
      <c r="AE42" s="897">
        <f>HLOOKUP(AE$2,LCI!$AS$1:$BW$40,$A42,FALSE)/ABS(AE$4)</f>
        <v>0</v>
      </c>
      <c r="AF42" s="897">
        <f>HLOOKUP(AF$2,LCI!$AS$1:$BW$40,$A42,FALSE)/ABS(AF$4)</f>
        <v>0</v>
      </c>
      <c r="AG42" s="897">
        <f>HLOOKUP(AG$2,LCI!$AS$1:$BW$40,$A42,FALSE)/ABS(AG$4)</f>
        <v>-0.32670281564917952</v>
      </c>
      <c r="AH42" s="897">
        <f>HLOOKUP(AH$2,LCI!$AS$1:$BW$40,$A42,FALSE)/ABS(AH$4)</f>
        <v>0</v>
      </c>
    </row>
    <row r="43" spans="1:34">
      <c r="B43" s="845"/>
      <c r="C43" s="855" t="s">
        <v>5762</v>
      </c>
      <c r="D43" s="865" t="s">
        <v>94</v>
      </c>
      <c r="E43" s="897">
        <f>SUMPRODUCT(E35:E41,$D$46:$D$52)/1000</f>
        <v>1.9971962682871804E-3</v>
      </c>
      <c r="F43" s="897">
        <f t="shared" ref="F43:AH43" si="1">SUMPRODUCT(F35:F41,$D$46:$D$52)/1000</f>
        <v>6.2962304121557478E-3</v>
      </c>
      <c r="G43" s="897">
        <f t="shared" si="1"/>
        <v>0</v>
      </c>
      <c r="H43" s="897">
        <f t="shared" si="1"/>
        <v>0</v>
      </c>
      <c r="I43" s="897">
        <f t="shared" si="1"/>
        <v>0.27780353896783333</v>
      </c>
      <c r="J43" s="897">
        <f t="shared" si="1"/>
        <v>0.27624211574042457</v>
      </c>
      <c r="K43" s="897">
        <f t="shared" si="1"/>
        <v>0.23385386771001251</v>
      </c>
      <c r="L43" s="897">
        <f t="shared" si="1"/>
        <v>0.2181012161618231</v>
      </c>
      <c r="M43" s="897">
        <f t="shared" si="1"/>
        <v>0</v>
      </c>
      <c r="N43" s="897">
        <f t="shared" si="1"/>
        <v>1.24206E-2</v>
      </c>
      <c r="O43" s="897">
        <f t="shared" si="1"/>
        <v>0</v>
      </c>
      <c r="P43" s="897">
        <f t="shared" si="1"/>
        <v>1.24206E-2</v>
      </c>
      <c r="Q43" s="897">
        <f t="shared" si="1"/>
        <v>2.2115406213291194E-2</v>
      </c>
      <c r="R43" s="897">
        <f t="shared" si="1"/>
        <v>3.7887199199683433E-2</v>
      </c>
      <c r="S43" s="897">
        <f t="shared" si="1"/>
        <v>0.26909060866424872</v>
      </c>
      <c r="T43" s="897">
        <f t="shared" si="1"/>
        <v>5.5695757976666663E-2</v>
      </c>
      <c r="U43" s="897">
        <f t="shared" si="1"/>
        <v>0.135625010561892</v>
      </c>
      <c r="V43" s="897">
        <f t="shared" si="1"/>
        <v>0</v>
      </c>
      <c r="W43" s="897">
        <f t="shared" si="1"/>
        <v>0.16130262445845336</v>
      </c>
      <c r="X43" s="897">
        <f t="shared" si="1"/>
        <v>0</v>
      </c>
      <c r="Y43" s="897">
        <f t="shared" si="1"/>
        <v>0</v>
      </c>
      <c r="Z43" s="897">
        <f t="shared" si="1"/>
        <v>0</v>
      </c>
      <c r="AA43" s="897">
        <f t="shared" si="1"/>
        <v>0.16130262445845336</v>
      </c>
      <c r="AB43" s="897">
        <f t="shared" si="1"/>
        <v>0</v>
      </c>
      <c r="AC43" s="897">
        <f t="shared" si="1"/>
        <v>0</v>
      </c>
      <c r="AD43" s="897">
        <f t="shared" si="1"/>
        <v>0</v>
      </c>
      <c r="AE43" s="897">
        <f t="shared" si="1"/>
        <v>0</v>
      </c>
      <c r="AF43" s="897">
        <f t="shared" si="1"/>
        <v>0</v>
      </c>
      <c r="AG43" s="897">
        <f t="shared" si="1"/>
        <v>0.21570436942330606</v>
      </c>
      <c r="AH43" s="897">
        <f t="shared" si="1"/>
        <v>0</v>
      </c>
    </row>
    <row r="44" spans="1:34">
      <c r="E44" s="892"/>
      <c r="F44" s="936"/>
      <c r="G44" s="892"/>
      <c r="H44" s="892"/>
      <c r="I44" s="892"/>
      <c r="J44" s="897"/>
      <c r="K44" s="892"/>
      <c r="L44" s="935"/>
      <c r="M44" s="892"/>
      <c r="N44" s="892"/>
      <c r="O44" s="892"/>
      <c r="P44" s="892"/>
      <c r="Q44" s="892"/>
      <c r="R44" s="892"/>
      <c r="S44" s="892"/>
      <c r="T44" s="892"/>
      <c r="U44" s="892"/>
      <c r="V44" s="892"/>
      <c r="W44" s="892"/>
      <c r="X44" s="892"/>
      <c r="Y44" s="892"/>
      <c r="Z44" s="892"/>
      <c r="AA44" s="892"/>
      <c r="AB44" s="892"/>
      <c r="AC44" s="892"/>
      <c r="AD44" s="892"/>
      <c r="AE44" s="892"/>
      <c r="AF44" s="892"/>
      <c r="AG44" s="892"/>
      <c r="AH44" s="892"/>
    </row>
    <row r="45" spans="1:34" ht="46.8">
      <c r="C45" s="1042" t="s">
        <v>5933</v>
      </c>
      <c r="D45" s="1042" t="s">
        <v>5932</v>
      </c>
      <c r="E45" s="897"/>
      <c r="F45" s="936"/>
      <c r="G45" s="892"/>
      <c r="H45" s="892"/>
      <c r="I45" s="892"/>
      <c r="J45" s="897"/>
      <c r="K45" s="892"/>
      <c r="L45" s="935"/>
      <c r="M45" s="892"/>
      <c r="N45" s="892"/>
      <c r="O45" s="892"/>
      <c r="P45" s="892"/>
      <c r="Q45" s="892"/>
      <c r="R45" s="892"/>
      <c r="S45" s="892"/>
      <c r="T45" s="892"/>
      <c r="U45" s="892"/>
      <c r="V45" s="892"/>
      <c r="W45" s="892"/>
      <c r="X45" s="892"/>
      <c r="Y45" s="892"/>
      <c r="Z45" s="892"/>
      <c r="AA45" s="892"/>
      <c r="AB45" s="892"/>
      <c r="AC45" s="892"/>
      <c r="AD45" s="892"/>
      <c r="AE45" s="892"/>
      <c r="AF45" s="892"/>
      <c r="AG45" s="892"/>
      <c r="AH45" s="892"/>
    </row>
    <row r="46" spans="1:34" ht="15.6">
      <c r="C46" s="1042" t="s">
        <v>87</v>
      </c>
      <c r="D46" s="974">
        <v>97.8</v>
      </c>
      <c r="E46" s="892"/>
      <c r="F46" s="936"/>
      <c r="G46" s="892"/>
      <c r="H46" s="892"/>
      <c r="I46" s="892"/>
      <c r="J46" s="897"/>
      <c r="K46" s="892"/>
      <c r="L46" s="935"/>
      <c r="M46" s="892"/>
      <c r="N46" s="892"/>
      <c r="O46" s="892"/>
      <c r="P46" s="892"/>
      <c r="Q46" s="892"/>
      <c r="R46" s="892"/>
      <c r="S46" s="892"/>
      <c r="T46" s="892"/>
      <c r="U46" s="892"/>
      <c r="V46" s="892"/>
      <c r="W46" s="892"/>
      <c r="X46" s="892"/>
      <c r="Y46" s="892"/>
      <c r="Z46" s="892"/>
      <c r="AA46" s="892"/>
      <c r="AB46" s="892"/>
      <c r="AC46" s="892"/>
      <c r="AD46" s="892"/>
      <c r="AE46" s="892"/>
      <c r="AF46" s="892"/>
      <c r="AG46" s="892"/>
      <c r="AH46" s="892"/>
    </row>
    <row r="47" spans="1:34" ht="15.6">
      <c r="C47" s="1042" t="s">
        <v>5338</v>
      </c>
      <c r="D47" s="974">
        <v>77.619866666666681</v>
      </c>
      <c r="E47" s="892"/>
      <c r="F47" s="936"/>
      <c r="G47" s="892"/>
      <c r="H47" s="892"/>
      <c r="I47" s="892"/>
      <c r="J47" s="897"/>
      <c r="K47" s="892"/>
      <c r="L47" s="935"/>
      <c r="M47" s="892"/>
      <c r="N47" s="892"/>
      <c r="O47" s="892"/>
      <c r="P47" s="892"/>
      <c r="Q47" s="892"/>
      <c r="R47" s="892"/>
      <c r="S47" s="892"/>
      <c r="T47" s="892"/>
      <c r="U47" s="892"/>
      <c r="V47" s="892"/>
      <c r="W47" s="892"/>
      <c r="X47" s="892"/>
      <c r="Y47" s="892"/>
      <c r="Z47" s="892"/>
      <c r="AA47" s="892"/>
      <c r="AB47" s="892"/>
      <c r="AC47" s="892"/>
      <c r="AD47" s="892"/>
      <c r="AE47" s="892"/>
      <c r="AF47" s="892"/>
      <c r="AG47" s="892"/>
      <c r="AH47" s="892"/>
    </row>
    <row r="48" spans="1:34" ht="15.6">
      <c r="C48" s="1042" t="s">
        <v>464</v>
      </c>
      <c r="D48" s="974">
        <v>74.31986666666667</v>
      </c>
      <c r="E48" s="892"/>
      <c r="F48" s="936"/>
      <c r="G48" s="892"/>
      <c r="H48" s="892"/>
      <c r="I48" s="892"/>
      <c r="J48" s="897"/>
      <c r="K48" s="892"/>
      <c r="L48" s="935"/>
      <c r="M48" s="892"/>
      <c r="N48" s="892"/>
      <c r="O48" s="892"/>
      <c r="P48" s="892"/>
      <c r="Q48" s="892"/>
      <c r="R48" s="892"/>
      <c r="S48" s="892"/>
      <c r="T48" s="892"/>
      <c r="U48" s="892"/>
      <c r="V48" s="892"/>
      <c r="W48" s="892"/>
      <c r="X48" s="892"/>
      <c r="Y48" s="892"/>
      <c r="Z48" s="892"/>
      <c r="AA48" s="892"/>
      <c r="AB48" s="892"/>
      <c r="AC48" s="892"/>
      <c r="AD48" s="892"/>
      <c r="AE48" s="892"/>
      <c r="AF48" s="892"/>
      <c r="AG48" s="892"/>
      <c r="AH48" s="892"/>
    </row>
    <row r="49" spans="3:34" ht="15.6">
      <c r="C49" s="1042" t="s">
        <v>84</v>
      </c>
      <c r="D49" s="974">
        <v>56.1571</v>
      </c>
      <c r="E49" s="892"/>
      <c r="F49" s="936"/>
      <c r="G49" s="892"/>
      <c r="H49" s="892"/>
      <c r="I49" s="892"/>
      <c r="J49" s="897"/>
      <c r="K49" s="892"/>
      <c r="L49" s="935"/>
      <c r="M49" s="892"/>
      <c r="N49" s="892"/>
      <c r="O49" s="892"/>
      <c r="P49" s="892"/>
      <c r="Q49" s="892"/>
      <c r="R49" s="892"/>
      <c r="S49" s="892"/>
      <c r="T49" s="892"/>
      <c r="U49" s="892"/>
      <c r="V49" s="892"/>
      <c r="W49" s="892"/>
      <c r="X49" s="892"/>
      <c r="Y49" s="892"/>
      <c r="Z49" s="892"/>
      <c r="AA49" s="892"/>
      <c r="AB49" s="892"/>
      <c r="AC49" s="892"/>
      <c r="AD49" s="892"/>
      <c r="AE49" s="892"/>
      <c r="AF49" s="892"/>
      <c r="AG49" s="892"/>
      <c r="AH49" s="892"/>
    </row>
    <row r="50" spans="3:34" ht="15.6">
      <c r="C50" s="1042" t="s">
        <v>85</v>
      </c>
      <c r="D50" s="974">
        <v>104</v>
      </c>
      <c r="E50" s="892"/>
      <c r="F50" s="936"/>
      <c r="G50" s="892"/>
      <c r="H50" s="892"/>
      <c r="I50" s="892"/>
      <c r="J50" s="897"/>
      <c r="K50" s="892"/>
      <c r="L50" s="897"/>
      <c r="M50" s="892"/>
      <c r="N50" s="897"/>
      <c r="O50" s="892"/>
      <c r="P50" s="897"/>
      <c r="Q50" s="892"/>
      <c r="R50" s="892"/>
      <c r="S50" s="892"/>
      <c r="T50" s="897"/>
      <c r="U50" s="892"/>
      <c r="V50" s="892"/>
      <c r="W50" s="892"/>
      <c r="X50" s="892"/>
      <c r="Y50" s="892"/>
      <c r="Z50" s="892"/>
      <c r="AA50" s="892"/>
      <c r="AB50" s="892"/>
      <c r="AC50" s="892"/>
      <c r="AD50" s="892"/>
      <c r="AE50" s="892"/>
      <c r="AF50" s="892"/>
      <c r="AG50" s="892"/>
      <c r="AH50" s="892"/>
    </row>
    <row r="51" spans="3:34" ht="15.6">
      <c r="C51" s="1042" t="s">
        <v>465</v>
      </c>
      <c r="D51" s="974">
        <v>0</v>
      </c>
      <c r="E51" s="892"/>
      <c r="F51" s="936"/>
      <c r="G51" s="892"/>
      <c r="H51" s="892"/>
      <c r="I51" s="892"/>
      <c r="J51" s="897"/>
      <c r="K51" s="892"/>
      <c r="L51" s="897"/>
      <c r="M51" s="892"/>
      <c r="N51" s="897"/>
      <c r="O51" s="892"/>
      <c r="P51" s="897"/>
      <c r="Q51" s="892"/>
      <c r="R51" s="892"/>
      <c r="S51" s="892"/>
      <c r="T51" s="897"/>
      <c r="U51" s="892"/>
      <c r="V51" s="892"/>
      <c r="W51" s="892"/>
      <c r="X51" s="892"/>
      <c r="Y51" s="892"/>
      <c r="Z51" s="892"/>
      <c r="AA51" s="892"/>
      <c r="AB51" s="892"/>
      <c r="AC51" s="892"/>
      <c r="AD51" s="892"/>
      <c r="AE51" s="892"/>
      <c r="AF51" s="892"/>
      <c r="AG51" s="892"/>
      <c r="AH51" s="892"/>
    </row>
    <row r="52" spans="3:34" ht="15.6">
      <c r="C52" s="1042" t="s">
        <v>5343</v>
      </c>
      <c r="D52" s="974">
        <v>63.1</v>
      </c>
      <c r="E52" s="892"/>
      <c r="F52" s="936"/>
      <c r="G52" s="892"/>
      <c r="H52" s="892"/>
      <c r="I52" s="892"/>
      <c r="J52" s="897"/>
      <c r="K52" s="892"/>
      <c r="L52" s="897"/>
      <c r="M52" s="892"/>
      <c r="N52" s="897"/>
      <c r="O52" s="892"/>
      <c r="P52" s="897"/>
      <c r="Q52" s="892"/>
      <c r="R52" s="892"/>
      <c r="S52" s="892"/>
      <c r="T52" s="897"/>
      <c r="U52" s="892"/>
      <c r="V52" s="892"/>
      <c r="W52" s="892"/>
      <c r="X52" s="892"/>
      <c r="Y52" s="892"/>
      <c r="Z52" s="892"/>
      <c r="AA52" s="892"/>
      <c r="AB52" s="892"/>
      <c r="AC52" s="892"/>
      <c r="AD52" s="892"/>
      <c r="AE52" s="892"/>
      <c r="AF52" s="892"/>
      <c r="AG52" s="892"/>
      <c r="AH52" s="892"/>
    </row>
    <row r="53" spans="3:34">
      <c r="E53" s="892"/>
      <c r="F53" s="936"/>
      <c r="G53" s="892"/>
      <c r="H53" s="892"/>
      <c r="I53" s="892"/>
      <c r="J53" s="897"/>
      <c r="K53" s="892"/>
      <c r="L53" s="897"/>
      <c r="M53" s="892"/>
      <c r="N53" s="897"/>
      <c r="O53" s="892"/>
      <c r="P53" s="897"/>
      <c r="Q53" s="892"/>
      <c r="R53" s="892"/>
      <c r="S53" s="892"/>
      <c r="T53" s="897"/>
      <c r="U53" s="892"/>
      <c r="V53" s="892"/>
      <c r="W53" s="892"/>
      <c r="X53" s="892"/>
      <c r="Y53" s="892"/>
      <c r="Z53" s="892"/>
      <c r="AA53" s="892"/>
      <c r="AB53" s="892"/>
      <c r="AC53" s="892"/>
      <c r="AD53" s="892"/>
      <c r="AE53" s="892"/>
      <c r="AF53" s="892"/>
      <c r="AG53" s="892"/>
      <c r="AH53" s="892"/>
    </row>
    <row r="54" spans="3:34">
      <c r="E54" s="892"/>
      <c r="F54" s="936"/>
      <c r="G54" s="892"/>
      <c r="H54" s="892"/>
      <c r="I54" s="892"/>
      <c r="J54" s="897"/>
      <c r="K54" s="892"/>
      <c r="L54" s="897"/>
      <c r="M54" s="892"/>
      <c r="N54" s="897"/>
      <c r="O54" s="892"/>
      <c r="P54" s="897"/>
      <c r="Q54" s="892"/>
      <c r="R54" s="892"/>
      <c r="S54" s="892"/>
      <c r="T54" s="897"/>
      <c r="U54" s="892"/>
      <c r="V54" s="892"/>
      <c r="W54" s="892"/>
      <c r="X54" s="892"/>
      <c r="Y54" s="892"/>
      <c r="Z54" s="892"/>
      <c r="AA54" s="892"/>
      <c r="AB54" s="892"/>
      <c r="AC54" s="892"/>
      <c r="AD54" s="892"/>
      <c r="AE54" s="892"/>
      <c r="AF54" s="892"/>
      <c r="AG54" s="892"/>
      <c r="AH54" s="892"/>
    </row>
    <row r="55" spans="3:34">
      <c r="E55" s="892"/>
      <c r="F55" s="936"/>
      <c r="G55" s="892"/>
      <c r="H55" s="892"/>
      <c r="I55" s="892"/>
      <c r="J55" s="897"/>
      <c r="K55" s="892"/>
      <c r="L55" s="897"/>
      <c r="M55" s="892"/>
      <c r="N55" s="897"/>
      <c r="O55" s="892"/>
      <c r="P55" s="897"/>
      <c r="Q55" s="892"/>
      <c r="R55" s="892"/>
      <c r="S55" s="892"/>
      <c r="T55" s="897"/>
      <c r="U55" s="892"/>
      <c r="V55" s="892"/>
      <c r="W55" s="892"/>
      <c r="X55" s="892"/>
      <c r="Y55" s="892"/>
      <c r="Z55" s="892"/>
      <c r="AA55" s="892"/>
      <c r="AB55" s="892"/>
      <c r="AC55" s="892"/>
      <c r="AD55" s="892"/>
      <c r="AE55" s="892"/>
      <c r="AF55" s="892"/>
      <c r="AG55" s="892"/>
      <c r="AH55" s="892"/>
    </row>
    <row r="56" spans="3:34">
      <c r="E56" s="892"/>
      <c r="F56" s="936"/>
      <c r="G56" s="892"/>
      <c r="H56" s="892"/>
      <c r="I56" s="892"/>
      <c r="J56" s="897"/>
      <c r="K56" s="892"/>
      <c r="L56" s="897"/>
      <c r="M56" s="892"/>
      <c r="N56" s="897"/>
      <c r="O56" s="892"/>
      <c r="P56" s="897"/>
      <c r="Q56" s="892"/>
      <c r="R56" s="892"/>
      <c r="S56" s="892"/>
      <c r="T56" s="897"/>
      <c r="U56" s="892"/>
      <c r="V56" s="892"/>
      <c r="W56" s="892"/>
      <c r="X56" s="892"/>
      <c r="Y56" s="892"/>
      <c r="Z56" s="892"/>
      <c r="AA56" s="892"/>
      <c r="AB56" s="892"/>
      <c r="AC56" s="892"/>
      <c r="AD56" s="892"/>
      <c r="AE56" s="892"/>
      <c r="AF56" s="892"/>
      <c r="AG56" s="892"/>
      <c r="AH56" s="892"/>
    </row>
    <row r="57" spans="3:34">
      <c r="E57" s="892"/>
      <c r="F57" s="892"/>
      <c r="G57" s="892"/>
      <c r="H57" s="892"/>
      <c r="I57" s="892"/>
      <c r="J57" s="892"/>
      <c r="K57" s="892"/>
      <c r="L57" s="892"/>
      <c r="M57" s="892"/>
      <c r="N57" s="892"/>
      <c r="O57" s="892"/>
      <c r="P57" s="892"/>
      <c r="Q57" s="892"/>
      <c r="R57" s="892"/>
      <c r="S57" s="892"/>
      <c r="T57" s="892"/>
      <c r="U57" s="892"/>
      <c r="V57" s="892"/>
      <c r="W57" s="892"/>
      <c r="X57" s="892"/>
      <c r="Y57" s="892"/>
      <c r="Z57" s="892"/>
      <c r="AA57" s="892"/>
      <c r="AB57" s="892"/>
      <c r="AC57" s="892"/>
      <c r="AD57" s="892"/>
      <c r="AE57" s="892"/>
      <c r="AF57" s="892"/>
      <c r="AG57" s="892"/>
      <c r="AH57" s="892"/>
    </row>
    <row r="58" spans="3:34">
      <c r="E58" s="892"/>
      <c r="F58" s="892"/>
      <c r="G58" s="892"/>
      <c r="H58" s="892"/>
      <c r="I58" s="892"/>
      <c r="J58" s="892"/>
      <c r="K58" s="892"/>
      <c r="L58" s="892"/>
      <c r="M58" s="892"/>
      <c r="N58" s="897"/>
      <c r="O58" s="892"/>
      <c r="P58" s="892"/>
      <c r="Q58" s="892"/>
      <c r="R58" s="892"/>
      <c r="S58" s="892"/>
      <c r="T58" s="892"/>
      <c r="U58" s="892"/>
      <c r="V58" s="892"/>
      <c r="W58" s="892"/>
      <c r="X58" s="892"/>
      <c r="Y58" s="892"/>
      <c r="Z58" s="892"/>
      <c r="AA58" s="892"/>
      <c r="AB58" s="892"/>
      <c r="AC58" s="892"/>
      <c r="AD58" s="892"/>
      <c r="AE58" s="892"/>
      <c r="AF58" s="892"/>
      <c r="AG58" s="892"/>
      <c r="AH58" s="892"/>
    </row>
    <row r="59" spans="3:34">
      <c r="E59" s="892"/>
      <c r="F59" s="892"/>
      <c r="G59" s="892"/>
      <c r="H59" s="892"/>
      <c r="I59" s="892"/>
      <c r="J59" s="892"/>
      <c r="K59" s="892"/>
      <c r="L59" s="892"/>
      <c r="M59" s="892"/>
      <c r="N59" s="897"/>
      <c r="O59" s="892"/>
      <c r="P59" s="892"/>
      <c r="Q59" s="892"/>
      <c r="R59" s="892"/>
      <c r="S59" s="892"/>
      <c r="T59" s="892"/>
      <c r="U59" s="892"/>
      <c r="V59" s="892"/>
      <c r="W59" s="892"/>
      <c r="X59" s="892"/>
      <c r="Y59" s="892"/>
      <c r="Z59" s="892"/>
      <c r="AA59" s="892"/>
      <c r="AB59" s="892"/>
      <c r="AC59" s="892"/>
      <c r="AD59" s="892"/>
      <c r="AE59" s="892"/>
      <c r="AF59" s="892"/>
      <c r="AG59" s="892"/>
      <c r="AH59" s="892"/>
    </row>
    <row r="60" spans="3:34">
      <c r="E60" s="892"/>
      <c r="F60" s="892"/>
      <c r="G60" s="892"/>
      <c r="H60" s="892"/>
      <c r="I60" s="892"/>
      <c r="J60" s="892"/>
      <c r="K60" s="892"/>
      <c r="L60" s="892"/>
      <c r="M60" s="892"/>
      <c r="N60" s="897"/>
      <c r="O60" s="892"/>
      <c r="P60" s="892"/>
      <c r="Q60" s="892"/>
      <c r="R60" s="892"/>
      <c r="S60" s="892"/>
      <c r="T60" s="892"/>
      <c r="U60" s="892"/>
      <c r="V60" s="892"/>
      <c r="W60" s="892"/>
      <c r="X60" s="892"/>
      <c r="Y60" s="892"/>
      <c r="Z60" s="892"/>
      <c r="AA60" s="892"/>
      <c r="AB60" s="892"/>
      <c r="AC60" s="892"/>
      <c r="AD60" s="892"/>
      <c r="AE60" s="892"/>
      <c r="AF60" s="892"/>
      <c r="AG60" s="892"/>
      <c r="AH60" s="892"/>
    </row>
    <row r="61" spans="3:34">
      <c r="E61" s="892"/>
      <c r="F61" s="892"/>
      <c r="G61" s="892"/>
      <c r="H61" s="892"/>
      <c r="I61" s="892"/>
      <c r="J61" s="892"/>
      <c r="K61" s="892"/>
      <c r="L61" s="892"/>
      <c r="M61" s="892"/>
      <c r="N61" s="897"/>
      <c r="O61" s="892"/>
      <c r="P61" s="892"/>
      <c r="Q61" s="892"/>
      <c r="R61" s="892"/>
      <c r="S61" s="892"/>
      <c r="T61" s="892"/>
      <c r="U61" s="892"/>
      <c r="V61" s="892"/>
      <c r="W61" s="892"/>
      <c r="X61" s="892"/>
      <c r="Y61" s="892"/>
      <c r="Z61" s="892"/>
      <c r="AA61" s="892"/>
      <c r="AB61" s="892"/>
      <c r="AC61" s="892"/>
      <c r="AD61" s="892"/>
      <c r="AE61" s="892"/>
      <c r="AF61" s="892"/>
      <c r="AG61" s="892"/>
      <c r="AH61" s="892"/>
    </row>
    <row r="62" spans="3:34">
      <c r="E62" s="892"/>
      <c r="F62" s="892"/>
      <c r="G62" s="892"/>
      <c r="H62" s="892"/>
      <c r="I62" s="892"/>
      <c r="J62" s="892"/>
      <c r="K62" s="892"/>
      <c r="L62" s="892"/>
      <c r="M62" s="892"/>
      <c r="N62" s="897"/>
      <c r="O62" s="892"/>
      <c r="P62" s="892"/>
      <c r="Q62" s="892"/>
      <c r="R62" s="892"/>
      <c r="S62" s="892"/>
      <c r="T62" s="892"/>
      <c r="U62" s="892"/>
      <c r="V62" s="892"/>
      <c r="W62" s="892"/>
      <c r="X62" s="892"/>
      <c r="Y62" s="892"/>
      <c r="Z62" s="892"/>
      <c r="AA62" s="892"/>
      <c r="AB62" s="892"/>
      <c r="AC62" s="892"/>
      <c r="AD62" s="892"/>
      <c r="AE62" s="892"/>
      <c r="AF62" s="892"/>
      <c r="AG62" s="892"/>
      <c r="AH62" s="892"/>
    </row>
    <row r="63" spans="3:34">
      <c r="E63" s="892"/>
      <c r="F63" s="892"/>
      <c r="G63" s="892"/>
      <c r="H63" s="892"/>
      <c r="I63" s="892"/>
      <c r="J63" s="892"/>
      <c r="K63" s="892"/>
      <c r="L63" s="892"/>
      <c r="M63" s="892"/>
      <c r="N63" s="897"/>
      <c r="O63" s="892"/>
      <c r="P63" s="892"/>
      <c r="Q63" s="892"/>
      <c r="R63" s="892"/>
      <c r="S63" s="892"/>
      <c r="T63" s="892"/>
      <c r="U63" s="892"/>
      <c r="V63" s="892"/>
      <c r="W63" s="892"/>
      <c r="X63" s="892"/>
      <c r="Y63" s="892"/>
      <c r="Z63" s="892"/>
      <c r="AA63" s="892"/>
      <c r="AB63" s="892"/>
      <c r="AC63" s="892"/>
      <c r="AD63" s="892"/>
      <c r="AE63" s="892"/>
      <c r="AF63" s="892"/>
      <c r="AG63" s="892"/>
      <c r="AH63" s="892"/>
    </row>
    <row r="64" spans="3:34">
      <c r="E64" s="892"/>
      <c r="F64" s="892"/>
      <c r="G64" s="892"/>
      <c r="H64" s="892"/>
      <c r="I64" s="892"/>
      <c r="J64" s="892"/>
      <c r="K64" s="892"/>
      <c r="L64" s="892"/>
      <c r="M64" s="892"/>
      <c r="N64" s="897"/>
      <c r="O64" s="892"/>
      <c r="P64" s="892"/>
      <c r="Q64" s="892"/>
      <c r="R64" s="892"/>
      <c r="S64" s="892"/>
      <c r="T64" s="892"/>
      <c r="U64" s="892"/>
      <c r="V64" s="892"/>
      <c r="W64" s="892"/>
      <c r="X64" s="892"/>
      <c r="Y64" s="892"/>
      <c r="Z64" s="892"/>
      <c r="AA64" s="892"/>
      <c r="AB64" s="892"/>
      <c r="AC64" s="892"/>
      <c r="AD64" s="892"/>
      <c r="AE64" s="892"/>
      <c r="AF64" s="892"/>
      <c r="AG64" s="892"/>
      <c r="AH64" s="892"/>
    </row>
    <row r="65" spans="5:34">
      <c r="E65" s="892"/>
      <c r="F65" s="892"/>
      <c r="G65" s="892"/>
      <c r="H65" s="892"/>
      <c r="I65" s="892"/>
      <c r="J65" s="892"/>
      <c r="K65" s="892"/>
      <c r="L65" s="892"/>
      <c r="M65" s="892"/>
      <c r="N65" s="897"/>
      <c r="O65" s="892"/>
      <c r="P65" s="892"/>
      <c r="Q65" s="892"/>
      <c r="R65" s="892"/>
      <c r="S65" s="892"/>
      <c r="T65" s="892"/>
      <c r="U65" s="892"/>
      <c r="V65" s="892"/>
      <c r="W65" s="892"/>
      <c r="X65" s="892"/>
      <c r="Y65" s="892"/>
      <c r="Z65" s="892"/>
      <c r="AA65" s="892"/>
      <c r="AB65" s="892"/>
      <c r="AC65" s="892"/>
      <c r="AD65" s="892"/>
      <c r="AE65" s="892"/>
      <c r="AF65" s="892"/>
      <c r="AG65" s="892"/>
      <c r="AH65" s="892"/>
    </row>
    <row r="66" spans="5:34">
      <c r="E66" s="892"/>
      <c r="F66" s="892"/>
      <c r="G66" s="892"/>
      <c r="H66" s="892"/>
      <c r="I66" s="892"/>
      <c r="J66" s="892"/>
      <c r="K66" s="892"/>
      <c r="L66" s="892"/>
      <c r="M66" s="892"/>
      <c r="N66" s="897"/>
      <c r="O66" s="892"/>
      <c r="P66" s="892"/>
      <c r="Q66" s="892"/>
      <c r="R66" s="892"/>
      <c r="S66" s="892"/>
      <c r="T66" s="892"/>
      <c r="U66" s="892"/>
      <c r="V66" s="892"/>
      <c r="W66" s="892"/>
      <c r="X66" s="892"/>
      <c r="Y66" s="892"/>
      <c r="Z66" s="892"/>
      <c r="AA66" s="892"/>
      <c r="AB66" s="892"/>
      <c r="AC66" s="892"/>
      <c r="AD66" s="892"/>
      <c r="AE66" s="892"/>
      <c r="AF66" s="892"/>
      <c r="AG66" s="892"/>
      <c r="AH66" s="892"/>
    </row>
    <row r="67" spans="5:34">
      <c r="N67" s="897"/>
    </row>
  </sheetData>
  <conditionalFormatting sqref="E6:AH42">
    <cfRule type="cellIs" dxfId="18" priority="1" operator="equal">
      <formula>0</formula>
    </cfRule>
  </conditionalFormatting>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ED4FB-1255-49B3-A2C9-ABC751E381A1}">
  <sheetPr>
    <tabColor theme="9"/>
  </sheetPr>
  <dimension ref="A2:R284"/>
  <sheetViews>
    <sheetView showGridLines="0" topLeftCell="D2" zoomScale="70" zoomScaleNormal="70" workbookViewId="0">
      <pane xSplit="1" ySplit="1" topLeftCell="E3" activePane="bottomRight" state="frozen"/>
      <selection activeCell="D2" sqref="D2"/>
      <selection pane="topRight" activeCell="E2" sqref="E2"/>
      <selection pane="bottomLeft" activeCell="D3" sqref="D3"/>
      <selection pane="bottomRight" activeCell="E243" sqref="E243:J243"/>
    </sheetView>
  </sheetViews>
  <sheetFormatPr defaultRowHeight="14.4"/>
  <cols>
    <col min="1" max="1" width="8.88671875" customWidth="1"/>
    <col min="2" max="2" width="19.6640625" customWidth="1"/>
    <col min="4" max="4" width="13.6640625" customWidth="1"/>
    <col min="11" max="11" width="48" customWidth="1"/>
    <col min="12" max="12" width="8.6640625" bestFit="1" customWidth="1"/>
    <col min="13" max="13" width="9.109375" customWidth="1"/>
    <col min="14" max="14" width="39" customWidth="1"/>
    <col min="15" max="15" width="16.6640625" customWidth="1"/>
    <col min="16" max="16" width="16.6640625" style="635" customWidth="1"/>
    <col min="17" max="17" width="39.44140625" bestFit="1" customWidth="1"/>
    <col min="18" max="18" width="55.21875" bestFit="1" customWidth="1"/>
  </cols>
  <sheetData>
    <row r="2" spans="1:18" ht="18">
      <c r="D2" s="842" t="s">
        <v>5601</v>
      </c>
      <c r="E2" s="1126" t="s">
        <v>5602</v>
      </c>
      <c r="F2" s="1127"/>
      <c r="G2" s="1127"/>
      <c r="H2" s="1127"/>
      <c r="I2" s="1127"/>
      <c r="J2" s="1127"/>
      <c r="K2" s="1127"/>
      <c r="L2" s="1127"/>
      <c r="M2" s="1127"/>
      <c r="N2" s="1127"/>
      <c r="O2" s="1059" t="s">
        <v>5603</v>
      </c>
      <c r="P2" s="1060"/>
      <c r="Q2" s="1060"/>
      <c r="R2" s="1060"/>
    </row>
    <row r="3" spans="1:18">
      <c r="A3" t="str">
        <f>CONCATENATE(B3,C3)</f>
        <v>Mineração da bauxita</v>
      </c>
      <c r="B3" t="str">
        <f>IF(D3=0,B2,D3)</f>
        <v>Mineração da bauxita</v>
      </c>
      <c r="D3" s="1128" t="s">
        <v>5604</v>
      </c>
      <c r="E3" s="1068" t="s">
        <v>5605</v>
      </c>
      <c r="F3" s="1069"/>
      <c r="G3" s="1069"/>
      <c r="H3" s="1069"/>
      <c r="I3" s="1069"/>
      <c r="J3" s="1069"/>
      <c r="K3" s="1037" t="s">
        <v>5606</v>
      </c>
      <c r="L3" s="1037" t="s">
        <v>5607</v>
      </c>
      <c r="M3" s="1069" t="s">
        <v>5608</v>
      </c>
      <c r="N3" s="1070"/>
      <c r="O3" s="1037" t="s">
        <v>5606</v>
      </c>
      <c r="P3" s="1038" t="s">
        <v>5607</v>
      </c>
      <c r="Q3" s="1035" t="s">
        <v>5220</v>
      </c>
      <c r="R3" s="1035" t="s">
        <v>5931</v>
      </c>
    </row>
    <row r="4" spans="1:18">
      <c r="A4" t="str">
        <f t="shared" ref="A4:A71" si="0">CONCATENATE(B4,C4)</f>
        <v>Mineração da bauxitaBauxite</v>
      </c>
      <c r="B4" t="str">
        <f t="shared" ref="B4:B71" si="1">IF(D4=0,B3,D4)</f>
        <v>Mineração da bauxita</v>
      </c>
      <c r="C4" t="s">
        <v>482</v>
      </c>
      <c r="D4" s="1129"/>
      <c r="E4" s="1113" t="s">
        <v>5609</v>
      </c>
      <c r="F4" s="1114"/>
      <c r="G4" s="1114"/>
      <c r="H4" s="1114"/>
      <c r="I4" s="1114"/>
      <c r="J4" s="1114"/>
      <c r="K4" s="808">
        <v>1</v>
      </c>
      <c r="L4" s="808" t="s">
        <v>94</v>
      </c>
      <c r="M4" s="1116" t="s">
        <v>5610</v>
      </c>
      <c r="N4" s="1130"/>
      <c r="O4" s="808">
        <v>1</v>
      </c>
      <c r="P4" s="812" t="s">
        <v>94</v>
      </c>
      <c r="Q4" s="810"/>
      <c r="R4" s="810"/>
    </row>
    <row r="5" spans="1:18">
      <c r="A5" t="str">
        <f t="shared" si="0"/>
        <v>Mineração da bauxita</v>
      </c>
      <c r="B5" t="str">
        <f t="shared" si="1"/>
        <v>Mineração da bauxita</v>
      </c>
      <c r="D5" s="1129"/>
      <c r="E5" s="1091" t="s">
        <v>5611</v>
      </c>
      <c r="F5" s="1101"/>
      <c r="G5" s="1101"/>
      <c r="H5" s="1101"/>
      <c r="I5" s="1101"/>
      <c r="J5" s="1101"/>
      <c r="K5" s="811" t="s">
        <v>5606</v>
      </c>
      <c r="L5" s="811" t="s">
        <v>5607</v>
      </c>
      <c r="M5" s="1101" t="s">
        <v>5220</v>
      </c>
      <c r="N5" s="1092"/>
      <c r="O5" s="805" t="s">
        <v>5606</v>
      </c>
      <c r="P5" s="806" t="s">
        <v>5607</v>
      </c>
      <c r="Q5" s="807" t="s">
        <v>5220</v>
      </c>
      <c r="R5" s="807" t="s">
        <v>5931</v>
      </c>
    </row>
    <row r="6" spans="1:18">
      <c r="A6" t="str">
        <f t="shared" si="0"/>
        <v>Mineração da bauxita</v>
      </c>
      <c r="B6" t="str">
        <f t="shared" si="1"/>
        <v>Mineração da bauxita</v>
      </c>
      <c r="D6" s="1129"/>
      <c r="E6" s="1064" t="s">
        <v>711</v>
      </c>
      <c r="F6" s="1064"/>
      <c r="G6" s="1064"/>
      <c r="H6" s="1064"/>
      <c r="I6" s="1064"/>
      <c r="J6" s="1064"/>
      <c r="K6" s="812">
        <v>0.21261516654854701</v>
      </c>
      <c r="L6" s="812" t="s">
        <v>94</v>
      </c>
      <c r="M6" s="1104" t="s">
        <v>5612</v>
      </c>
      <c r="N6" s="1105"/>
      <c r="O6" s="815">
        <f>K6/$K$4*$O$4</f>
        <v>0.21261516654854701</v>
      </c>
      <c r="P6" s="817" t="s">
        <v>94</v>
      </c>
      <c r="Q6" s="810" t="s">
        <v>150</v>
      </c>
      <c r="R6" s="816"/>
    </row>
    <row r="7" spans="1:18">
      <c r="A7" t="str">
        <f t="shared" si="0"/>
        <v>Mineração da bauxita</v>
      </c>
      <c r="B7" t="str">
        <f t="shared" si="1"/>
        <v>Mineração da bauxita</v>
      </c>
      <c r="D7" s="1129"/>
      <c r="E7" s="1077" t="s">
        <v>5613</v>
      </c>
      <c r="F7" s="1077"/>
      <c r="G7" s="1077"/>
      <c r="H7" s="1077"/>
      <c r="I7" s="1077"/>
      <c r="J7" s="1077"/>
      <c r="K7" s="817">
        <v>6.6000000000000005E-5</v>
      </c>
      <c r="L7" s="817" t="s">
        <v>94</v>
      </c>
      <c r="M7" s="1098" t="s">
        <v>5612</v>
      </c>
      <c r="N7" s="1099"/>
      <c r="O7" s="815">
        <f t="shared" ref="O7:O19" si="2">K7/$K$4*$O$4</f>
        <v>6.6000000000000005E-5</v>
      </c>
      <c r="P7" s="817" t="s">
        <v>94</v>
      </c>
      <c r="Q7" s="810" t="s">
        <v>150</v>
      </c>
      <c r="R7" s="816"/>
    </row>
    <row r="8" spans="1:18">
      <c r="A8" t="str">
        <f t="shared" si="0"/>
        <v>Mineração da bauxita</v>
      </c>
      <c r="B8" t="str">
        <f t="shared" si="1"/>
        <v>Mineração da bauxita</v>
      </c>
      <c r="D8" s="1129"/>
      <c r="E8" s="1077" t="s">
        <v>5614</v>
      </c>
      <c r="F8" s="1077"/>
      <c r="G8" s="1077"/>
      <c r="H8" s="1077"/>
      <c r="I8" s="1077"/>
      <c r="J8" s="1077"/>
      <c r="K8" s="817">
        <v>2.2583168561948299</v>
      </c>
      <c r="L8" s="817" t="s">
        <v>94</v>
      </c>
      <c r="M8" s="1098" t="s">
        <v>5612</v>
      </c>
      <c r="N8" s="1099"/>
      <c r="O8" s="815">
        <f t="shared" si="2"/>
        <v>2.2583168561948299</v>
      </c>
      <c r="P8" s="817" t="s">
        <v>94</v>
      </c>
      <c r="Q8" s="810" t="s">
        <v>150</v>
      </c>
      <c r="R8" s="816"/>
    </row>
    <row r="9" spans="1:18">
      <c r="A9" t="str">
        <f t="shared" si="0"/>
        <v>Mineração da bauxita</v>
      </c>
      <c r="B9" t="str">
        <f t="shared" si="1"/>
        <v>Mineração da bauxita</v>
      </c>
      <c r="D9" s="1129"/>
      <c r="E9" s="1077" t="s">
        <v>638</v>
      </c>
      <c r="F9" s="1077"/>
      <c r="G9" s="1077"/>
      <c r="H9" s="1077"/>
      <c r="I9" s="1077"/>
      <c r="J9" s="1077"/>
      <c r="K9" s="817">
        <v>5.0000000000000001E-4</v>
      </c>
      <c r="L9" s="817" t="s">
        <v>640</v>
      </c>
      <c r="M9" s="1098" t="s">
        <v>5615</v>
      </c>
      <c r="N9" s="1099"/>
      <c r="O9" s="815">
        <f t="shared" si="2"/>
        <v>5.0000000000000001E-4</v>
      </c>
      <c r="P9" s="817" t="s">
        <v>640</v>
      </c>
      <c r="Q9" s="810" t="s">
        <v>150</v>
      </c>
      <c r="R9" s="816"/>
    </row>
    <row r="10" spans="1:18">
      <c r="A10" t="str">
        <f t="shared" si="0"/>
        <v>Mineração da bauxita</v>
      </c>
      <c r="B10" t="str">
        <f t="shared" si="1"/>
        <v>Mineração da bauxita</v>
      </c>
      <c r="D10" s="1129"/>
      <c r="E10" s="1077" t="s">
        <v>620</v>
      </c>
      <c r="F10" s="1077"/>
      <c r="G10" s="1077"/>
      <c r="H10" s="1077"/>
      <c r="I10" s="1077"/>
      <c r="J10" s="1077"/>
      <c r="K10" s="817">
        <v>3.6559999999999999E-7</v>
      </c>
      <c r="L10" s="817" t="s">
        <v>5616</v>
      </c>
      <c r="M10" s="1098" t="s">
        <v>5617</v>
      </c>
      <c r="N10" s="1099"/>
      <c r="O10" s="815">
        <f t="shared" si="2"/>
        <v>3.6559999999999999E-7</v>
      </c>
      <c r="P10" s="817" t="s">
        <v>5616</v>
      </c>
      <c r="Q10" s="810" t="s">
        <v>150</v>
      </c>
      <c r="R10" s="816"/>
    </row>
    <row r="11" spans="1:18">
      <c r="A11" t="str">
        <f t="shared" si="0"/>
        <v>Mineração da bauxita</v>
      </c>
      <c r="B11" t="str">
        <f t="shared" si="1"/>
        <v>Mineração da bauxita</v>
      </c>
      <c r="D11" s="1129"/>
      <c r="E11" s="1077" t="s">
        <v>629</v>
      </c>
      <c r="F11" s="1077"/>
      <c r="G11" s="1077"/>
      <c r="H11" s="1077"/>
      <c r="I11" s="1077"/>
      <c r="J11" s="1077"/>
      <c r="K11" s="817">
        <v>1.34E-4</v>
      </c>
      <c r="L11" s="817" t="s">
        <v>626</v>
      </c>
      <c r="M11" s="1098" t="s">
        <v>5617</v>
      </c>
      <c r="N11" s="1099"/>
      <c r="O11" s="815">
        <f t="shared" si="2"/>
        <v>1.34E-4</v>
      </c>
      <c r="P11" s="817" t="s">
        <v>626</v>
      </c>
      <c r="Q11" s="810" t="s">
        <v>150</v>
      </c>
      <c r="R11" s="816"/>
    </row>
    <row r="12" spans="1:18">
      <c r="A12" t="str">
        <f t="shared" si="0"/>
        <v>Mineração da bauxita</v>
      </c>
      <c r="B12" t="str">
        <f t="shared" si="1"/>
        <v>Mineração da bauxita</v>
      </c>
      <c r="D12" s="1129"/>
      <c r="E12" s="1077" t="s">
        <v>631</v>
      </c>
      <c r="F12" s="1077"/>
      <c r="G12" s="1077"/>
      <c r="H12" s="1077"/>
      <c r="I12" s="1077"/>
      <c r="J12" s="1077"/>
      <c r="K12" s="817">
        <v>4.2599999999999999E-5</v>
      </c>
      <c r="L12" s="817" t="s">
        <v>626</v>
      </c>
      <c r="M12" s="1098" t="s">
        <v>5617</v>
      </c>
      <c r="N12" s="1099"/>
      <c r="O12" s="815">
        <f t="shared" si="2"/>
        <v>4.2599999999999999E-5</v>
      </c>
      <c r="P12" s="817" t="s">
        <v>626</v>
      </c>
      <c r="Q12" s="810" t="s">
        <v>150</v>
      </c>
      <c r="R12" s="816"/>
    </row>
    <row r="13" spans="1:18">
      <c r="A13" t="str">
        <f t="shared" si="0"/>
        <v>Mineração da bauxita</v>
      </c>
      <c r="B13" t="str">
        <f t="shared" si="1"/>
        <v>Mineração da bauxita</v>
      </c>
      <c r="D13" s="1129"/>
      <c r="E13" s="1077" t="s">
        <v>632</v>
      </c>
      <c r="F13" s="1077"/>
      <c r="G13" s="1077"/>
      <c r="H13" s="1077"/>
      <c r="I13" s="1077"/>
      <c r="J13" s="1077"/>
      <c r="K13" s="817">
        <v>3.3399999999999999E-5</v>
      </c>
      <c r="L13" s="817" t="s">
        <v>626</v>
      </c>
      <c r="M13" s="1098" t="s">
        <v>5617</v>
      </c>
      <c r="N13" s="1099"/>
      <c r="O13" s="815">
        <f t="shared" si="2"/>
        <v>3.3399999999999999E-5</v>
      </c>
      <c r="P13" s="817" t="s">
        <v>626</v>
      </c>
      <c r="Q13" s="810" t="s">
        <v>150</v>
      </c>
      <c r="R13" s="816"/>
    </row>
    <row r="14" spans="1:18">
      <c r="A14" t="str">
        <f t="shared" si="0"/>
        <v>Mineração da bauxita</v>
      </c>
      <c r="B14" t="str">
        <f t="shared" si="1"/>
        <v>Mineração da bauxita</v>
      </c>
      <c r="D14" s="1129"/>
      <c r="E14" s="1077" t="s">
        <v>633</v>
      </c>
      <c r="F14" s="1077"/>
      <c r="G14" s="1077"/>
      <c r="H14" s="1077"/>
      <c r="I14" s="1077"/>
      <c r="J14" s="1077"/>
      <c r="K14" s="817">
        <v>1.6E-7</v>
      </c>
      <c r="L14" s="817" t="s">
        <v>626</v>
      </c>
      <c r="M14" s="1098" t="s">
        <v>5617</v>
      </c>
      <c r="N14" s="1099"/>
      <c r="O14" s="815">
        <f t="shared" si="2"/>
        <v>1.6E-7</v>
      </c>
      <c r="P14" s="817" t="s">
        <v>626</v>
      </c>
      <c r="Q14" s="810" t="s">
        <v>150</v>
      </c>
      <c r="R14" s="816"/>
    </row>
    <row r="15" spans="1:18">
      <c r="A15" t="str">
        <f t="shared" si="0"/>
        <v>Mineração da bauxita</v>
      </c>
      <c r="B15" t="str">
        <f t="shared" si="1"/>
        <v>Mineração da bauxita</v>
      </c>
      <c r="D15" s="1129"/>
      <c r="E15" s="1077" t="s">
        <v>636</v>
      </c>
      <c r="F15" s="1077"/>
      <c r="G15" s="1077"/>
      <c r="H15" s="1077"/>
      <c r="I15" s="1077"/>
      <c r="J15" s="1077"/>
      <c r="K15" s="820">
        <v>2.1000000000000001E-4</v>
      </c>
      <c r="L15" s="820" t="s">
        <v>626</v>
      </c>
      <c r="M15" s="1102" t="s">
        <v>5617</v>
      </c>
      <c r="N15" s="1103"/>
      <c r="O15" s="815">
        <f t="shared" si="2"/>
        <v>2.1000000000000001E-4</v>
      </c>
      <c r="P15" s="817" t="s">
        <v>626</v>
      </c>
      <c r="Q15" s="810" t="s">
        <v>150</v>
      </c>
      <c r="R15" s="816"/>
    </row>
    <row r="16" spans="1:18">
      <c r="A16" t="str">
        <f t="shared" si="0"/>
        <v>Mineração da bauxita</v>
      </c>
      <c r="B16" t="str">
        <f t="shared" si="1"/>
        <v>Mineração da bauxita</v>
      </c>
      <c r="D16" s="1129"/>
      <c r="E16" s="1097" t="s">
        <v>5618</v>
      </c>
      <c r="F16" s="1097"/>
      <c r="G16" s="1097"/>
      <c r="H16" s="1097"/>
      <c r="I16" s="1097"/>
      <c r="J16" s="1091"/>
      <c r="K16" s="811" t="s">
        <v>5606</v>
      </c>
      <c r="L16" s="811" t="s">
        <v>5607</v>
      </c>
      <c r="M16" s="1101" t="s">
        <v>5220</v>
      </c>
      <c r="N16" s="1092"/>
      <c r="O16" s="805" t="s">
        <v>5606</v>
      </c>
      <c r="P16" s="806" t="s">
        <v>5607</v>
      </c>
      <c r="Q16" s="807" t="s">
        <v>5220</v>
      </c>
      <c r="R16" s="807" t="s">
        <v>5931</v>
      </c>
    </row>
    <row r="17" spans="1:18">
      <c r="A17" t="str">
        <f t="shared" si="0"/>
        <v>Mineração da bauxita</v>
      </c>
      <c r="B17" t="str">
        <f t="shared" si="1"/>
        <v>Mineração da bauxita</v>
      </c>
      <c r="D17" s="1129"/>
      <c r="E17" s="1064" t="s">
        <v>5619</v>
      </c>
      <c r="F17" s="1064"/>
      <c r="G17" s="1064"/>
      <c r="H17" s="1064"/>
      <c r="I17" s="1064"/>
      <c r="J17" s="1064"/>
      <c r="K17" s="813">
        <v>1.95E-4</v>
      </c>
      <c r="L17" s="813" t="s">
        <v>94</v>
      </c>
      <c r="M17" s="1104"/>
      <c r="N17" s="1105"/>
      <c r="O17" s="815">
        <f t="shared" si="2"/>
        <v>1.95E-4</v>
      </c>
      <c r="P17" s="817" t="s">
        <v>94</v>
      </c>
      <c r="Q17" s="816" t="s">
        <v>150</v>
      </c>
      <c r="R17" s="816"/>
    </row>
    <row r="18" spans="1:18">
      <c r="A18" t="str">
        <f t="shared" si="0"/>
        <v>Mineração da bauxita</v>
      </c>
      <c r="B18" t="str">
        <f t="shared" si="1"/>
        <v>Mineração da bauxita</v>
      </c>
      <c r="D18" s="1129"/>
      <c r="E18" s="1077" t="s">
        <v>5620</v>
      </c>
      <c r="F18" s="1077"/>
      <c r="G18" s="1077"/>
      <c r="H18" s="1077"/>
      <c r="I18" s="1077"/>
      <c r="J18" s="1077"/>
      <c r="K18" s="818">
        <v>5.0000000000000002E-11</v>
      </c>
      <c r="L18" s="818" t="s">
        <v>5621</v>
      </c>
      <c r="M18" s="1098"/>
      <c r="N18" s="1099"/>
      <c r="O18" s="815">
        <f t="shared" si="2"/>
        <v>5.0000000000000002E-11</v>
      </c>
      <c r="P18" s="817" t="s">
        <v>5621</v>
      </c>
      <c r="Q18" s="816" t="s">
        <v>150</v>
      </c>
      <c r="R18" s="816"/>
    </row>
    <row r="19" spans="1:18">
      <c r="A19" t="str">
        <f t="shared" si="0"/>
        <v>Mineração da bauxita</v>
      </c>
      <c r="B19" t="str">
        <f t="shared" si="1"/>
        <v>Mineração da bauxita</v>
      </c>
      <c r="D19" s="1129"/>
      <c r="E19" s="1077" t="s">
        <v>5622</v>
      </c>
      <c r="F19" s="1077"/>
      <c r="G19" s="1077"/>
      <c r="H19" s="1077"/>
      <c r="I19" s="1077"/>
      <c r="J19" s="1077"/>
      <c r="K19" s="821">
        <v>1.93E-4</v>
      </c>
      <c r="L19" s="821" t="s">
        <v>626</v>
      </c>
      <c r="M19" s="1102"/>
      <c r="N19" s="1103"/>
      <c r="O19" s="815">
        <f t="shared" si="2"/>
        <v>1.93E-4</v>
      </c>
      <c r="P19" s="817" t="s">
        <v>626</v>
      </c>
      <c r="Q19" s="816" t="s">
        <v>150</v>
      </c>
      <c r="R19" s="816"/>
    </row>
    <row r="20" spans="1:18">
      <c r="A20" t="str">
        <f t="shared" si="0"/>
        <v>Mineração da bauxita</v>
      </c>
      <c r="B20" t="str">
        <f t="shared" si="1"/>
        <v>Mineração da bauxita</v>
      </c>
      <c r="D20" s="1129"/>
      <c r="E20" s="1097" t="s">
        <v>5623</v>
      </c>
      <c r="F20" s="1097"/>
      <c r="G20" s="1097"/>
      <c r="H20" s="1097"/>
      <c r="I20" s="1097"/>
      <c r="J20" s="1091"/>
      <c r="K20" s="811" t="s">
        <v>5606</v>
      </c>
      <c r="L20" s="811" t="s">
        <v>5607</v>
      </c>
      <c r="M20" s="1101" t="s">
        <v>5220</v>
      </c>
      <c r="N20" s="1092"/>
      <c r="O20" s="805" t="s">
        <v>5606</v>
      </c>
      <c r="P20" s="806" t="s">
        <v>5607</v>
      </c>
      <c r="Q20" s="807" t="s">
        <v>5220</v>
      </c>
      <c r="R20" s="807" t="s">
        <v>5931</v>
      </c>
    </row>
    <row r="21" spans="1:18">
      <c r="A21" t="str">
        <f t="shared" si="0"/>
        <v>Mineração da bauxitaElectricity</v>
      </c>
      <c r="B21" t="str">
        <f t="shared" si="1"/>
        <v>Mineração da bauxita</v>
      </c>
      <c r="C21" t="s">
        <v>465</v>
      </c>
      <c r="D21" s="1129"/>
      <c r="E21" s="1064" t="s">
        <v>5624</v>
      </c>
      <c r="F21" s="1064"/>
      <c r="G21" s="1064"/>
      <c r="H21" s="1064"/>
      <c r="I21" s="1064"/>
      <c r="J21" s="1064"/>
      <c r="K21" s="823">
        <v>1.5E-3</v>
      </c>
      <c r="L21" s="814" t="s">
        <v>598</v>
      </c>
      <c r="M21" s="1104" t="s">
        <v>5625</v>
      </c>
      <c r="N21" s="1105"/>
      <c r="O21" s="815">
        <f>'LCI - Comparação'!E40/3.6</f>
        <v>1.7185368945868949E-2</v>
      </c>
      <c r="P21" s="817" t="s">
        <v>598</v>
      </c>
      <c r="Q21" s="816" t="s">
        <v>5490</v>
      </c>
      <c r="R21" s="816" t="s">
        <v>5927</v>
      </c>
    </row>
    <row r="22" spans="1:18">
      <c r="A22" t="str">
        <f t="shared" si="0"/>
        <v>Mineração da bauxitaFuel Oil</v>
      </c>
      <c r="B22" t="str">
        <f t="shared" si="1"/>
        <v>Mineração da bauxita</v>
      </c>
      <c r="C22" t="s">
        <v>5338</v>
      </c>
      <c r="D22" s="1129"/>
      <c r="E22" s="1077" t="s">
        <v>5626</v>
      </c>
      <c r="F22" s="1077"/>
      <c r="G22" s="1077"/>
      <c r="H22" s="1077"/>
      <c r="I22" s="1077"/>
      <c r="J22" s="1077"/>
      <c r="K22" s="824">
        <v>1.8993352326685701E-2</v>
      </c>
      <c r="L22" s="819" t="s">
        <v>607</v>
      </c>
      <c r="M22" s="1098"/>
      <c r="N22" s="1099"/>
      <c r="O22" s="815">
        <f>'LCI - Comparação'!E36</f>
        <v>1.7408555555555563E-2</v>
      </c>
      <c r="P22" s="817" t="s">
        <v>607</v>
      </c>
      <c r="Q22" s="816" t="s">
        <v>5490</v>
      </c>
      <c r="R22" s="816" t="s">
        <v>5927</v>
      </c>
    </row>
    <row r="23" spans="1:18">
      <c r="A23" t="str">
        <f t="shared" si="0"/>
        <v>Mineração da bauxitaDiesel</v>
      </c>
      <c r="B23" t="str">
        <f>IF(D23=0,B22,D23)</f>
        <v>Mineração da bauxita</v>
      </c>
      <c r="C23" t="s">
        <v>464</v>
      </c>
      <c r="D23" s="1129"/>
      <c r="E23" s="1077" t="s">
        <v>5627</v>
      </c>
      <c r="F23" s="1077"/>
      <c r="G23" s="1077"/>
      <c r="H23" s="1077"/>
      <c r="I23" s="1077"/>
      <c r="J23" s="1077"/>
      <c r="K23" s="825">
        <v>6.48812915479582E-2</v>
      </c>
      <c r="L23" s="822" t="s">
        <v>607</v>
      </c>
      <c r="M23" s="1102"/>
      <c r="N23" s="1103"/>
      <c r="O23" s="815">
        <f>'LCI - Comparação'!E37</f>
        <v>1.3391196581196585E-3</v>
      </c>
      <c r="P23" s="817" t="s">
        <v>607</v>
      </c>
      <c r="Q23" s="816" t="s">
        <v>5490</v>
      </c>
      <c r="R23" s="816" t="s">
        <v>5927</v>
      </c>
    </row>
    <row r="24" spans="1:18">
      <c r="D24" s="1129"/>
      <c r="E24" s="719" t="s">
        <v>5343</v>
      </c>
      <c r="F24" s="719"/>
      <c r="G24" s="719"/>
      <c r="H24" s="719"/>
      <c r="I24" s="719"/>
      <c r="J24" s="719"/>
      <c r="K24" s="824"/>
      <c r="L24" s="819"/>
      <c r="M24" s="818"/>
      <c r="N24" s="819"/>
      <c r="O24" s="815">
        <f>'LCI - Comparação'!E41</f>
        <v>8.6596404558404588E-3</v>
      </c>
      <c r="P24" s="817" t="s">
        <v>607</v>
      </c>
      <c r="Q24" s="816" t="s">
        <v>5490</v>
      </c>
      <c r="R24" s="932" t="s">
        <v>5928</v>
      </c>
    </row>
    <row r="25" spans="1:18">
      <c r="A25" t="str">
        <f t="shared" si="0"/>
        <v>Mineração da bauxita</v>
      </c>
      <c r="B25" t="str">
        <f>IF(D25=0,B23,D25)</f>
        <v>Mineração da bauxita</v>
      </c>
      <c r="D25" s="1129"/>
      <c r="E25" s="1097" t="s">
        <v>5628</v>
      </c>
      <c r="F25" s="1097"/>
      <c r="G25" s="1097"/>
      <c r="H25" s="1097"/>
      <c r="I25" s="1097"/>
      <c r="J25" s="1091"/>
      <c r="K25" s="811" t="s">
        <v>5606</v>
      </c>
      <c r="L25" s="811" t="s">
        <v>5607</v>
      </c>
      <c r="M25" s="1101" t="s">
        <v>5220</v>
      </c>
      <c r="N25" s="1092"/>
      <c r="O25" s="805" t="s">
        <v>5606</v>
      </c>
      <c r="P25" s="806" t="s">
        <v>5607</v>
      </c>
      <c r="Q25" s="838" t="s">
        <v>5220</v>
      </c>
      <c r="R25" s="807" t="s">
        <v>5931</v>
      </c>
    </row>
    <row r="26" spans="1:18">
      <c r="D26" s="1129"/>
      <c r="E26" s="1064" t="s">
        <v>5934</v>
      </c>
      <c r="F26" s="1064"/>
      <c r="G26" s="1064"/>
      <c r="H26" s="1064"/>
      <c r="I26" s="1064"/>
      <c r="J26" s="1064"/>
      <c r="K26" s="809"/>
      <c r="L26" s="813" t="s">
        <v>94</v>
      </c>
      <c r="M26" s="1104" t="s">
        <v>5629</v>
      </c>
      <c r="N26" s="1105"/>
      <c r="O26" s="809">
        <f>'LCI - Comparação'!E43</f>
        <v>1.9971962682871804E-3</v>
      </c>
      <c r="P26" s="812" t="s">
        <v>94</v>
      </c>
      <c r="Q26" s="1016" t="s">
        <v>5490</v>
      </c>
      <c r="R26" s="1016" t="s">
        <v>5858</v>
      </c>
    </row>
    <row r="27" spans="1:18">
      <c r="A27" t="str">
        <f t="shared" si="0"/>
        <v>Mineração da bauxita</v>
      </c>
      <c r="B27" t="str">
        <f>IF(D27=0,B25,D27)</f>
        <v>Mineração da bauxita</v>
      </c>
      <c r="D27" s="1129"/>
      <c r="E27" s="1064" t="s">
        <v>653</v>
      </c>
      <c r="F27" s="1064"/>
      <c r="G27" s="1064"/>
      <c r="H27" s="1064"/>
      <c r="I27" s="1064"/>
      <c r="J27" s="1064"/>
      <c r="K27" s="809">
        <v>4.91545418796697E-6</v>
      </c>
      <c r="L27" s="813" t="s">
        <v>94</v>
      </c>
      <c r="M27" s="1104" t="s">
        <v>5629</v>
      </c>
      <c r="N27" s="1105"/>
      <c r="O27" s="809"/>
      <c r="P27" s="812" t="s">
        <v>94</v>
      </c>
      <c r="Q27" s="1016" t="s">
        <v>5926</v>
      </c>
      <c r="R27" s="1016"/>
    </row>
    <row r="28" spans="1:18">
      <c r="A28" t="str">
        <f t="shared" si="0"/>
        <v>Mineração da bauxita</v>
      </c>
      <c r="B28" t="str">
        <f t="shared" si="1"/>
        <v>Mineração da bauxita</v>
      </c>
      <c r="D28" s="1129"/>
      <c r="E28" s="1077" t="s">
        <v>656</v>
      </c>
      <c r="F28" s="1077"/>
      <c r="G28" s="1077"/>
      <c r="H28" s="1077"/>
      <c r="I28" s="1077"/>
      <c r="J28" s="1077"/>
      <c r="K28" s="815">
        <v>5.0845458120330298E-5</v>
      </c>
      <c r="L28" s="818" t="s">
        <v>94</v>
      </c>
      <c r="M28" s="1098" t="s">
        <v>5629</v>
      </c>
      <c r="N28" s="1099"/>
      <c r="O28" s="815"/>
      <c r="P28" s="817" t="s">
        <v>94</v>
      </c>
      <c r="Q28" s="1016" t="s">
        <v>5926</v>
      </c>
      <c r="R28" s="1016"/>
    </row>
    <row r="29" spans="1:18">
      <c r="A29" t="str">
        <f t="shared" si="0"/>
        <v>Mineração da bauxita</v>
      </c>
      <c r="B29" t="str">
        <f t="shared" si="1"/>
        <v>Mineração da bauxita</v>
      </c>
      <c r="D29" s="1129"/>
      <c r="E29" s="1077" t="s">
        <v>657</v>
      </c>
      <c r="F29" s="1077"/>
      <c r="G29" s="1077"/>
      <c r="H29" s="1077"/>
      <c r="I29" s="1077"/>
      <c r="J29" s="1077"/>
      <c r="K29" s="815">
        <v>4.4239087691702703E-5</v>
      </c>
      <c r="L29" s="818" t="s">
        <v>94</v>
      </c>
      <c r="M29" s="1098" t="s">
        <v>5629</v>
      </c>
      <c r="N29" s="1099"/>
      <c r="O29" s="815"/>
      <c r="P29" s="817" t="s">
        <v>94</v>
      </c>
      <c r="Q29" s="1016" t="s">
        <v>5926</v>
      </c>
      <c r="R29" s="1016"/>
    </row>
    <row r="30" spans="1:18">
      <c r="A30" t="str">
        <f t="shared" si="0"/>
        <v>Mineração da bauxita</v>
      </c>
      <c r="B30" t="str">
        <f t="shared" si="1"/>
        <v>Mineração da bauxita</v>
      </c>
      <c r="D30" s="1129"/>
      <c r="E30" s="1061" t="s">
        <v>5630</v>
      </c>
      <c r="F30" s="1061"/>
      <c r="G30" s="1061"/>
      <c r="H30" s="1061"/>
      <c r="I30" s="1061"/>
      <c r="J30" s="1061"/>
      <c r="K30" s="826">
        <v>4.4700000000000002E-4</v>
      </c>
      <c r="L30" s="818" t="s">
        <v>640</v>
      </c>
      <c r="M30" s="1102" t="s">
        <v>5631</v>
      </c>
      <c r="N30" s="1103"/>
      <c r="O30" s="815"/>
      <c r="P30" s="817" t="s">
        <v>640</v>
      </c>
      <c r="Q30" s="1016" t="s">
        <v>5926</v>
      </c>
      <c r="R30" s="1016"/>
    </row>
    <row r="31" spans="1:18">
      <c r="A31" t="str">
        <f t="shared" si="0"/>
        <v>Mineração da bauxita</v>
      </c>
      <c r="B31" t="str">
        <f>IF(D31=0,B30,D31)</f>
        <v>Mineração da bauxita</v>
      </c>
      <c r="D31" s="1129"/>
      <c r="E31" s="1100" t="s">
        <v>5632</v>
      </c>
      <c r="F31" s="1100"/>
      <c r="G31" s="1100"/>
      <c r="H31" s="1100"/>
      <c r="I31" s="1100"/>
      <c r="J31" s="1074"/>
      <c r="K31" s="827" t="s">
        <v>5606</v>
      </c>
      <c r="L31" s="811" t="s">
        <v>5607</v>
      </c>
      <c r="M31" s="1101" t="s">
        <v>5220</v>
      </c>
      <c r="N31" s="1092"/>
      <c r="O31" s="805" t="s">
        <v>5606</v>
      </c>
      <c r="P31" s="806" t="s">
        <v>5607</v>
      </c>
      <c r="Q31" s="807" t="s">
        <v>5220</v>
      </c>
      <c r="R31" s="807" t="s">
        <v>5931</v>
      </c>
    </row>
    <row r="32" spans="1:18">
      <c r="A32" t="str">
        <f t="shared" si="0"/>
        <v>Mineração da bauxita</v>
      </c>
      <c r="B32" t="str">
        <f t="shared" si="1"/>
        <v>Mineração da bauxita</v>
      </c>
      <c r="D32" s="1129"/>
      <c r="E32" s="1082" t="s">
        <v>660</v>
      </c>
      <c r="F32" s="1082"/>
      <c r="G32" s="1082"/>
      <c r="H32" s="1082"/>
      <c r="I32" s="1082"/>
      <c r="J32" s="1082"/>
      <c r="K32" s="828">
        <v>3.0000000000000001E-5</v>
      </c>
      <c r="L32" s="829" t="s">
        <v>640</v>
      </c>
      <c r="M32" s="1107" t="s">
        <v>5633</v>
      </c>
      <c r="N32" s="1107"/>
      <c r="O32" s="815"/>
      <c r="P32" s="808" t="s">
        <v>640</v>
      </c>
      <c r="Q32" s="1016" t="s">
        <v>5926</v>
      </c>
      <c r="R32" s="1016"/>
    </row>
    <row r="33" spans="1:18">
      <c r="A33" t="str">
        <f t="shared" si="0"/>
        <v>Mineração da bauxita</v>
      </c>
      <c r="B33" t="str">
        <f t="shared" si="1"/>
        <v>Mineração da bauxita</v>
      </c>
      <c r="D33" s="1129"/>
      <c r="E33" s="1100" t="s">
        <v>5634</v>
      </c>
      <c r="F33" s="1100"/>
      <c r="G33" s="1100"/>
      <c r="H33" s="1100"/>
      <c r="I33" s="1100"/>
      <c r="J33" s="1074"/>
      <c r="K33" s="827" t="s">
        <v>5606</v>
      </c>
      <c r="L33" s="811" t="s">
        <v>5607</v>
      </c>
      <c r="M33" s="1101" t="s">
        <v>5220</v>
      </c>
      <c r="N33" s="1092"/>
      <c r="O33" s="805" t="s">
        <v>5606</v>
      </c>
      <c r="P33" s="806" t="s">
        <v>5607</v>
      </c>
      <c r="Q33" s="807" t="s">
        <v>5220</v>
      </c>
      <c r="R33" s="807" t="s">
        <v>5931</v>
      </c>
    </row>
    <row r="34" spans="1:18">
      <c r="A34" t="str">
        <f t="shared" si="0"/>
        <v>Mineração da bauxita</v>
      </c>
      <c r="B34" t="str">
        <f t="shared" si="1"/>
        <v>Mineração da bauxita</v>
      </c>
      <c r="D34" s="1129"/>
      <c r="E34" s="1064" t="s">
        <v>5635</v>
      </c>
      <c r="F34" s="1064"/>
      <c r="G34" s="1064"/>
      <c r="H34" s="1064"/>
      <c r="I34" s="1064"/>
      <c r="J34" s="1064"/>
      <c r="K34" s="809">
        <v>1.5388337415199999E-7</v>
      </c>
      <c r="L34" s="813" t="s">
        <v>94</v>
      </c>
      <c r="M34" s="1104"/>
      <c r="N34" s="1105"/>
      <c r="O34" s="815"/>
      <c r="P34" s="808" t="s">
        <v>94</v>
      </c>
      <c r="Q34" s="1016" t="s">
        <v>5926</v>
      </c>
      <c r="R34" s="1016"/>
    </row>
    <row r="35" spans="1:18">
      <c r="A35" t="str">
        <f t="shared" si="0"/>
        <v>Mineração da bauxita</v>
      </c>
      <c r="B35" t="str">
        <f t="shared" si="1"/>
        <v>Mineração da bauxita</v>
      </c>
      <c r="D35" s="1129"/>
      <c r="E35" s="1077" t="s">
        <v>5636</v>
      </c>
      <c r="F35" s="1077"/>
      <c r="G35" s="1077"/>
      <c r="H35" s="1077"/>
      <c r="I35" s="1077"/>
      <c r="J35" s="1077"/>
      <c r="K35" s="815">
        <v>1.7867052334158098E-5</v>
      </c>
      <c r="L35" s="818" t="s">
        <v>94</v>
      </c>
      <c r="M35" s="1098"/>
      <c r="N35" s="1099"/>
      <c r="O35" s="815"/>
      <c r="P35" s="1012" t="s">
        <v>94</v>
      </c>
      <c r="Q35" s="1016" t="s">
        <v>5926</v>
      </c>
      <c r="R35" s="1016"/>
    </row>
    <row r="36" spans="1:18">
      <c r="A36" t="str">
        <f t="shared" si="0"/>
        <v>Mineração da bauxita</v>
      </c>
      <c r="B36" t="str">
        <f t="shared" si="1"/>
        <v>Mineração da bauxita</v>
      </c>
      <c r="D36" s="1129"/>
      <c r="E36" s="1061" t="s">
        <v>5637</v>
      </c>
      <c r="F36" s="1061"/>
      <c r="G36" s="1061"/>
      <c r="H36" s="1061"/>
      <c r="I36" s="1061"/>
      <c r="J36" s="1061"/>
      <c r="K36" s="826">
        <v>6.29790642916899E-5</v>
      </c>
      <c r="L36" s="821" t="s">
        <v>94</v>
      </c>
      <c r="M36" s="1102"/>
      <c r="N36" s="1103"/>
      <c r="O36" s="815"/>
      <c r="P36" s="1012" t="s">
        <v>94</v>
      </c>
      <c r="Q36" s="1016" t="s">
        <v>5926</v>
      </c>
      <c r="R36" s="1016"/>
    </row>
    <row r="37" spans="1:18" ht="14.4" customHeight="1">
      <c r="A37" t="str">
        <f t="shared" si="0"/>
        <v>Bauxita, market</v>
      </c>
      <c r="B37" t="str">
        <f t="shared" si="1"/>
        <v>Bauxita, market</v>
      </c>
      <c r="D37" s="1137" t="s">
        <v>5638</v>
      </c>
      <c r="E37" s="1068" t="s">
        <v>5605</v>
      </c>
      <c r="F37" s="1069"/>
      <c r="G37" s="1069"/>
      <c r="H37" s="1069"/>
      <c r="I37" s="1069"/>
      <c r="J37" s="1069"/>
      <c r="K37" s="1037" t="s">
        <v>5606</v>
      </c>
      <c r="L37" s="1037" t="s">
        <v>5607</v>
      </c>
      <c r="M37" s="1069" t="s">
        <v>5608</v>
      </c>
      <c r="N37" s="1070"/>
      <c r="O37" s="1037" t="s">
        <v>5606</v>
      </c>
      <c r="P37" s="1038" t="s">
        <v>5607</v>
      </c>
      <c r="Q37" s="1035" t="s">
        <v>5220</v>
      </c>
      <c r="R37" s="1035" t="s">
        <v>5931</v>
      </c>
    </row>
    <row r="38" spans="1:18">
      <c r="A38" t="str">
        <f t="shared" si="0"/>
        <v>Bauxita, market</v>
      </c>
      <c r="B38" t="str">
        <f t="shared" si="1"/>
        <v>Bauxita, market</v>
      </c>
      <c r="D38" s="1138"/>
      <c r="E38" s="1082" t="s">
        <v>5639</v>
      </c>
      <c r="F38" s="1082"/>
      <c r="G38" s="1082"/>
      <c r="H38" s="1082"/>
      <c r="I38" s="1082"/>
      <c r="J38" s="1071"/>
      <c r="K38" s="831">
        <v>1</v>
      </c>
      <c r="L38" s="830" t="s">
        <v>94</v>
      </c>
      <c r="M38" s="1133" t="s">
        <v>5640</v>
      </c>
      <c r="N38" s="1122"/>
      <c r="O38" s="831">
        <v>1</v>
      </c>
      <c r="P38" s="817" t="s">
        <v>94</v>
      </c>
      <c r="Q38" s="816"/>
      <c r="R38" s="816"/>
    </row>
    <row r="39" spans="1:18">
      <c r="A39" t="str">
        <f t="shared" si="0"/>
        <v>Bauxita, market</v>
      </c>
      <c r="B39" t="str">
        <f t="shared" si="1"/>
        <v>Bauxita, market</v>
      </c>
      <c r="D39" s="1138"/>
      <c r="E39" s="1097" t="s">
        <v>5618</v>
      </c>
      <c r="F39" s="1097"/>
      <c r="G39" s="1097"/>
      <c r="H39" s="1097"/>
      <c r="I39" s="1097"/>
      <c r="J39" s="1091"/>
      <c r="K39" s="811" t="s">
        <v>5606</v>
      </c>
      <c r="L39" s="811" t="s">
        <v>5607</v>
      </c>
      <c r="M39" s="1101" t="s">
        <v>5220</v>
      </c>
      <c r="N39" s="1092"/>
      <c r="O39" s="805" t="s">
        <v>5606</v>
      </c>
      <c r="P39" s="806" t="s">
        <v>5607</v>
      </c>
      <c r="Q39" s="807" t="s">
        <v>5220</v>
      </c>
      <c r="R39" s="807" t="s">
        <v>5931</v>
      </c>
    </row>
    <row r="40" spans="1:18">
      <c r="A40" t="str">
        <f t="shared" si="0"/>
        <v>Bauxita, market</v>
      </c>
      <c r="B40" t="str">
        <f t="shared" si="1"/>
        <v>Bauxita, market</v>
      </c>
      <c r="D40" s="1138"/>
      <c r="E40" s="1064" t="s">
        <v>5609</v>
      </c>
      <c r="F40" s="1064"/>
      <c r="G40" s="1064"/>
      <c r="H40" s="1064"/>
      <c r="I40" s="1064"/>
      <c r="J40" s="1064"/>
      <c r="K40" s="813">
        <v>1</v>
      </c>
      <c r="L40" s="813" t="s">
        <v>94</v>
      </c>
      <c r="M40" s="1104"/>
      <c r="N40" s="1132"/>
      <c r="O40">
        <f>K40/$K$38*$O$38</f>
        <v>1</v>
      </c>
      <c r="P40" s="817" t="s">
        <v>94</v>
      </c>
      <c r="Q40" s="816" t="s">
        <v>5490</v>
      </c>
      <c r="R40" s="816"/>
    </row>
    <row r="41" spans="1:18">
      <c r="A41" t="str">
        <f t="shared" si="0"/>
        <v>Bauxita, market</v>
      </c>
      <c r="B41" t="str">
        <f t="shared" si="1"/>
        <v>Bauxita, market</v>
      </c>
      <c r="D41" s="1138"/>
      <c r="E41" s="1077" t="s">
        <v>5641</v>
      </c>
      <c r="F41" s="1077"/>
      <c r="G41" s="1077"/>
      <c r="H41" s="1077"/>
      <c r="I41" s="1077"/>
      <c r="J41" s="1077"/>
      <c r="K41" s="818">
        <v>1</v>
      </c>
      <c r="L41" s="818" t="s">
        <v>5642</v>
      </c>
      <c r="M41" s="1098" t="s">
        <v>5643</v>
      </c>
      <c r="N41" s="1134"/>
      <c r="O41">
        <v>0</v>
      </c>
      <c r="P41" s="817" t="s">
        <v>5642</v>
      </c>
      <c r="Q41" s="816" t="s">
        <v>5490</v>
      </c>
      <c r="R41" s="816" t="s">
        <v>5925</v>
      </c>
    </row>
    <row r="42" spans="1:18">
      <c r="A42" t="str">
        <f t="shared" si="0"/>
        <v>Bauxita, market</v>
      </c>
      <c r="B42" t="str">
        <f t="shared" si="1"/>
        <v>Bauxita, market</v>
      </c>
      <c r="D42" s="1138"/>
      <c r="E42" s="1077" t="s">
        <v>5644</v>
      </c>
      <c r="F42" s="1077"/>
      <c r="G42" s="1077"/>
      <c r="H42" s="1077"/>
      <c r="I42" s="1077"/>
      <c r="J42" s="1077"/>
      <c r="K42" s="818">
        <v>1</v>
      </c>
      <c r="L42" s="818" t="s">
        <v>5642</v>
      </c>
      <c r="M42" s="1098" t="s">
        <v>5643</v>
      </c>
      <c r="N42" s="1134"/>
      <c r="O42">
        <v>1.292</v>
      </c>
      <c r="P42" s="817" t="s">
        <v>5642</v>
      </c>
      <c r="Q42" s="816" t="s">
        <v>5490</v>
      </c>
      <c r="R42" s="816" t="s">
        <v>5925</v>
      </c>
    </row>
    <row r="43" spans="1:18">
      <c r="A43" t="str">
        <f t="shared" si="0"/>
        <v>Bauxita, market</v>
      </c>
      <c r="B43" t="str">
        <f t="shared" si="1"/>
        <v>Bauxita, market</v>
      </c>
      <c r="D43" s="1138"/>
      <c r="E43" s="1061" t="s">
        <v>5645</v>
      </c>
      <c r="F43" s="1061"/>
      <c r="G43" s="1061"/>
      <c r="H43" s="1061"/>
      <c r="I43" s="1061"/>
      <c r="J43" s="1061"/>
      <c r="K43" s="821">
        <v>4</v>
      </c>
      <c r="L43" s="821" t="s">
        <v>5642</v>
      </c>
      <c r="M43" s="1102" t="s">
        <v>5643</v>
      </c>
      <c r="N43" s="1135"/>
      <c r="O43">
        <v>0</v>
      </c>
      <c r="P43" s="817" t="s">
        <v>5642</v>
      </c>
      <c r="Q43" s="816" t="s">
        <v>5490</v>
      </c>
      <c r="R43" s="816" t="s">
        <v>5925</v>
      </c>
    </row>
    <row r="44" spans="1:18">
      <c r="D44" s="1139"/>
      <c r="E44" s="719" t="s">
        <v>5924</v>
      </c>
      <c r="F44" s="719"/>
      <c r="G44" s="719"/>
      <c r="H44" s="719"/>
      <c r="I44" s="719"/>
      <c r="J44" s="719"/>
      <c r="K44" s="818"/>
      <c r="L44" s="818"/>
      <c r="M44" s="818"/>
      <c r="N44" s="819"/>
      <c r="O44">
        <v>1.694</v>
      </c>
      <c r="P44" s="817" t="s">
        <v>5642</v>
      </c>
      <c r="Q44" s="816" t="s">
        <v>5490</v>
      </c>
      <c r="R44" s="816" t="s">
        <v>5925</v>
      </c>
    </row>
    <row r="45" spans="1:18">
      <c r="A45" t="str">
        <f t="shared" si="0"/>
        <v>Hidróxido de alumínio</v>
      </c>
      <c r="B45" t="str">
        <f>IF(D45=0,B43,D45)</f>
        <v>Hidróxido de alumínio</v>
      </c>
      <c r="D45" s="1118" t="s">
        <v>5646</v>
      </c>
      <c r="E45" s="1068" t="s">
        <v>5605</v>
      </c>
      <c r="F45" s="1069"/>
      <c r="G45" s="1069"/>
      <c r="H45" s="1069"/>
      <c r="I45" s="1069"/>
      <c r="J45" s="1069"/>
      <c r="K45" s="1037" t="s">
        <v>5606</v>
      </c>
      <c r="L45" s="1037" t="s">
        <v>5607</v>
      </c>
      <c r="M45" s="1069" t="s">
        <v>5608</v>
      </c>
      <c r="N45" s="1070"/>
      <c r="O45" s="1037" t="s">
        <v>5606</v>
      </c>
      <c r="P45" s="1038" t="s">
        <v>5607</v>
      </c>
      <c r="Q45" s="1035" t="s">
        <v>5220</v>
      </c>
      <c r="R45" s="1035" t="s">
        <v>5931</v>
      </c>
    </row>
    <row r="46" spans="1:18">
      <c r="A46" t="str">
        <f t="shared" si="0"/>
        <v>Hidróxido de alumínioAl(OH)3</v>
      </c>
      <c r="B46" t="str">
        <f t="shared" si="1"/>
        <v>Hidróxido de alumínio</v>
      </c>
      <c r="C46" t="s">
        <v>105</v>
      </c>
      <c r="D46" s="1119"/>
      <c r="E46" s="1123" t="s">
        <v>5647</v>
      </c>
      <c r="F46" s="1082"/>
      <c r="G46" s="1082"/>
      <c r="H46" s="1082"/>
      <c r="I46" s="1082"/>
      <c r="J46" s="1082"/>
      <c r="K46" s="833">
        <v>1</v>
      </c>
      <c r="L46" s="833" t="s">
        <v>94</v>
      </c>
      <c r="M46" s="1133" t="s">
        <v>5648</v>
      </c>
      <c r="N46" s="1122"/>
      <c r="O46" s="833">
        <v>1</v>
      </c>
      <c r="P46" s="817" t="s">
        <v>94</v>
      </c>
      <c r="Q46" s="816"/>
      <c r="R46" s="816"/>
    </row>
    <row r="47" spans="1:18">
      <c r="A47" t="str">
        <f t="shared" si="0"/>
        <v>Hidróxido de alumínio</v>
      </c>
      <c r="B47" t="str">
        <f t="shared" si="1"/>
        <v>Hidróxido de alumínio</v>
      </c>
      <c r="D47" s="1119"/>
      <c r="E47" s="1091" t="s">
        <v>5611</v>
      </c>
      <c r="F47" s="1101"/>
      <c r="G47" s="1101"/>
      <c r="H47" s="1101"/>
      <c r="I47" s="1101"/>
      <c r="J47" s="1101"/>
      <c r="K47" s="811" t="s">
        <v>5606</v>
      </c>
      <c r="L47" s="811" t="s">
        <v>5607</v>
      </c>
      <c r="M47" s="1101" t="s">
        <v>5220</v>
      </c>
      <c r="N47" s="1092"/>
      <c r="O47" s="805" t="s">
        <v>5606</v>
      </c>
      <c r="P47" s="806" t="s">
        <v>5607</v>
      </c>
      <c r="Q47" s="807" t="s">
        <v>5220</v>
      </c>
      <c r="R47" s="807" t="s">
        <v>5931</v>
      </c>
    </row>
    <row r="48" spans="1:18">
      <c r="A48" t="str">
        <f t="shared" si="0"/>
        <v>Hidróxido de alumínio</v>
      </c>
      <c r="B48" t="str">
        <f t="shared" si="1"/>
        <v>Hidróxido de alumínio</v>
      </c>
      <c r="D48" s="1119"/>
      <c r="E48" s="1063" t="s">
        <v>5281</v>
      </c>
      <c r="F48" s="1064"/>
      <c r="G48" s="1064"/>
      <c r="H48" s="1064"/>
      <c r="I48" s="1064"/>
      <c r="J48" s="1064"/>
      <c r="K48" s="813">
        <v>1.39E-3</v>
      </c>
      <c r="L48" s="813" t="s">
        <v>640</v>
      </c>
      <c r="M48" s="1063" t="s">
        <v>5615</v>
      </c>
      <c r="N48" s="1064"/>
      <c r="O48" s="815">
        <f>K48/$K$46*$O$46</f>
        <v>1.39E-3</v>
      </c>
      <c r="P48" s="817" t="s">
        <v>640</v>
      </c>
      <c r="Q48" s="816" t="s">
        <v>150</v>
      </c>
      <c r="R48" s="816"/>
    </row>
    <row r="49" spans="1:18">
      <c r="A49" t="str">
        <f t="shared" si="0"/>
        <v>Hidróxido de alumínio</v>
      </c>
      <c r="B49" t="str">
        <f t="shared" si="1"/>
        <v>Hidróxido de alumínio</v>
      </c>
      <c r="D49" s="1119"/>
      <c r="E49" s="1062" t="s">
        <v>1052</v>
      </c>
      <c r="F49" s="1061"/>
      <c r="G49" s="1061"/>
      <c r="H49" s="1061"/>
      <c r="I49" s="1061"/>
      <c r="J49" s="1061"/>
      <c r="K49" s="821">
        <v>4.8999999999999996E-10</v>
      </c>
      <c r="L49" s="821" t="s">
        <v>5616</v>
      </c>
      <c r="M49" s="1078" t="s">
        <v>5617</v>
      </c>
      <c r="N49" s="1077"/>
      <c r="O49" s="815">
        <f>K49/$K$46*$O$46</f>
        <v>4.8999999999999996E-10</v>
      </c>
      <c r="P49" s="817" t="s">
        <v>5616</v>
      </c>
      <c r="Q49" s="816" t="s">
        <v>150</v>
      </c>
      <c r="R49" s="816"/>
    </row>
    <row r="50" spans="1:18">
      <c r="A50" t="str">
        <f t="shared" si="0"/>
        <v>Hidróxido de alumínio</v>
      </c>
      <c r="B50" t="str">
        <f t="shared" si="1"/>
        <v>Hidróxido de alumínio</v>
      </c>
      <c r="D50" s="1119"/>
      <c r="E50" s="1097" t="s">
        <v>5618</v>
      </c>
      <c r="F50" s="1097"/>
      <c r="G50" s="1097"/>
      <c r="H50" s="1097"/>
      <c r="I50" s="1097"/>
      <c r="J50" s="1091"/>
      <c r="K50" s="811" t="s">
        <v>5606</v>
      </c>
      <c r="L50" s="834" t="s">
        <v>5607</v>
      </c>
      <c r="M50" s="1101" t="s">
        <v>5220</v>
      </c>
      <c r="N50" s="1092"/>
      <c r="O50" s="805" t="s">
        <v>5606</v>
      </c>
      <c r="P50" s="806" t="s">
        <v>5607</v>
      </c>
      <c r="Q50" s="807" t="s">
        <v>5220</v>
      </c>
      <c r="R50" s="807" t="s">
        <v>5931</v>
      </c>
    </row>
    <row r="51" spans="1:18">
      <c r="A51" t="str">
        <f t="shared" si="0"/>
        <v>Hidróxido de alumínio</v>
      </c>
      <c r="B51" t="str">
        <f t="shared" si="1"/>
        <v>Hidróxido de alumínio</v>
      </c>
      <c r="D51" s="1119"/>
      <c r="E51" s="1063" t="s">
        <v>5649</v>
      </c>
      <c r="F51" s="1064"/>
      <c r="G51" s="1064"/>
      <c r="H51" s="1064"/>
      <c r="I51" s="1064"/>
      <c r="J51" s="1064"/>
      <c r="K51" s="813">
        <v>1.64E-11</v>
      </c>
      <c r="L51" s="813" t="s">
        <v>5621</v>
      </c>
      <c r="M51" s="1063"/>
      <c r="N51" s="1064"/>
      <c r="O51" s="815">
        <f>K51/$K$46*$O$46</f>
        <v>1.64E-11</v>
      </c>
      <c r="P51" s="817" t="s">
        <v>5621</v>
      </c>
      <c r="Q51" s="816" t="s">
        <v>150</v>
      </c>
      <c r="R51" s="816"/>
    </row>
    <row r="52" spans="1:18">
      <c r="A52" t="str">
        <f t="shared" si="0"/>
        <v>Hidróxido de alumínioBauxite</v>
      </c>
      <c r="B52" t="str">
        <f t="shared" si="1"/>
        <v>Hidróxido de alumínio</v>
      </c>
      <c r="C52" t="s">
        <v>482</v>
      </c>
      <c r="D52" s="1119"/>
      <c r="E52" s="1078" t="s">
        <v>5639</v>
      </c>
      <c r="F52" s="1077"/>
      <c r="G52" s="1077"/>
      <c r="H52" s="1077"/>
      <c r="I52" s="1077"/>
      <c r="J52" s="1077"/>
      <c r="K52" s="818">
        <v>1.5649999999999999</v>
      </c>
      <c r="L52" s="818" t="s">
        <v>94</v>
      </c>
      <c r="M52" s="1078"/>
      <c r="N52" s="1077"/>
      <c r="O52" s="815">
        <f>'LCI - Comparação'!I6</f>
        <v>1.5649606983355608</v>
      </c>
      <c r="P52" s="817" t="s">
        <v>94</v>
      </c>
      <c r="Q52" s="816" t="s">
        <v>150</v>
      </c>
      <c r="R52" s="816"/>
    </row>
    <row r="53" spans="1:18">
      <c r="A53" t="str">
        <f t="shared" si="0"/>
        <v>Hidróxido de alumínio</v>
      </c>
      <c r="B53" t="str">
        <f t="shared" si="1"/>
        <v>Hidróxido de alumínio</v>
      </c>
      <c r="D53" s="1119"/>
      <c r="E53" s="1078" t="s">
        <v>5650</v>
      </c>
      <c r="F53" s="1077"/>
      <c r="G53" s="1077"/>
      <c r="H53" s="1077"/>
      <c r="I53" s="1077"/>
      <c r="J53" s="1077"/>
      <c r="K53" s="818">
        <v>8.0000000000000002E-3</v>
      </c>
      <c r="L53" s="818" t="s">
        <v>94</v>
      </c>
      <c r="M53" s="1078"/>
      <c r="N53" s="1077"/>
      <c r="O53" s="815">
        <f t="shared" ref="O53:O54" si="3">K53/$K$46*$O$46</f>
        <v>8.0000000000000002E-3</v>
      </c>
      <c r="P53" s="817" t="s">
        <v>94</v>
      </c>
      <c r="Q53" s="816" t="s">
        <v>150</v>
      </c>
      <c r="R53" s="816"/>
    </row>
    <row r="54" spans="1:18">
      <c r="A54" t="str">
        <f t="shared" si="0"/>
        <v>Hidróxido de alumínioNaOH</v>
      </c>
      <c r="B54" t="str">
        <f t="shared" si="1"/>
        <v>Hidróxido de alumínio</v>
      </c>
      <c r="C54" t="s">
        <v>483</v>
      </c>
      <c r="D54" s="1119"/>
      <c r="E54" s="1062" t="s">
        <v>5651</v>
      </c>
      <c r="F54" s="1061"/>
      <c r="G54" s="1061"/>
      <c r="H54" s="1061"/>
      <c r="I54" s="1061"/>
      <c r="J54" s="1061"/>
      <c r="K54" s="821">
        <v>6.2E-2</v>
      </c>
      <c r="L54" s="821" t="s">
        <v>94</v>
      </c>
      <c r="M54" s="1124"/>
      <c r="N54" s="1125"/>
      <c r="O54" s="815">
        <f t="shared" si="3"/>
        <v>6.2E-2</v>
      </c>
      <c r="P54" s="817" t="s">
        <v>94</v>
      </c>
      <c r="Q54" s="816" t="s">
        <v>150</v>
      </c>
      <c r="R54" s="816"/>
    </row>
    <row r="55" spans="1:18">
      <c r="A55" t="str">
        <f t="shared" si="0"/>
        <v>Hidróxido de alumínio</v>
      </c>
      <c r="B55" t="str">
        <f t="shared" si="1"/>
        <v>Hidróxido de alumínio</v>
      </c>
      <c r="D55" s="1119"/>
      <c r="E55" s="1100" t="s">
        <v>5623</v>
      </c>
      <c r="F55" s="1100"/>
      <c r="G55" s="1100"/>
      <c r="H55" s="1100"/>
      <c r="I55" s="1100"/>
      <c r="J55" s="1074"/>
      <c r="K55" s="827" t="s">
        <v>5606</v>
      </c>
      <c r="L55" s="804" t="s">
        <v>5607</v>
      </c>
      <c r="M55" s="1074" t="s">
        <v>5220</v>
      </c>
      <c r="N55" s="1076"/>
      <c r="O55" s="805" t="s">
        <v>5606</v>
      </c>
      <c r="P55" s="806" t="s">
        <v>5607</v>
      </c>
      <c r="Q55" s="807" t="s">
        <v>5220</v>
      </c>
      <c r="R55" s="807" t="s">
        <v>5931</v>
      </c>
    </row>
    <row r="56" spans="1:18">
      <c r="A56" t="str">
        <f t="shared" si="0"/>
        <v>Hidróxido de alumínioElectricity</v>
      </c>
      <c r="B56" t="str">
        <f t="shared" si="1"/>
        <v>Hidróxido de alumínio</v>
      </c>
      <c r="C56" t="s">
        <v>465</v>
      </c>
      <c r="D56" s="1119"/>
      <c r="E56" s="1063" t="s">
        <v>5624</v>
      </c>
      <c r="F56" s="1064"/>
      <c r="G56" s="1064"/>
      <c r="H56" s="1064"/>
      <c r="I56" s="1064"/>
      <c r="J56" s="1064"/>
      <c r="K56" s="813">
        <v>5.0999999999999997E-2</v>
      </c>
      <c r="L56" s="813" t="s">
        <v>598</v>
      </c>
      <c r="M56" s="1063" t="s">
        <v>5625</v>
      </c>
      <c r="N56" s="1064"/>
      <c r="O56" s="815">
        <f>'LCI - Comparação'!I40/3.6</f>
        <v>5.6483333333333316E-2</v>
      </c>
      <c r="P56" s="817" t="s">
        <v>598</v>
      </c>
      <c r="Q56" s="816" t="s">
        <v>5490</v>
      </c>
      <c r="R56" s="816" t="s">
        <v>5927</v>
      </c>
    </row>
    <row r="57" spans="1:18">
      <c r="A57" t="str">
        <f t="shared" si="0"/>
        <v>Hidróxido de alumínioNatural Gas</v>
      </c>
      <c r="B57" t="str">
        <f t="shared" si="1"/>
        <v>Hidróxido de alumínio</v>
      </c>
      <c r="C57" t="s">
        <v>5391</v>
      </c>
      <c r="D57" s="1119"/>
      <c r="E57" s="1078" t="s">
        <v>5652</v>
      </c>
      <c r="F57" s="1077"/>
      <c r="G57" s="1077"/>
      <c r="H57" s="1077"/>
      <c r="I57" s="1077"/>
      <c r="J57" s="1077"/>
      <c r="K57" s="818">
        <v>0.31076923076923102</v>
      </c>
      <c r="L57" s="818" t="s">
        <v>607</v>
      </c>
      <c r="M57" s="1078"/>
      <c r="N57" s="1077"/>
      <c r="O57" s="815">
        <f>'LCI - Comparação'!I38</f>
        <v>0.11861500000000001</v>
      </c>
      <c r="P57" s="817" t="s">
        <v>607</v>
      </c>
      <c r="Q57" s="816" t="s">
        <v>5490</v>
      </c>
      <c r="R57" s="816" t="s">
        <v>5927</v>
      </c>
    </row>
    <row r="58" spans="1:18">
      <c r="A58" t="str">
        <f t="shared" si="0"/>
        <v>Hidróxido de alumínioCoal</v>
      </c>
      <c r="B58" t="str">
        <f t="shared" si="1"/>
        <v>Hidróxido de alumínio</v>
      </c>
      <c r="C58" t="s">
        <v>85</v>
      </c>
      <c r="D58" s="1119"/>
      <c r="E58" s="1078" t="s">
        <v>5653</v>
      </c>
      <c r="F58" s="1077"/>
      <c r="G58" s="1077"/>
      <c r="H58" s="1077"/>
      <c r="I58" s="1077"/>
      <c r="J58" s="1077"/>
      <c r="K58" s="818">
        <v>1.2947200000000001</v>
      </c>
      <c r="L58" s="818" t="s">
        <v>607</v>
      </c>
      <c r="M58" s="1078"/>
      <c r="N58" s="1077"/>
      <c r="O58" s="815">
        <f>'LCI - Comparação'!I39</f>
        <v>1.25393</v>
      </c>
      <c r="P58" s="817" t="s">
        <v>607</v>
      </c>
      <c r="Q58" s="816" t="s">
        <v>5490</v>
      </c>
      <c r="R58" s="816" t="s">
        <v>5927</v>
      </c>
    </row>
    <row r="59" spans="1:18">
      <c r="A59" t="str">
        <f t="shared" si="0"/>
        <v>Hidróxido de alumínioFuel Oil</v>
      </c>
      <c r="B59" t="str">
        <f t="shared" si="1"/>
        <v>Hidróxido de alumínio</v>
      </c>
      <c r="C59" t="s">
        <v>5338</v>
      </c>
      <c r="D59" s="1119"/>
      <c r="E59" s="1078" t="s">
        <v>5626</v>
      </c>
      <c r="F59" s="1077"/>
      <c r="G59" s="1077"/>
      <c r="H59" s="1077"/>
      <c r="I59" s="1077"/>
      <c r="J59" s="1077"/>
      <c r="K59" s="818">
        <v>1.5954415954415999</v>
      </c>
      <c r="L59" s="818" t="s">
        <v>607</v>
      </c>
      <c r="M59" s="1078"/>
      <c r="N59" s="1077"/>
      <c r="O59" s="815">
        <f>'LCI - Comparação'!I36</f>
        <v>1.813115</v>
      </c>
      <c r="P59" s="817" t="s">
        <v>607</v>
      </c>
      <c r="Q59" s="816" t="s">
        <v>5490</v>
      </c>
      <c r="R59" s="816" t="s">
        <v>5927</v>
      </c>
    </row>
    <row r="60" spans="1:18">
      <c r="A60" t="str">
        <f t="shared" si="0"/>
        <v>Hidróxido de alumínioDiesel</v>
      </c>
      <c r="B60" t="str">
        <f t="shared" si="1"/>
        <v>Hidróxido de alumínio</v>
      </c>
      <c r="C60" t="s">
        <v>464</v>
      </c>
      <c r="D60" s="1119"/>
      <c r="E60" s="1062" t="s">
        <v>5627</v>
      </c>
      <c r="F60" s="1061"/>
      <c r="G60" s="1061"/>
      <c r="H60" s="1061"/>
      <c r="I60" s="1061"/>
      <c r="J60" s="1061"/>
      <c r="K60" s="821">
        <v>4.0550807217473901E-3</v>
      </c>
      <c r="L60" s="818" t="s">
        <v>607</v>
      </c>
      <c r="M60" s="1062"/>
      <c r="N60" s="1061"/>
      <c r="O60" s="826">
        <v>0</v>
      </c>
      <c r="P60" s="820" t="s">
        <v>607</v>
      </c>
      <c r="Q60" s="816" t="s">
        <v>5490</v>
      </c>
      <c r="R60" s="816" t="s">
        <v>5927</v>
      </c>
    </row>
    <row r="61" spans="1:18">
      <c r="A61" t="str">
        <f t="shared" si="0"/>
        <v>Hidróxido de alumínio</v>
      </c>
      <c r="B61" t="str">
        <f t="shared" si="1"/>
        <v>Hidróxido de alumínio</v>
      </c>
      <c r="D61" s="1119"/>
      <c r="E61" s="1097" t="s">
        <v>5628</v>
      </c>
      <c r="F61" s="1097"/>
      <c r="G61" s="1097"/>
      <c r="H61" s="1097"/>
      <c r="I61" s="1097"/>
      <c r="J61" s="1091"/>
      <c r="K61" s="834" t="s">
        <v>5606</v>
      </c>
      <c r="L61" s="811" t="s">
        <v>5607</v>
      </c>
      <c r="M61" s="1091" t="s">
        <v>5220</v>
      </c>
      <c r="N61" s="1092"/>
      <c r="O61" s="805" t="s">
        <v>5606</v>
      </c>
      <c r="P61" s="806" t="s">
        <v>5607</v>
      </c>
      <c r="Q61" s="807" t="s">
        <v>5220</v>
      </c>
      <c r="R61" s="807" t="s">
        <v>5931</v>
      </c>
    </row>
    <row r="62" spans="1:18">
      <c r="D62" s="1119"/>
      <c r="E62" s="1064" t="s">
        <v>5934</v>
      </c>
      <c r="F62" s="1064"/>
      <c r="G62" s="1064"/>
      <c r="H62" s="1064"/>
      <c r="I62" s="1064"/>
      <c r="J62" s="1064"/>
      <c r="K62" s="813"/>
      <c r="L62" s="818" t="s">
        <v>94</v>
      </c>
      <c r="M62" s="1063"/>
      <c r="N62" s="1064"/>
      <c r="O62" s="809">
        <f>'LCI - Comparação'!I43</f>
        <v>0.27780353896783333</v>
      </c>
      <c r="P62" s="812" t="s">
        <v>94</v>
      </c>
      <c r="Q62" s="1016" t="s">
        <v>5490</v>
      </c>
      <c r="R62" s="1016" t="s">
        <v>5858</v>
      </c>
    </row>
    <row r="63" spans="1:18">
      <c r="A63" t="str">
        <f t="shared" si="0"/>
        <v>Hidróxido de alumínio</v>
      </c>
      <c r="B63" t="str">
        <f>IF(D63=0,B61,D63)</f>
        <v>Hidróxido de alumínio</v>
      </c>
      <c r="D63" s="1119"/>
      <c r="E63" s="1063" t="s">
        <v>5654</v>
      </c>
      <c r="F63" s="1064" t="s">
        <v>5629</v>
      </c>
      <c r="G63" s="1064"/>
      <c r="H63" s="1064"/>
      <c r="I63" s="1064"/>
      <c r="J63" s="1064"/>
      <c r="K63" s="813">
        <v>1.3E-7</v>
      </c>
      <c r="L63" s="818" t="s">
        <v>94</v>
      </c>
      <c r="M63" s="1063"/>
      <c r="N63" s="1064"/>
      <c r="O63" s="809"/>
      <c r="P63" s="812" t="s">
        <v>94</v>
      </c>
      <c r="Q63" s="1016" t="s">
        <v>5926</v>
      </c>
      <c r="R63" s="1016"/>
    </row>
    <row r="64" spans="1:18">
      <c r="A64" t="str">
        <f t="shared" si="0"/>
        <v>Hidróxido de alumínio</v>
      </c>
      <c r="B64" t="str">
        <f t="shared" si="1"/>
        <v>Hidróxido de alumínio</v>
      </c>
      <c r="D64" s="1119"/>
      <c r="E64" s="1078" t="s">
        <v>761</v>
      </c>
      <c r="F64" s="1077" t="s">
        <v>5629</v>
      </c>
      <c r="G64" s="1077"/>
      <c r="H64" s="1077"/>
      <c r="I64" s="1077"/>
      <c r="J64" s="1077"/>
      <c r="K64" s="818">
        <v>6.5099999999999999E-4</v>
      </c>
      <c r="L64" s="818" t="s">
        <v>94</v>
      </c>
      <c r="M64" s="1078"/>
      <c r="N64" s="1077"/>
      <c r="O64" s="815"/>
      <c r="P64" s="817" t="s">
        <v>94</v>
      </c>
      <c r="Q64" s="1016" t="s">
        <v>5926</v>
      </c>
      <c r="R64" s="1016"/>
    </row>
    <row r="65" spans="1:18">
      <c r="A65" t="str">
        <f t="shared" si="0"/>
        <v>Hidróxido de alumínio</v>
      </c>
      <c r="B65" t="str">
        <f t="shared" si="1"/>
        <v>Hidróxido de alumínio</v>
      </c>
      <c r="D65" s="1119"/>
      <c r="E65" s="1078" t="s">
        <v>653</v>
      </c>
      <c r="F65" s="1077" t="s">
        <v>5629</v>
      </c>
      <c r="G65" s="1077"/>
      <c r="H65" s="1077"/>
      <c r="I65" s="1077"/>
      <c r="J65" s="1077"/>
      <c r="K65" s="818">
        <v>1.9944E-4</v>
      </c>
      <c r="L65" s="818" t="s">
        <v>94</v>
      </c>
      <c r="M65" s="1078"/>
      <c r="N65" s="1077"/>
      <c r="O65" s="815"/>
      <c r="P65" s="817" t="s">
        <v>94</v>
      </c>
      <c r="Q65" s="1016" t="s">
        <v>5926</v>
      </c>
      <c r="R65" s="1016"/>
    </row>
    <row r="66" spans="1:18">
      <c r="A66" t="str">
        <f t="shared" si="0"/>
        <v>Hidróxido de alumínio</v>
      </c>
      <c r="B66" t="str">
        <f t="shared" si="1"/>
        <v>Hidróxido de alumínio</v>
      </c>
      <c r="D66" s="1119"/>
      <c r="E66" s="1078" t="s">
        <v>656</v>
      </c>
      <c r="F66" s="1077" t="s">
        <v>5629</v>
      </c>
      <c r="G66" s="1077"/>
      <c r="H66" s="1077"/>
      <c r="I66" s="1077"/>
      <c r="J66" s="1077"/>
      <c r="K66" s="818">
        <v>1.108E-4</v>
      </c>
      <c r="L66" s="818" t="s">
        <v>94</v>
      </c>
      <c r="M66" s="1078"/>
      <c r="N66" s="1077"/>
      <c r="O66" s="815"/>
      <c r="P66" s="817" t="s">
        <v>94</v>
      </c>
      <c r="Q66" s="1016" t="s">
        <v>5926</v>
      </c>
      <c r="R66" s="1016"/>
    </row>
    <row r="67" spans="1:18">
      <c r="A67" t="str">
        <f t="shared" si="0"/>
        <v>Hidróxido de alumínio</v>
      </c>
      <c r="B67" t="str">
        <f t="shared" si="1"/>
        <v>Hidróxido de alumínio</v>
      </c>
      <c r="D67" s="1119"/>
      <c r="E67" s="1078" t="s">
        <v>657</v>
      </c>
      <c r="F67" s="1077" t="s">
        <v>5629</v>
      </c>
      <c r="G67" s="1077"/>
      <c r="H67" s="1077"/>
      <c r="I67" s="1077"/>
      <c r="J67" s="1077"/>
      <c r="K67" s="818">
        <v>2.4376000000000001E-4</v>
      </c>
      <c r="L67" s="818" t="s">
        <v>94</v>
      </c>
      <c r="M67" s="1078"/>
      <c r="N67" s="1077"/>
      <c r="O67" s="815"/>
      <c r="P67" s="817" t="s">
        <v>94</v>
      </c>
      <c r="Q67" s="1016" t="s">
        <v>5926</v>
      </c>
      <c r="R67" s="1016"/>
    </row>
    <row r="68" spans="1:18">
      <c r="A68" t="str">
        <f t="shared" si="0"/>
        <v>Hidróxido de alumínio</v>
      </c>
      <c r="B68" t="str">
        <f t="shared" si="1"/>
        <v>Hidróxido de alumínio</v>
      </c>
      <c r="D68" s="1119"/>
      <c r="E68" s="1078" t="s">
        <v>776</v>
      </c>
      <c r="F68" s="1077" t="s">
        <v>5629</v>
      </c>
      <c r="G68" s="1077"/>
      <c r="H68" s="1077"/>
      <c r="I68" s="1077"/>
      <c r="J68" s="1077"/>
      <c r="K68" s="818">
        <v>1.7260000000000001E-3</v>
      </c>
      <c r="L68" s="818" t="s">
        <v>94</v>
      </c>
      <c r="M68" s="1078"/>
      <c r="N68" s="1077"/>
      <c r="O68" s="815"/>
      <c r="P68" s="817" t="s">
        <v>94</v>
      </c>
      <c r="Q68" s="1016" t="s">
        <v>5926</v>
      </c>
      <c r="R68" s="1016"/>
    </row>
    <row r="69" spans="1:18">
      <c r="A69" t="str">
        <f t="shared" si="0"/>
        <v>Hidróxido de alumínio</v>
      </c>
      <c r="B69" t="str">
        <f t="shared" si="1"/>
        <v>Hidróxido de alumínio</v>
      </c>
      <c r="D69" s="1119"/>
      <c r="E69" s="1062" t="s">
        <v>5630</v>
      </c>
      <c r="F69" s="1061"/>
      <c r="G69" s="1061"/>
      <c r="H69" s="1061"/>
      <c r="I69" s="1061"/>
      <c r="J69" s="1061"/>
      <c r="K69" s="821">
        <v>5.9999999999999995E-4</v>
      </c>
      <c r="L69" s="821" t="s">
        <v>640</v>
      </c>
      <c r="M69" s="1062" t="s">
        <v>5655</v>
      </c>
      <c r="N69" s="1061"/>
      <c r="O69" s="826"/>
      <c r="P69" s="820" t="s">
        <v>640</v>
      </c>
      <c r="Q69" s="1016" t="s">
        <v>5926</v>
      </c>
      <c r="R69" s="1016"/>
    </row>
    <row r="70" spans="1:18">
      <c r="A70" t="str">
        <f t="shared" si="0"/>
        <v>Hidróxido de alumínio</v>
      </c>
      <c r="B70" t="str">
        <f t="shared" si="1"/>
        <v>Hidróxido de alumínio</v>
      </c>
      <c r="D70" s="1119"/>
      <c r="E70" s="1100" t="s">
        <v>5632</v>
      </c>
      <c r="F70" s="1100"/>
      <c r="G70" s="1100"/>
      <c r="H70" s="1100"/>
      <c r="I70" s="1100"/>
      <c r="J70" s="1074"/>
      <c r="K70" s="827" t="s">
        <v>5606</v>
      </c>
      <c r="L70" s="804" t="s">
        <v>5607</v>
      </c>
      <c r="M70" s="1075" t="s">
        <v>5220</v>
      </c>
      <c r="N70" s="1076"/>
      <c r="O70" s="805" t="s">
        <v>5606</v>
      </c>
      <c r="P70" s="806" t="s">
        <v>5607</v>
      </c>
      <c r="Q70" s="807" t="s">
        <v>5220</v>
      </c>
      <c r="R70" s="807" t="s">
        <v>5931</v>
      </c>
    </row>
    <row r="71" spans="1:18">
      <c r="A71" t="str">
        <f t="shared" si="0"/>
        <v>Hidróxido de alumínio</v>
      </c>
      <c r="B71" t="str">
        <f t="shared" si="1"/>
        <v>Hidróxido de alumínio</v>
      </c>
      <c r="D71" s="1119"/>
      <c r="E71" s="1078" t="s">
        <v>5656</v>
      </c>
      <c r="F71" s="1077" t="s">
        <v>5629</v>
      </c>
      <c r="G71" s="1077"/>
      <c r="H71" s="1077"/>
      <c r="I71" s="1077"/>
      <c r="J71" s="1077"/>
      <c r="K71" s="823">
        <v>4.5899999999999998E-5</v>
      </c>
      <c r="L71" s="814" t="s">
        <v>94</v>
      </c>
      <c r="M71" s="1063"/>
      <c r="N71" s="1064"/>
      <c r="O71" s="809"/>
      <c r="P71" s="812" t="s">
        <v>94</v>
      </c>
      <c r="Q71" s="1016" t="s">
        <v>5926</v>
      </c>
      <c r="R71" s="1016"/>
    </row>
    <row r="72" spans="1:18">
      <c r="A72" t="str">
        <f t="shared" ref="A72:A140" si="4">CONCATENATE(B72,C72)</f>
        <v>Hidróxido de alumínio</v>
      </c>
      <c r="B72" t="str">
        <f t="shared" ref="B72:B140" si="5">IF(D72=0,B71,D72)</f>
        <v>Hidróxido de alumínio</v>
      </c>
      <c r="D72" s="1119"/>
      <c r="E72" s="1078" t="s">
        <v>5657</v>
      </c>
      <c r="F72" s="1077" t="s">
        <v>5629</v>
      </c>
      <c r="G72" s="1077"/>
      <c r="H72" s="1077"/>
      <c r="I72" s="1077"/>
      <c r="J72" s="1077"/>
      <c r="K72" s="824">
        <v>4.5899999999999998E-5</v>
      </c>
      <c r="L72" s="819" t="s">
        <v>94</v>
      </c>
      <c r="M72" s="1078"/>
      <c r="N72" s="1077"/>
      <c r="O72" s="815"/>
      <c r="P72" s="817" t="s">
        <v>94</v>
      </c>
      <c r="Q72" s="1016" t="s">
        <v>5926</v>
      </c>
      <c r="R72" s="1016"/>
    </row>
    <row r="73" spans="1:18">
      <c r="A73" t="str">
        <f t="shared" si="4"/>
        <v>Hidróxido de alumínio</v>
      </c>
      <c r="B73" t="str">
        <f t="shared" si="5"/>
        <v>Hidróxido de alumínio</v>
      </c>
      <c r="D73" s="1119"/>
      <c r="E73" s="1078" t="s">
        <v>740</v>
      </c>
      <c r="F73" s="1077" t="s">
        <v>5629</v>
      </c>
      <c r="G73" s="1077"/>
      <c r="H73" s="1077"/>
      <c r="I73" s="1077"/>
      <c r="J73" s="1077"/>
      <c r="K73" s="824">
        <v>1.8E-5</v>
      </c>
      <c r="L73" s="819" t="s">
        <v>94</v>
      </c>
      <c r="M73" s="1078"/>
      <c r="N73" s="1077"/>
      <c r="O73" s="815"/>
      <c r="P73" s="817" t="s">
        <v>94</v>
      </c>
      <c r="Q73" s="1016" t="s">
        <v>5926</v>
      </c>
      <c r="R73" s="1016"/>
    </row>
    <row r="74" spans="1:18">
      <c r="A74" t="str">
        <f t="shared" si="4"/>
        <v>Hidróxido de alumínio</v>
      </c>
      <c r="B74" t="str">
        <f t="shared" si="5"/>
        <v>Hidróxido de alumínio</v>
      </c>
      <c r="D74" s="1119"/>
      <c r="E74" s="1078" t="s">
        <v>5654</v>
      </c>
      <c r="F74" s="1077" t="s">
        <v>5629</v>
      </c>
      <c r="G74" s="1077"/>
      <c r="H74" s="1077"/>
      <c r="I74" s="1077"/>
      <c r="J74" s="1077"/>
      <c r="K74" s="824">
        <v>6.9999999999999996E-10</v>
      </c>
      <c r="L74" s="819" t="s">
        <v>94</v>
      </c>
      <c r="M74" s="1078"/>
      <c r="N74" s="1077"/>
      <c r="O74" s="815"/>
      <c r="P74" s="817" t="s">
        <v>94</v>
      </c>
      <c r="Q74" s="1016" t="s">
        <v>5926</v>
      </c>
      <c r="R74" s="1016"/>
    </row>
    <row r="75" spans="1:18">
      <c r="A75" t="str">
        <f t="shared" si="4"/>
        <v>Hidróxido de alumínio</v>
      </c>
      <c r="B75" t="str">
        <f t="shared" si="5"/>
        <v>Hidróxido de alumínio</v>
      </c>
      <c r="D75" s="1119"/>
      <c r="E75" s="1078" t="s">
        <v>980</v>
      </c>
      <c r="F75" s="1077" t="s">
        <v>5629</v>
      </c>
      <c r="G75" s="1077"/>
      <c r="H75" s="1077"/>
      <c r="I75" s="1077"/>
      <c r="J75" s="1077"/>
      <c r="K75" s="824">
        <v>1.7799999999999999E-3</v>
      </c>
      <c r="L75" s="819" t="s">
        <v>94</v>
      </c>
      <c r="M75" s="1078"/>
      <c r="N75" s="1077"/>
      <c r="O75" s="815"/>
      <c r="P75" s="817" t="s">
        <v>94</v>
      </c>
      <c r="Q75" s="1016" t="s">
        <v>5926</v>
      </c>
      <c r="R75" s="1016"/>
    </row>
    <row r="76" spans="1:18">
      <c r="A76" t="str">
        <f t="shared" si="4"/>
        <v>Hidróxido de alumínio</v>
      </c>
      <c r="B76" t="str">
        <f t="shared" si="5"/>
        <v>Hidróxido de alumínio</v>
      </c>
      <c r="D76" s="1119"/>
      <c r="E76" s="1078" t="s">
        <v>4730</v>
      </c>
      <c r="F76" s="1077" t="s">
        <v>5629</v>
      </c>
      <c r="G76" s="1077"/>
      <c r="H76" s="1077"/>
      <c r="I76" s="1077"/>
      <c r="J76" s="1077"/>
      <c r="K76" s="824">
        <v>1.2800000000000001E-3</v>
      </c>
      <c r="L76" s="819" t="s">
        <v>94</v>
      </c>
      <c r="M76" s="1078"/>
      <c r="N76" s="1077"/>
      <c r="O76" s="815"/>
      <c r="P76" s="817" t="s">
        <v>94</v>
      </c>
      <c r="Q76" s="1016" t="s">
        <v>5926</v>
      </c>
      <c r="R76" s="1016"/>
    </row>
    <row r="77" spans="1:18">
      <c r="A77" t="str">
        <f t="shared" si="4"/>
        <v>Hidróxido de alumínio</v>
      </c>
      <c r="B77" t="str">
        <f t="shared" si="5"/>
        <v>Hidróxido de alumínio</v>
      </c>
      <c r="D77" s="1119"/>
      <c r="E77" s="1078" t="s">
        <v>777</v>
      </c>
      <c r="F77" s="1077" t="s">
        <v>5629</v>
      </c>
      <c r="G77" s="1077"/>
      <c r="H77" s="1077"/>
      <c r="I77" s="1077"/>
      <c r="J77" s="1077"/>
      <c r="K77" s="824">
        <v>1.0000000000000001E-5</v>
      </c>
      <c r="L77" s="819" t="s">
        <v>94</v>
      </c>
      <c r="M77" s="1078"/>
      <c r="N77" s="1077"/>
      <c r="O77" s="815"/>
      <c r="P77" s="817" t="s">
        <v>94</v>
      </c>
      <c r="Q77" s="1016" t="s">
        <v>5926</v>
      </c>
      <c r="R77" s="1016"/>
    </row>
    <row r="78" spans="1:18">
      <c r="A78" t="str">
        <f t="shared" si="4"/>
        <v>Hidróxido de alumínio</v>
      </c>
      <c r="B78" t="str">
        <f t="shared" si="5"/>
        <v>Hidróxido de alumínio</v>
      </c>
      <c r="D78" s="1119"/>
      <c r="E78" s="1078" t="s">
        <v>783</v>
      </c>
      <c r="F78" s="1077" t="s">
        <v>5629</v>
      </c>
      <c r="G78" s="1077"/>
      <c r="H78" s="1077"/>
      <c r="I78" s="1077"/>
      <c r="J78" s="1077"/>
      <c r="K78" s="824">
        <v>1.8E-5</v>
      </c>
      <c r="L78" s="819" t="s">
        <v>94</v>
      </c>
      <c r="M78" s="1078"/>
      <c r="N78" s="1077"/>
      <c r="O78" s="815"/>
      <c r="P78" s="817" t="s">
        <v>94</v>
      </c>
      <c r="Q78" s="1016" t="s">
        <v>5926</v>
      </c>
      <c r="R78" s="1016"/>
    </row>
    <row r="79" spans="1:18">
      <c r="A79" t="str">
        <f t="shared" si="4"/>
        <v>Hidróxido de alumínio</v>
      </c>
      <c r="B79" t="str">
        <f t="shared" si="5"/>
        <v>Hidróxido de alumínio</v>
      </c>
      <c r="D79" s="1119"/>
      <c r="E79" s="1078" t="s">
        <v>1094</v>
      </c>
      <c r="F79" s="1077" t="s">
        <v>5633</v>
      </c>
      <c r="G79" s="1077"/>
      <c r="H79" s="1077"/>
      <c r="I79" s="1077"/>
      <c r="J79" s="1077"/>
      <c r="K79" s="825">
        <v>1.3749999999999999E-3</v>
      </c>
      <c r="L79" s="822" t="s">
        <v>640</v>
      </c>
      <c r="M79" s="1062"/>
      <c r="N79" s="1061"/>
      <c r="O79" s="826"/>
      <c r="P79" s="820" t="s">
        <v>640</v>
      </c>
      <c r="Q79" s="1016" t="s">
        <v>5926</v>
      </c>
      <c r="R79" s="1016"/>
    </row>
    <row r="80" spans="1:18">
      <c r="A80" t="str">
        <f t="shared" si="4"/>
        <v>Hidróxido de alumínio</v>
      </c>
      <c r="B80" t="str">
        <f t="shared" si="5"/>
        <v>Hidróxido de alumínio</v>
      </c>
      <c r="D80" s="1119"/>
      <c r="E80" s="1100" t="s">
        <v>5634</v>
      </c>
      <c r="F80" s="1100"/>
      <c r="G80" s="1100"/>
      <c r="H80" s="1100"/>
      <c r="I80" s="1100"/>
      <c r="J80" s="1074"/>
      <c r="K80" s="827" t="s">
        <v>5606</v>
      </c>
      <c r="L80" s="811" t="s">
        <v>5607</v>
      </c>
      <c r="M80" s="1101" t="s">
        <v>5220</v>
      </c>
      <c r="N80" s="1092"/>
      <c r="O80" s="805" t="s">
        <v>5606</v>
      </c>
      <c r="P80" s="806" t="s">
        <v>5607</v>
      </c>
      <c r="Q80" s="807" t="s">
        <v>5220</v>
      </c>
      <c r="R80" s="807" t="s">
        <v>5931</v>
      </c>
    </row>
    <row r="81" spans="1:18">
      <c r="A81" t="str">
        <f t="shared" si="4"/>
        <v>Hidróxido de alumínio</v>
      </c>
      <c r="B81" t="str">
        <f t="shared" si="5"/>
        <v>Hidróxido de alumínio</v>
      </c>
      <c r="D81" s="1119"/>
      <c r="E81" s="1063" t="s">
        <v>5658</v>
      </c>
      <c r="F81" s="1064"/>
      <c r="G81" s="1064"/>
      <c r="H81" s="1064"/>
      <c r="I81" s="1064"/>
      <c r="J81" s="1064"/>
      <c r="K81" s="813">
        <v>4.6999999999999999E-4</v>
      </c>
      <c r="L81" s="813" t="s">
        <v>94</v>
      </c>
      <c r="M81" s="1063"/>
      <c r="N81" s="1064"/>
      <c r="O81" s="809"/>
      <c r="P81" s="812" t="s">
        <v>94</v>
      </c>
      <c r="Q81" s="1016" t="s">
        <v>5926</v>
      </c>
      <c r="R81" s="1016"/>
    </row>
    <row r="82" spans="1:18">
      <c r="A82" t="str">
        <f t="shared" si="4"/>
        <v>Hidróxido de alumínioDSP + Red Mud</v>
      </c>
      <c r="B82" t="str">
        <f t="shared" si="5"/>
        <v>Hidróxido de alumínio</v>
      </c>
      <c r="C82" t="s">
        <v>117</v>
      </c>
      <c r="D82" s="1119"/>
      <c r="E82" s="1078" t="s">
        <v>5659</v>
      </c>
      <c r="F82" s="1077"/>
      <c r="G82" s="1077"/>
      <c r="H82" s="1077"/>
      <c r="I82" s="1077"/>
      <c r="J82" s="1077"/>
      <c r="K82" s="818">
        <v>0.48099999999999998</v>
      </c>
      <c r="L82" s="818" t="s">
        <v>94</v>
      </c>
      <c r="M82" s="1062"/>
      <c r="N82" s="1061"/>
      <c r="O82" s="826"/>
      <c r="P82" s="820" t="s">
        <v>94</v>
      </c>
      <c r="Q82" s="1016" t="s">
        <v>5926</v>
      </c>
      <c r="R82" s="1016"/>
    </row>
    <row r="83" spans="1:18" ht="14.4" customHeight="1">
      <c r="A83" t="str">
        <f t="shared" si="4"/>
        <v>Óxido de aluminio ou alumina</v>
      </c>
      <c r="B83" t="str">
        <f t="shared" si="5"/>
        <v>Óxido de aluminio ou alumina</v>
      </c>
      <c r="D83" s="1140" t="s">
        <v>5660</v>
      </c>
      <c r="E83" s="1120" t="s">
        <v>5605</v>
      </c>
      <c r="F83" s="1121"/>
      <c r="G83" s="1121"/>
      <c r="H83" s="1121"/>
      <c r="I83" s="1121"/>
      <c r="J83" s="1121"/>
      <c r="K83" s="1036" t="s">
        <v>5606</v>
      </c>
      <c r="L83" s="1036" t="s">
        <v>5607</v>
      </c>
      <c r="M83" s="1068" t="s">
        <v>5608</v>
      </c>
      <c r="N83" s="1070"/>
      <c r="O83" s="1037" t="s">
        <v>5606</v>
      </c>
      <c r="P83" s="1038" t="s">
        <v>5607</v>
      </c>
      <c r="Q83" s="1035" t="s">
        <v>5220</v>
      </c>
      <c r="R83" s="1035" t="s">
        <v>5931</v>
      </c>
    </row>
    <row r="84" spans="1:18">
      <c r="A84" t="str">
        <f t="shared" si="4"/>
        <v>Óxido de aluminio ou aluminaAlumina</v>
      </c>
      <c r="B84" t="str">
        <f t="shared" si="5"/>
        <v>Óxido de aluminio ou alumina</v>
      </c>
      <c r="C84" t="s">
        <v>5</v>
      </c>
      <c r="D84" s="1141"/>
      <c r="E84" s="1061" t="s">
        <v>5661</v>
      </c>
      <c r="F84" s="1061"/>
      <c r="G84" s="1061"/>
      <c r="H84" s="1061"/>
      <c r="I84" s="1061"/>
      <c r="J84" s="1061"/>
      <c r="K84" s="829">
        <v>1</v>
      </c>
      <c r="L84" s="832" t="s">
        <v>94</v>
      </c>
      <c r="M84" s="1122" t="s">
        <v>5662</v>
      </c>
      <c r="N84" s="1122"/>
      <c r="O84" s="829">
        <v>1</v>
      </c>
      <c r="P84" s="1013" t="s">
        <v>94</v>
      </c>
      <c r="Q84" s="836"/>
      <c r="R84" s="836"/>
    </row>
    <row r="85" spans="1:18">
      <c r="A85" t="str">
        <f t="shared" si="4"/>
        <v>Óxido de aluminio ou alumina</v>
      </c>
      <c r="B85" t="str">
        <f t="shared" si="5"/>
        <v>Óxido de aluminio ou alumina</v>
      </c>
      <c r="D85" s="1141"/>
      <c r="E85" s="1091" t="s">
        <v>5618</v>
      </c>
      <c r="F85" s="1101"/>
      <c r="G85" s="1101"/>
      <c r="H85" s="1101"/>
      <c r="I85" s="1101"/>
      <c r="J85" s="1101"/>
      <c r="K85" s="811" t="s">
        <v>5606</v>
      </c>
      <c r="L85" s="811" t="s">
        <v>5607</v>
      </c>
      <c r="M85" s="1101" t="s">
        <v>5220</v>
      </c>
      <c r="N85" s="1092"/>
      <c r="O85" s="805" t="s">
        <v>5606</v>
      </c>
      <c r="P85" s="806" t="s">
        <v>5607</v>
      </c>
      <c r="Q85" s="807" t="s">
        <v>5220</v>
      </c>
      <c r="R85" s="807" t="s">
        <v>5931</v>
      </c>
    </row>
    <row r="86" spans="1:18">
      <c r="A86" t="str">
        <f t="shared" si="4"/>
        <v>Óxido de aluminio ou aluminaAl(OH)3</v>
      </c>
      <c r="B86" t="str">
        <f t="shared" si="5"/>
        <v>Óxido de aluminio ou alumina</v>
      </c>
      <c r="C86" t="s">
        <v>105</v>
      </c>
      <c r="D86" s="1141"/>
      <c r="E86" s="1064" t="s">
        <v>5647</v>
      </c>
      <c r="F86" s="1064"/>
      <c r="G86" s="1064"/>
      <c r="H86" s="1064"/>
      <c r="I86" s="1064"/>
      <c r="J86" s="1064"/>
      <c r="K86" s="823">
        <v>1.53</v>
      </c>
      <c r="L86" s="814" t="s">
        <v>94</v>
      </c>
      <c r="M86" s="1063"/>
      <c r="N86" s="1064"/>
      <c r="O86" s="809">
        <f>'LCI - Comparação'!K19</f>
        <v>1.53</v>
      </c>
      <c r="P86" s="812" t="s">
        <v>94</v>
      </c>
      <c r="Q86" s="810" t="s">
        <v>150</v>
      </c>
      <c r="R86" s="810"/>
    </row>
    <row r="87" spans="1:18">
      <c r="A87" t="str">
        <f t="shared" si="4"/>
        <v>Óxido de aluminio ou alumina</v>
      </c>
      <c r="B87" t="str">
        <f t="shared" si="5"/>
        <v>Óxido de aluminio ou alumina</v>
      </c>
      <c r="D87" s="1141"/>
      <c r="E87" s="1061" t="s">
        <v>5663</v>
      </c>
      <c r="F87" s="1061"/>
      <c r="G87" s="1061"/>
      <c r="H87" s="1061"/>
      <c r="I87" s="1061"/>
      <c r="J87" s="1061"/>
      <c r="K87" s="825">
        <v>2.5000000000000001E-11</v>
      </c>
      <c r="L87" s="822" t="s">
        <v>5621</v>
      </c>
      <c r="M87" s="1062"/>
      <c r="N87" s="1061"/>
      <c r="O87" s="809">
        <f>K87/$K$84*$O$84</f>
        <v>2.5000000000000001E-11</v>
      </c>
      <c r="P87" s="820" t="s">
        <v>5621</v>
      </c>
      <c r="Q87" s="835" t="s">
        <v>150</v>
      </c>
      <c r="R87" s="835"/>
    </row>
    <row r="88" spans="1:18">
      <c r="A88" t="str">
        <f t="shared" si="4"/>
        <v>Óxido de aluminio ou alumina</v>
      </c>
      <c r="B88" t="str">
        <f t="shared" si="5"/>
        <v>Óxido de aluminio ou alumina</v>
      </c>
      <c r="D88" s="1141"/>
      <c r="E88" s="1100" t="s">
        <v>5623</v>
      </c>
      <c r="F88" s="1100"/>
      <c r="G88" s="1100"/>
      <c r="H88" s="1100"/>
      <c r="I88" s="1100"/>
      <c r="J88" s="1074"/>
      <c r="K88" s="827" t="s">
        <v>5606</v>
      </c>
      <c r="L88" s="804" t="s">
        <v>5607</v>
      </c>
      <c r="M88" s="1074" t="s">
        <v>5220</v>
      </c>
      <c r="N88" s="1076"/>
      <c r="O88" s="805" t="s">
        <v>5606</v>
      </c>
      <c r="P88" s="806" t="s">
        <v>5607</v>
      </c>
      <c r="Q88" s="807" t="s">
        <v>5220</v>
      </c>
      <c r="R88" s="807" t="s">
        <v>5931</v>
      </c>
    </row>
    <row r="89" spans="1:18">
      <c r="A89" t="str">
        <f t="shared" si="4"/>
        <v>Óxido de aluminio ou aluminaNatural Gas</v>
      </c>
      <c r="B89" t="str">
        <f t="shared" si="5"/>
        <v>Óxido de aluminio ou alumina</v>
      </c>
      <c r="C89" t="s">
        <v>5391</v>
      </c>
      <c r="D89" s="1141"/>
      <c r="E89" s="1064" t="s">
        <v>5652</v>
      </c>
      <c r="F89" s="1064"/>
      <c r="G89" s="1064"/>
      <c r="H89" s="1064"/>
      <c r="I89" s="1064"/>
      <c r="J89" s="1113"/>
      <c r="K89" s="814">
        <v>0.15538461538461501</v>
      </c>
      <c r="L89" s="813" t="s">
        <v>607</v>
      </c>
      <c r="M89" s="1104"/>
      <c r="N89" s="1105"/>
      <c r="O89" s="809">
        <f>'LCI - Comparação'!K38</f>
        <v>9.9849615384615245E-2</v>
      </c>
      <c r="P89" s="812" t="s">
        <v>607</v>
      </c>
      <c r="Q89" s="816" t="s">
        <v>5490</v>
      </c>
      <c r="R89" s="816" t="s">
        <v>5927</v>
      </c>
    </row>
    <row r="90" spans="1:18">
      <c r="A90" t="str">
        <f t="shared" si="4"/>
        <v>Óxido de aluminio ou aluminaFuel Oil</v>
      </c>
      <c r="B90" t="str">
        <f t="shared" si="5"/>
        <v>Óxido de aluminio ou alumina</v>
      </c>
      <c r="C90" t="s">
        <v>5338</v>
      </c>
      <c r="D90" s="1141"/>
      <c r="E90" s="1077" t="s">
        <v>5626</v>
      </c>
      <c r="F90" s="1077"/>
      <c r="G90" s="1077"/>
      <c r="H90" s="1077"/>
      <c r="I90" s="1077"/>
      <c r="J90" s="1108"/>
      <c r="K90" s="819">
        <v>2.6970560303893598</v>
      </c>
      <c r="L90" s="818" t="s">
        <v>607</v>
      </c>
      <c r="M90" s="1098"/>
      <c r="N90" s="1099"/>
      <c r="O90" s="815">
        <f>'LCI - Comparação'!K36</f>
        <v>1.5262726923076901</v>
      </c>
      <c r="P90" s="817" t="s">
        <v>607</v>
      </c>
      <c r="Q90" s="816" t="s">
        <v>5490</v>
      </c>
      <c r="R90" s="816" t="s">
        <v>5927</v>
      </c>
    </row>
    <row r="91" spans="1:18">
      <c r="A91" t="str">
        <f t="shared" si="4"/>
        <v>Óxido de aluminio ou aluminaDiesel</v>
      </c>
      <c r="B91" t="str">
        <f t="shared" si="5"/>
        <v>Óxido de aluminio ou alumina</v>
      </c>
      <c r="C91" t="s">
        <v>464</v>
      </c>
      <c r="D91" s="1141"/>
      <c r="E91" s="1061" t="s">
        <v>5627</v>
      </c>
      <c r="F91" s="1061"/>
      <c r="G91" s="1061"/>
      <c r="H91" s="1061"/>
      <c r="I91" s="1061"/>
      <c r="J91" s="1110"/>
      <c r="K91" s="822">
        <v>4.0550807217473901E-4</v>
      </c>
      <c r="L91" s="821" t="s">
        <v>607</v>
      </c>
      <c r="M91" s="1102"/>
      <c r="N91" s="1103"/>
      <c r="O91" s="826">
        <v>0</v>
      </c>
      <c r="P91" s="820" t="s">
        <v>607</v>
      </c>
      <c r="Q91" s="816" t="s">
        <v>5490</v>
      </c>
      <c r="R91" s="816" t="s">
        <v>5927</v>
      </c>
    </row>
    <row r="92" spans="1:18">
      <c r="D92" s="1141"/>
      <c r="E92" s="1078" t="s">
        <v>5653</v>
      </c>
      <c r="F92" s="1077"/>
      <c r="G92" s="1077"/>
      <c r="H92" s="1077"/>
      <c r="I92" s="1077"/>
      <c r="J92" s="1077"/>
      <c r="K92" s="819"/>
      <c r="L92" s="818"/>
      <c r="M92" s="819"/>
      <c r="N92" s="819"/>
      <c r="O92" s="815">
        <f>'LCI - Comparação'!K39</f>
        <v>1.0555530769230754</v>
      </c>
      <c r="P92" s="817" t="s">
        <v>607</v>
      </c>
      <c r="Q92" s="816" t="s">
        <v>5490</v>
      </c>
      <c r="R92" s="816" t="s">
        <v>5927</v>
      </c>
    </row>
    <row r="93" spans="1:18">
      <c r="D93" s="1141"/>
      <c r="E93" s="1063" t="s">
        <v>5624</v>
      </c>
      <c r="F93" s="1064"/>
      <c r="G93" s="1064"/>
      <c r="H93" s="1064"/>
      <c r="I93" s="1064"/>
      <c r="J93" s="1064"/>
      <c r="K93" s="819"/>
      <c r="L93" s="818"/>
      <c r="M93" s="819"/>
      <c r="N93" s="819"/>
      <c r="O93" s="815">
        <f>'LCI - Comparação'!K40/3.6</f>
        <v>4.7547435897435826E-2</v>
      </c>
      <c r="P93" s="817" t="s">
        <v>598</v>
      </c>
      <c r="Q93" s="816" t="s">
        <v>5490</v>
      </c>
      <c r="R93" s="816" t="s">
        <v>5927</v>
      </c>
    </row>
    <row r="94" spans="1:18">
      <c r="A94" t="str">
        <f t="shared" ref="A94" si="6">CONCATENATE(B94,C94)</f>
        <v>0</v>
      </c>
      <c r="B94">
        <f t="shared" ref="B94" si="7">IF(D94=0,B93,D94)</f>
        <v>0</v>
      </c>
      <c r="D94" s="1141"/>
      <c r="E94" s="1097" t="s">
        <v>5628</v>
      </c>
      <c r="F94" s="1097"/>
      <c r="G94" s="1097"/>
      <c r="H94" s="1097"/>
      <c r="I94" s="1097"/>
      <c r="J94" s="1091"/>
      <c r="K94" s="834" t="s">
        <v>5606</v>
      </c>
      <c r="L94" s="811" t="s">
        <v>5607</v>
      </c>
      <c r="M94" s="1091" t="s">
        <v>5220</v>
      </c>
      <c r="N94" s="1092"/>
      <c r="O94" s="805" t="s">
        <v>5606</v>
      </c>
      <c r="P94" s="806" t="s">
        <v>5607</v>
      </c>
      <c r="Q94" s="807" t="s">
        <v>5220</v>
      </c>
      <c r="R94" s="807" t="s">
        <v>5931</v>
      </c>
    </row>
    <row r="95" spans="1:18">
      <c r="D95" s="1144"/>
      <c r="E95" s="1064" t="s">
        <v>5934</v>
      </c>
      <c r="F95" s="1064"/>
      <c r="G95" s="1064"/>
      <c r="H95" s="1064"/>
      <c r="I95" s="1064"/>
      <c r="J95" s="1064"/>
      <c r="K95" s="813"/>
      <c r="L95" s="818" t="s">
        <v>94</v>
      </c>
      <c r="M95" s="1063"/>
      <c r="N95" s="1064"/>
      <c r="O95" s="809">
        <f>'LCI - Comparação'!K43</f>
        <v>0.23385386771001251</v>
      </c>
      <c r="P95" s="812" t="s">
        <v>94</v>
      </c>
      <c r="Q95" s="1016" t="s">
        <v>5490</v>
      </c>
      <c r="R95" s="1016" t="s">
        <v>5858</v>
      </c>
    </row>
    <row r="96" spans="1:18">
      <c r="A96" t="str">
        <f t="shared" si="4"/>
        <v>Alumínio primário líquido, soderberg</v>
      </c>
      <c r="B96" t="str">
        <f>IF(D96=0,B91,D96)</f>
        <v>Alumínio primário líquido, soderberg</v>
      </c>
      <c r="D96" s="1111" t="s">
        <v>5664</v>
      </c>
      <c r="E96" s="1068" t="s">
        <v>5605</v>
      </c>
      <c r="F96" s="1069"/>
      <c r="G96" s="1069"/>
      <c r="H96" s="1069"/>
      <c r="I96" s="1069"/>
      <c r="J96" s="1069"/>
      <c r="K96" s="1037" t="s">
        <v>5606</v>
      </c>
      <c r="L96" s="1037" t="s">
        <v>5607</v>
      </c>
      <c r="M96" s="1069" t="s">
        <v>5608</v>
      </c>
      <c r="N96" s="1070"/>
      <c r="O96" s="1037" t="s">
        <v>5606</v>
      </c>
      <c r="P96" s="1038" t="s">
        <v>5607</v>
      </c>
      <c r="Q96" s="1035" t="s">
        <v>5220</v>
      </c>
      <c r="R96" s="1035" t="s">
        <v>5931</v>
      </c>
    </row>
    <row r="97" spans="1:18">
      <c r="A97" t="str">
        <f t="shared" si="4"/>
        <v>Alumínio primário líquido, soderbergPrimary Liquid Aluminum</v>
      </c>
      <c r="B97" t="str">
        <f t="shared" si="5"/>
        <v>Alumínio primário líquido, soderberg</v>
      </c>
      <c r="C97" t="s">
        <v>492</v>
      </c>
      <c r="D97" s="1112"/>
      <c r="E97" s="1113" t="s">
        <v>5665</v>
      </c>
      <c r="F97" s="1114"/>
      <c r="G97" s="1114"/>
      <c r="H97" s="1114"/>
      <c r="I97" s="1114"/>
      <c r="J97" s="1114"/>
      <c r="K97" s="823">
        <v>1</v>
      </c>
      <c r="L97" s="823" t="s">
        <v>94</v>
      </c>
      <c r="M97" s="1115" t="s">
        <v>5666</v>
      </c>
      <c r="N97" s="1116"/>
      <c r="O97" s="808">
        <v>1</v>
      </c>
      <c r="P97" s="808" t="s">
        <v>94</v>
      </c>
      <c r="Q97" s="810"/>
      <c r="R97" s="810"/>
    </row>
    <row r="98" spans="1:18">
      <c r="A98" t="str">
        <f t="shared" si="4"/>
        <v>Alumínio primário líquido, soderberg</v>
      </c>
      <c r="B98" t="str">
        <f t="shared" si="5"/>
        <v>Alumínio primário líquido, soderberg</v>
      </c>
      <c r="D98" s="1112"/>
      <c r="E98" s="1117" t="s">
        <v>5611</v>
      </c>
      <c r="F98" s="1109"/>
      <c r="G98" s="1109"/>
      <c r="H98" s="1109"/>
      <c r="I98" s="1109"/>
      <c r="J98" s="1109"/>
      <c r="K98" s="837" t="s">
        <v>5606</v>
      </c>
      <c r="L98" s="837" t="s">
        <v>5607</v>
      </c>
      <c r="M98" s="1109" t="s">
        <v>5220</v>
      </c>
      <c r="N98" s="1109"/>
      <c r="O98" s="805" t="s">
        <v>5606</v>
      </c>
      <c r="P98" s="806" t="s">
        <v>5607</v>
      </c>
      <c r="Q98" s="807" t="s">
        <v>5220</v>
      </c>
      <c r="R98" s="807" t="s">
        <v>5931</v>
      </c>
    </row>
    <row r="99" spans="1:18">
      <c r="A99" t="str">
        <f t="shared" si="4"/>
        <v>Alumínio primário líquido, soderberg</v>
      </c>
      <c r="B99" t="str">
        <f t="shared" si="5"/>
        <v>Alumínio primário líquido, soderberg</v>
      </c>
      <c r="D99" s="1112"/>
      <c r="E99" s="1071" t="s">
        <v>5281</v>
      </c>
      <c r="F99" s="1072"/>
      <c r="G99" s="1072"/>
      <c r="H99" s="1072"/>
      <c r="I99" s="1072"/>
      <c r="J99" s="1072"/>
      <c r="K99" s="829">
        <v>2.7959999999999999E-2</v>
      </c>
      <c r="L99" s="829" t="s">
        <v>640</v>
      </c>
      <c r="M99" s="1073" t="s">
        <v>5615</v>
      </c>
      <c r="N99" s="1073"/>
      <c r="O99" s="836">
        <f>K99/$K$97*$O$97</f>
        <v>2.7959999999999999E-2</v>
      </c>
      <c r="P99" s="1014" t="s">
        <v>640</v>
      </c>
      <c r="Q99" s="836" t="s">
        <v>150</v>
      </c>
      <c r="R99" s="836"/>
    </row>
    <row r="100" spans="1:18">
      <c r="A100" t="str">
        <f t="shared" si="4"/>
        <v>Alumínio primário líquido, soderberg</v>
      </c>
      <c r="B100" t="str">
        <f t="shared" si="5"/>
        <v>Alumínio primário líquido, soderberg</v>
      </c>
      <c r="D100" s="1112"/>
      <c r="E100" s="1091" t="s">
        <v>5618</v>
      </c>
      <c r="F100" s="1101"/>
      <c r="G100" s="1101"/>
      <c r="H100" s="1101"/>
      <c r="I100" s="1101"/>
      <c r="J100" s="1101"/>
      <c r="K100" s="811" t="s">
        <v>5606</v>
      </c>
      <c r="L100" s="811" t="s">
        <v>5607</v>
      </c>
      <c r="M100" s="1101" t="s">
        <v>5220</v>
      </c>
      <c r="N100" s="1092"/>
      <c r="O100" s="805" t="s">
        <v>5606</v>
      </c>
      <c r="P100" s="806" t="s">
        <v>5607</v>
      </c>
      <c r="Q100" s="807" t="s">
        <v>5220</v>
      </c>
      <c r="R100" s="807" t="s">
        <v>5931</v>
      </c>
    </row>
    <row r="101" spans="1:18">
      <c r="A101" t="str">
        <f t="shared" si="4"/>
        <v>Alumínio primário líquido, soderberg</v>
      </c>
      <c r="B101" t="str">
        <f t="shared" si="5"/>
        <v>Alumínio primário líquido, soderberg</v>
      </c>
      <c r="D101" s="1112"/>
      <c r="E101" s="1064" t="s">
        <v>5667</v>
      </c>
      <c r="F101" s="1064"/>
      <c r="G101" s="1064"/>
      <c r="H101" s="1064"/>
      <c r="I101" s="1064"/>
      <c r="J101" s="1064"/>
      <c r="K101" s="823">
        <v>1.5384999999999999E-10</v>
      </c>
      <c r="L101" s="814" t="s">
        <v>5621</v>
      </c>
      <c r="M101" s="1104"/>
      <c r="N101" s="1105"/>
      <c r="O101" s="836">
        <f>K101/$K$97*$O$97</f>
        <v>1.5384999999999999E-10</v>
      </c>
      <c r="P101" s="812" t="s">
        <v>5621</v>
      </c>
      <c r="Q101" s="153" t="s">
        <v>150</v>
      </c>
      <c r="R101" s="1039"/>
    </row>
    <row r="102" spans="1:18">
      <c r="A102" t="str">
        <f t="shared" si="4"/>
        <v>Alumínio primário líquido, soderbergAlF3</v>
      </c>
      <c r="B102" t="str">
        <f t="shared" si="5"/>
        <v>Alumínio primário líquido, soderberg</v>
      </c>
      <c r="C102" t="s">
        <v>109</v>
      </c>
      <c r="D102" s="1112"/>
      <c r="E102" s="1077" t="s">
        <v>5668</v>
      </c>
      <c r="F102" s="1077"/>
      <c r="G102" s="1077"/>
      <c r="H102" s="1077"/>
      <c r="I102" s="1077"/>
      <c r="J102" s="1077"/>
      <c r="K102" s="824">
        <v>2.07E-2</v>
      </c>
      <c r="L102" s="819" t="s">
        <v>94</v>
      </c>
      <c r="M102" s="1098"/>
      <c r="N102" s="1099"/>
      <c r="O102" s="836">
        <f>'LCI - Comparação'!N17</f>
        <v>2.07E-2</v>
      </c>
      <c r="P102" s="817" t="s">
        <v>94</v>
      </c>
      <c r="Q102" s="158" t="s">
        <v>150</v>
      </c>
      <c r="R102" s="1040"/>
    </row>
    <row r="103" spans="1:18">
      <c r="A103" t="str">
        <f t="shared" si="4"/>
        <v>Alumínio primário líquido, soderbergAlumina</v>
      </c>
      <c r="B103" t="str">
        <f t="shared" si="5"/>
        <v>Alumínio primário líquido, soderberg</v>
      </c>
      <c r="C103" t="s">
        <v>5</v>
      </c>
      <c r="D103" s="1112"/>
      <c r="E103" s="1077" t="s">
        <v>5661</v>
      </c>
      <c r="F103" s="1077"/>
      <c r="G103" s="1077"/>
      <c r="H103" s="1077"/>
      <c r="I103" s="1077"/>
      <c r="J103" s="1077"/>
      <c r="K103" s="824">
        <v>2.105</v>
      </c>
      <c r="L103" s="819" t="s">
        <v>94</v>
      </c>
      <c r="M103" s="1098" t="s">
        <v>5669</v>
      </c>
      <c r="N103" s="1099"/>
      <c r="O103" s="836">
        <f>'LCI - Comparação'!M11</f>
        <v>2.1049933696609053</v>
      </c>
      <c r="P103" s="817" t="s">
        <v>94</v>
      </c>
      <c r="Q103" s="158" t="s">
        <v>150</v>
      </c>
      <c r="R103" s="1040"/>
    </row>
    <row r="104" spans="1:18">
      <c r="A104" t="str">
        <f t="shared" si="4"/>
        <v>Alumínio primário líquido, soderbergCarbon Anode Paste</v>
      </c>
      <c r="B104" t="str">
        <f t="shared" si="5"/>
        <v>Alumínio primário líquido, soderberg</v>
      </c>
      <c r="C104" t="s">
        <v>505</v>
      </c>
      <c r="D104" s="1112"/>
      <c r="E104" s="1077" t="s">
        <v>5670</v>
      </c>
      <c r="F104" s="1077"/>
      <c r="G104" s="1077"/>
      <c r="H104" s="1077"/>
      <c r="I104" s="1077"/>
      <c r="J104" s="1077"/>
      <c r="K104" s="824">
        <v>0.51500000000000001</v>
      </c>
      <c r="L104" s="819" t="s">
        <v>94</v>
      </c>
      <c r="M104" s="1098" t="s">
        <v>5669</v>
      </c>
      <c r="N104" s="1099"/>
      <c r="O104" s="836">
        <f>'LCI - Comparação'!M15</f>
        <v>0.51500000000000001</v>
      </c>
      <c r="P104" s="817" t="s">
        <v>94</v>
      </c>
      <c r="Q104" s="158" t="s">
        <v>150</v>
      </c>
      <c r="R104" s="1040"/>
    </row>
    <row r="105" spans="1:18">
      <c r="A105" t="str">
        <f t="shared" si="4"/>
        <v>Alumínio primário líquido, soderberg</v>
      </c>
      <c r="B105" t="str">
        <f t="shared" si="5"/>
        <v>Alumínio primário líquido, soderberg</v>
      </c>
      <c r="D105" s="1112"/>
      <c r="E105" s="1077" t="s">
        <v>5619</v>
      </c>
      <c r="F105" s="1077"/>
      <c r="G105" s="1077"/>
      <c r="H105" s="1077"/>
      <c r="I105" s="1077"/>
      <c r="J105" s="1077"/>
      <c r="K105" s="824">
        <v>4.0200000000000001E-4</v>
      </c>
      <c r="L105" s="819" t="s">
        <v>94</v>
      </c>
      <c r="M105" s="1098"/>
      <c r="N105" s="1099"/>
      <c r="O105" s="836">
        <f t="shared" ref="O105:O112" si="8">K105/$K$97*$O$97</f>
        <v>4.0200000000000001E-4</v>
      </c>
      <c r="P105" s="817" t="s">
        <v>94</v>
      </c>
      <c r="Q105" s="158" t="s">
        <v>150</v>
      </c>
      <c r="R105" s="1040"/>
    </row>
    <row r="106" spans="1:18">
      <c r="A106" t="str">
        <f t="shared" si="4"/>
        <v>Alumínio primário líquido, soderberg</v>
      </c>
      <c r="B106" t="str">
        <f t="shared" si="5"/>
        <v>Alumínio primário líquido, soderberg</v>
      </c>
      <c r="D106" s="1112"/>
      <c r="E106" s="1077" t="s">
        <v>5671</v>
      </c>
      <c r="F106" s="1077"/>
      <c r="G106" s="1077"/>
      <c r="H106" s="1077"/>
      <c r="I106" s="1077"/>
      <c r="J106" s="1077"/>
      <c r="K106" s="824">
        <v>8.0400000000000003E-4</v>
      </c>
      <c r="L106" s="819" t="s">
        <v>94</v>
      </c>
      <c r="M106" s="1098"/>
      <c r="N106" s="1099"/>
      <c r="O106" s="836">
        <f t="shared" si="8"/>
        <v>8.0400000000000003E-4</v>
      </c>
      <c r="P106" s="817" t="s">
        <v>94</v>
      </c>
      <c r="Q106" s="158" t="s">
        <v>150</v>
      </c>
      <c r="R106" s="1040"/>
    </row>
    <row r="107" spans="1:18">
      <c r="A107" t="str">
        <f t="shared" si="4"/>
        <v>Alumínio primário líquido, soderberg</v>
      </c>
      <c r="B107" t="str">
        <f t="shared" si="5"/>
        <v>Alumínio primário líquido, soderberg</v>
      </c>
      <c r="D107" s="1112"/>
      <c r="E107" s="1077" t="s">
        <v>5672</v>
      </c>
      <c r="F107" s="1077"/>
      <c r="G107" s="1077"/>
      <c r="H107" s="1077"/>
      <c r="I107" s="1077"/>
      <c r="J107" s="1077"/>
      <c r="K107" s="824">
        <v>7.3400000000000002E-3</v>
      </c>
      <c r="L107" s="819" t="s">
        <v>94</v>
      </c>
      <c r="M107" s="1098"/>
      <c r="N107" s="1099"/>
      <c r="O107" s="836">
        <f t="shared" si="8"/>
        <v>7.3400000000000002E-3</v>
      </c>
      <c r="P107" s="817" t="s">
        <v>94</v>
      </c>
      <c r="Q107" s="158" t="s">
        <v>150</v>
      </c>
      <c r="R107" s="1040"/>
    </row>
    <row r="108" spans="1:18">
      <c r="A108" t="str">
        <f t="shared" si="4"/>
        <v>Alumínio primário líquido, soderbergCoke</v>
      </c>
      <c r="B108" t="str">
        <f t="shared" si="5"/>
        <v>Alumínio primário líquido, soderberg</v>
      </c>
      <c r="C108" t="s">
        <v>87</v>
      </c>
      <c r="D108" s="1112"/>
      <c r="E108" s="1077" t="s">
        <v>5673</v>
      </c>
      <c r="F108" s="1077"/>
      <c r="G108" s="1077"/>
      <c r="H108" s="1077"/>
      <c r="I108" s="1077"/>
      <c r="J108" s="1077"/>
      <c r="K108" s="824">
        <v>0.127</v>
      </c>
      <c r="L108" s="819" t="s">
        <v>607</v>
      </c>
      <c r="M108" s="1136" t="s">
        <v>5669</v>
      </c>
      <c r="N108" s="1099"/>
      <c r="O108" s="836">
        <f>'LCI - Comparação'!M7*35</f>
        <v>0.127</v>
      </c>
      <c r="P108" s="817" t="s">
        <v>607</v>
      </c>
      <c r="Q108" s="158" t="s">
        <v>150</v>
      </c>
      <c r="R108" s="1040"/>
    </row>
    <row r="109" spans="1:18">
      <c r="A109" t="str">
        <f t="shared" si="4"/>
        <v>Alumínio primário líquido, soderbergCryolite</v>
      </c>
      <c r="B109" t="str">
        <f t="shared" si="5"/>
        <v>Alumínio primário líquido, soderberg</v>
      </c>
      <c r="C109" t="s">
        <v>244</v>
      </c>
      <c r="D109" s="1112"/>
      <c r="E109" s="1077" t="s">
        <v>5674</v>
      </c>
      <c r="F109" s="1077"/>
      <c r="G109" s="1077"/>
      <c r="H109" s="1077"/>
      <c r="I109" s="1077"/>
      <c r="J109" s="1077"/>
      <c r="K109" s="824">
        <v>1.6000000000000001E-3</v>
      </c>
      <c r="L109" s="819" t="s">
        <v>94</v>
      </c>
      <c r="M109" s="1136" t="s">
        <v>5669</v>
      </c>
      <c r="N109" s="1099"/>
      <c r="O109" s="836">
        <f>'LCI - Comparação'!M16</f>
        <v>1.6000000000000003E-3</v>
      </c>
      <c r="P109" s="817" t="s">
        <v>94</v>
      </c>
      <c r="Q109" s="158" t="s">
        <v>150</v>
      </c>
      <c r="R109" s="1040"/>
    </row>
    <row r="110" spans="1:18">
      <c r="A110" t="str">
        <f t="shared" si="4"/>
        <v>Alumínio primário líquido, soderbergPitch</v>
      </c>
      <c r="B110" t="str">
        <f t="shared" si="5"/>
        <v>Alumínio primário líquido, soderberg</v>
      </c>
      <c r="C110" t="s">
        <v>116</v>
      </c>
      <c r="D110" s="1112"/>
      <c r="E110" s="1077" t="s">
        <v>5675</v>
      </c>
      <c r="F110" s="1077"/>
      <c r="G110" s="1077"/>
      <c r="H110" s="1077"/>
      <c r="I110" s="1077"/>
      <c r="J110" s="1077"/>
      <c r="K110" s="824">
        <v>1.91E-3</v>
      </c>
      <c r="L110" s="819" t="s">
        <v>94</v>
      </c>
      <c r="M110" s="1098"/>
      <c r="N110" s="1099"/>
      <c r="O110" s="836">
        <f>'LCI - Comparação'!M8</f>
        <v>1.9099999999999998E-3</v>
      </c>
      <c r="P110" s="817" t="s">
        <v>94</v>
      </c>
      <c r="Q110" s="158" t="s">
        <v>150</v>
      </c>
      <c r="R110" s="1040"/>
    </row>
    <row r="111" spans="1:18">
      <c r="A111" t="str">
        <f t="shared" si="4"/>
        <v>Alumínio primário líquido, soderberg</v>
      </c>
      <c r="B111" t="str">
        <f t="shared" si="5"/>
        <v>Alumínio primário líquido, soderberg</v>
      </c>
      <c r="D111" s="1112"/>
      <c r="E111" s="1077" t="s">
        <v>5676</v>
      </c>
      <c r="F111" s="1077"/>
      <c r="G111" s="1077"/>
      <c r="H111" s="1077"/>
      <c r="I111" s="1077"/>
      <c r="J111" s="1077"/>
      <c r="K111" s="824">
        <v>3.395E-3</v>
      </c>
      <c r="L111" s="819" t="s">
        <v>94</v>
      </c>
      <c r="M111" s="1098"/>
      <c r="N111" s="1099"/>
      <c r="O111" s="836">
        <f t="shared" si="8"/>
        <v>3.395E-3</v>
      </c>
      <c r="P111" s="817" t="s">
        <v>94</v>
      </c>
      <c r="Q111" s="158" t="s">
        <v>150</v>
      </c>
      <c r="R111" s="1040"/>
    </row>
    <row r="112" spans="1:18">
      <c r="A112" t="str">
        <f t="shared" si="4"/>
        <v>Alumínio primário líquido, soderberg</v>
      </c>
      <c r="B112" t="str">
        <f t="shared" si="5"/>
        <v>Alumínio primário líquido, soderberg</v>
      </c>
      <c r="D112" s="1112"/>
      <c r="E112" s="1061" t="s">
        <v>5677</v>
      </c>
      <c r="F112" s="1061"/>
      <c r="G112" s="1061"/>
      <c r="H112" s="1061"/>
      <c r="I112" s="1061"/>
      <c r="J112" s="1061"/>
      <c r="K112" s="825">
        <v>4.8999999999999998E-3</v>
      </c>
      <c r="L112" s="822" t="s">
        <v>94</v>
      </c>
      <c r="M112" s="1102"/>
      <c r="N112" s="1103"/>
      <c r="O112" s="836">
        <f t="shared" si="8"/>
        <v>4.8999999999999998E-3</v>
      </c>
      <c r="P112" s="820" t="s">
        <v>94</v>
      </c>
      <c r="Q112" s="162" t="s">
        <v>150</v>
      </c>
      <c r="R112" s="1041"/>
    </row>
    <row r="113" spans="1:18">
      <c r="A113" t="str">
        <f t="shared" si="4"/>
        <v>Alumínio primário líquido, soderberg</v>
      </c>
      <c r="B113" t="str">
        <f t="shared" si="5"/>
        <v>Alumínio primário líquido, soderberg</v>
      </c>
      <c r="D113" s="1112"/>
      <c r="E113" s="1100" t="s">
        <v>5623</v>
      </c>
      <c r="F113" s="1100"/>
      <c r="G113" s="1100"/>
      <c r="H113" s="1100"/>
      <c r="I113" s="1100"/>
      <c r="J113" s="1074"/>
      <c r="K113" s="827" t="s">
        <v>5606</v>
      </c>
      <c r="L113" s="804" t="s">
        <v>5607</v>
      </c>
      <c r="M113" s="1074" t="s">
        <v>5220</v>
      </c>
      <c r="N113" s="1076"/>
      <c r="O113" s="805" t="s">
        <v>5606</v>
      </c>
      <c r="P113" s="806" t="s">
        <v>5607</v>
      </c>
      <c r="Q113" s="838" t="s">
        <v>5220</v>
      </c>
      <c r="R113" s="807" t="s">
        <v>5931</v>
      </c>
    </row>
    <row r="114" spans="1:18">
      <c r="A114" t="str">
        <f t="shared" si="4"/>
        <v>Alumínio primário líquido, soderbergElectricity</v>
      </c>
      <c r="B114" t="str">
        <f t="shared" si="5"/>
        <v>Alumínio primário líquido, soderberg</v>
      </c>
      <c r="C114" t="s">
        <v>465</v>
      </c>
      <c r="D114" s="1112"/>
      <c r="E114" s="1082" t="s">
        <v>5624</v>
      </c>
      <c r="F114" s="1082"/>
      <c r="G114" s="1082"/>
      <c r="H114" s="1082"/>
      <c r="I114" s="1082"/>
      <c r="J114" s="1082"/>
      <c r="K114" s="829">
        <v>16.951000000000001</v>
      </c>
      <c r="L114" s="833" t="s">
        <v>598</v>
      </c>
      <c r="M114" s="1073" t="s">
        <v>5625</v>
      </c>
      <c r="N114" s="1106"/>
      <c r="O114" s="836">
        <f>'LCI - Comparação'!M40/3.6</f>
        <v>16.951000000000001</v>
      </c>
      <c r="P114" s="1014" t="s">
        <v>598</v>
      </c>
      <c r="Q114" s="836" t="s">
        <v>5490</v>
      </c>
      <c r="R114" s="836" t="s">
        <v>5930</v>
      </c>
    </row>
    <row r="115" spans="1:18">
      <c r="A115" t="str">
        <f t="shared" si="4"/>
        <v>Alumínio primário líquido, soderberg</v>
      </c>
      <c r="B115" t="str">
        <f t="shared" si="5"/>
        <v>Alumínio primário líquido, soderberg</v>
      </c>
      <c r="D115" s="1112"/>
      <c r="E115" s="1097" t="s">
        <v>5628</v>
      </c>
      <c r="F115" s="1097"/>
      <c r="G115" s="1097"/>
      <c r="H115" s="1097"/>
      <c r="I115" s="1097"/>
      <c r="J115" s="1091"/>
      <c r="K115" s="834" t="s">
        <v>5606</v>
      </c>
      <c r="L115" s="811" t="s">
        <v>5607</v>
      </c>
      <c r="M115" s="1091" t="s">
        <v>5220</v>
      </c>
      <c r="N115" s="1092"/>
      <c r="O115" s="805" t="s">
        <v>5606</v>
      </c>
      <c r="P115" s="806" t="s">
        <v>5607</v>
      </c>
      <c r="Q115" s="807" t="s">
        <v>5220</v>
      </c>
      <c r="R115" s="807" t="s">
        <v>5931</v>
      </c>
    </row>
    <row r="116" spans="1:18">
      <c r="A116" t="str">
        <f t="shared" si="4"/>
        <v>Alumínio primário líquido, soderberg</v>
      </c>
      <c r="B116" t="str">
        <f t="shared" si="5"/>
        <v>Alumínio primário líquido, soderberg</v>
      </c>
      <c r="D116" s="1112"/>
      <c r="E116" s="1064" t="s">
        <v>720</v>
      </c>
      <c r="F116" s="1064" t="s">
        <v>5629</v>
      </c>
      <c r="G116" s="1064"/>
      <c r="H116" s="1064"/>
      <c r="I116" s="1064"/>
      <c r="J116" s="1113"/>
      <c r="K116" s="819">
        <v>3.0000000000000001E-6</v>
      </c>
      <c r="L116" s="813" t="s">
        <v>94</v>
      </c>
      <c r="M116" s="1104"/>
      <c r="N116" s="1105"/>
      <c r="O116" s="809"/>
      <c r="P116" s="812" t="s">
        <v>94</v>
      </c>
      <c r="Q116" s="1016" t="s">
        <v>5926</v>
      </c>
      <c r="R116" s="1016"/>
    </row>
    <row r="117" spans="1:18">
      <c r="A117" t="str">
        <f t="shared" si="4"/>
        <v>Alumínio primário líquido, soderbergCO2</v>
      </c>
      <c r="B117" t="str">
        <f t="shared" si="5"/>
        <v>Alumínio primário líquido, soderberg</v>
      </c>
      <c r="C117" t="s">
        <v>3</v>
      </c>
      <c r="D117" s="1112"/>
      <c r="E117" s="1077" t="s">
        <v>726</v>
      </c>
      <c r="F117" s="1077" t="s">
        <v>5629</v>
      </c>
      <c r="G117" s="1077"/>
      <c r="H117" s="1077"/>
      <c r="I117" s="1077"/>
      <c r="J117" s="1108"/>
      <c r="K117" s="819">
        <v>1.4964999999999999</v>
      </c>
      <c r="L117" s="818" t="s">
        <v>94</v>
      </c>
      <c r="M117" s="1098"/>
      <c r="N117" s="1099"/>
      <c r="O117" s="815">
        <f>-'LCI - Comparação'!M31</f>
        <v>1.4965000000000002</v>
      </c>
      <c r="P117" s="817" t="s">
        <v>94</v>
      </c>
      <c r="Q117" s="1016" t="s">
        <v>150</v>
      </c>
      <c r="R117" s="1016"/>
    </row>
    <row r="118" spans="1:18">
      <c r="A118" t="str">
        <f t="shared" si="4"/>
        <v>Alumínio primário líquido, soderbergCO</v>
      </c>
      <c r="B118" t="str">
        <f t="shared" si="5"/>
        <v>Alumínio primário líquido, soderberg</v>
      </c>
      <c r="C118" t="s">
        <v>4</v>
      </c>
      <c r="D118" s="1112"/>
      <c r="E118" s="1077" t="s">
        <v>728</v>
      </c>
      <c r="F118" s="1077" t="s">
        <v>5629</v>
      </c>
      <c r="G118" s="1077"/>
      <c r="H118" s="1077"/>
      <c r="I118" s="1077"/>
      <c r="J118" s="1108"/>
      <c r="K118" s="819">
        <v>9.1707999999999998E-2</v>
      </c>
      <c r="L118" s="818" t="s">
        <v>94</v>
      </c>
      <c r="M118" s="1098"/>
      <c r="N118" s="1099"/>
      <c r="O118" s="815">
        <f>-'LCI - Comparação'!M32</f>
        <v>9.171E-2</v>
      </c>
      <c r="P118" s="817" t="s">
        <v>94</v>
      </c>
      <c r="Q118" s="1016" t="s">
        <v>150</v>
      </c>
      <c r="R118" s="1016"/>
    </row>
    <row r="119" spans="1:18">
      <c r="A119" t="str">
        <f t="shared" si="4"/>
        <v>Alumínio primário líquido, soderberg</v>
      </c>
      <c r="B119" t="str">
        <f t="shared" si="5"/>
        <v>Alumínio primário líquido, soderberg</v>
      </c>
      <c r="D119" s="1112"/>
      <c r="E119" s="1077" t="s">
        <v>1083</v>
      </c>
      <c r="F119" s="1077" t="s">
        <v>5629</v>
      </c>
      <c r="G119" s="1077"/>
      <c r="H119" s="1077"/>
      <c r="I119" s="1077"/>
      <c r="J119" s="1108"/>
      <c r="K119" s="819">
        <v>7.8699999999999992E-6</v>
      </c>
      <c r="L119" s="818" t="s">
        <v>94</v>
      </c>
      <c r="M119" s="1098"/>
      <c r="N119" s="1099"/>
      <c r="O119" s="815"/>
      <c r="P119" s="817" t="s">
        <v>94</v>
      </c>
      <c r="Q119" s="1016" t="s">
        <v>5926</v>
      </c>
      <c r="R119" s="1016"/>
    </row>
    <row r="120" spans="1:18">
      <c r="A120" t="str">
        <f t="shared" si="4"/>
        <v>Alumínio primário líquido, soderberg</v>
      </c>
      <c r="B120" t="str">
        <f t="shared" si="5"/>
        <v>Alumínio primário líquido, soderberg</v>
      </c>
      <c r="D120" s="1112"/>
      <c r="E120" s="1077" t="s">
        <v>243</v>
      </c>
      <c r="F120" s="1077" t="s">
        <v>5629</v>
      </c>
      <c r="G120" s="1077"/>
      <c r="H120" s="1077"/>
      <c r="I120" s="1077"/>
      <c r="J120" s="1108"/>
      <c r="K120" s="819">
        <v>1.1000000000000001E-3</v>
      </c>
      <c r="L120" s="818" t="s">
        <v>94</v>
      </c>
      <c r="M120" s="1098"/>
      <c r="N120" s="1099"/>
      <c r="O120" s="815"/>
      <c r="P120" s="817" t="s">
        <v>94</v>
      </c>
      <c r="Q120" s="1016" t="s">
        <v>5926</v>
      </c>
      <c r="R120" s="1016"/>
    </row>
    <row r="121" spans="1:18">
      <c r="A121" t="str">
        <f t="shared" si="4"/>
        <v>Alumínio primário líquido, soderberg</v>
      </c>
      <c r="B121" t="str">
        <f t="shared" si="5"/>
        <v>Alumínio primário líquido, soderberg</v>
      </c>
      <c r="D121" s="1112"/>
      <c r="E121" s="1077" t="s">
        <v>5678</v>
      </c>
      <c r="F121" s="1077" t="s">
        <v>5629</v>
      </c>
      <c r="G121" s="1077"/>
      <c r="H121" s="1077"/>
      <c r="I121" s="1077"/>
      <c r="J121" s="1108"/>
      <c r="K121" s="819">
        <v>1.4899999999999999E-4</v>
      </c>
      <c r="L121" s="818" t="s">
        <v>94</v>
      </c>
      <c r="M121" s="1098"/>
      <c r="N121" s="1099"/>
      <c r="O121" s="815"/>
      <c r="P121" s="817" t="s">
        <v>94</v>
      </c>
      <c r="Q121" s="1016" t="s">
        <v>5926</v>
      </c>
      <c r="R121" s="1016"/>
    </row>
    <row r="122" spans="1:18">
      <c r="A122" t="str">
        <f t="shared" si="4"/>
        <v>Alumínio primário líquido, soderberg</v>
      </c>
      <c r="B122" t="str">
        <f t="shared" si="5"/>
        <v>Alumínio primário líquido, soderberg</v>
      </c>
      <c r="D122" s="1112"/>
      <c r="E122" s="1077" t="s">
        <v>761</v>
      </c>
      <c r="F122" s="1077" t="s">
        <v>5629</v>
      </c>
      <c r="G122" s="1077"/>
      <c r="H122" s="1077"/>
      <c r="I122" s="1077"/>
      <c r="J122" s="1108"/>
      <c r="K122" s="819">
        <v>3.8999999999999999E-4</v>
      </c>
      <c r="L122" s="818" t="s">
        <v>94</v>
      </c>
      <c r="M122" s="1098"/>
      <c r="N122" s="1099"/>
      <c r="O122" s="815"/>
      <c r="P122" s="817" t="s">
        <v>94</v>
      </c>
      <c r="Q122" s="1016" t="s">
        <v>5926</v>
      </c>
      <c r="R122" s="1016"/>
    </row>
    <row r="123" spans="1:18">
      <c r="A123" t="str">
        <f t="shared" si="4"/>
        <v>Alumínio primário líquido, soderberg</v>
      </c>
      <c r="B123" t="str">
        <f t="shared" si="5"/>
        <v>Alumínio primário líquido, soderberg</v>
      </c>
      <c r="D123" s="1112"/>
      <c r="E123" s="1077" t="s">
        <v>763</v>
      </c>
      <c r="F123" s="1077" t="s">
        <v>5629</v>
      </c>
      <c r="G123" s="1077"/>
      <c r="H123" s="1077"/>
      <c r="I123" s="1077"/>
      <c r="J123" s="1108"/>
      <c r="K123" s="819">
        <v>2.7700000000000001E-4</v>
      </c>
      <c r="L123" s="818" t="s">
        <v>94</v>
      </c>
      <c r="M123" s="1098"/>
      <c r="N123" s="1099"/>
      <c r="O123" s="815"/>
      <c r="P123" s="817" t="s">
        <v>94</v>
      </c>
      <c r="Q123" s="1016" t="s">
        <v>5926</v>
      </c>
      <c r="R123" s="1016"/>
    </row>
    <row r="124" spans="1:18">
      <c r="A124" t="str">
        <f t="shared" si="4"/>
        <v>Alumínio primário líquido, soderberg</v>
      </c>
      <c r="B124" t="str">
        <f t="shared" si="5"/>
        <v>Alumínio primário líquido, soderberg</v>
      </c>
      <c r="D124" s="1112"/>
      <c r="E124" s="1077" t="s">
        <v>653</v>
      </c>
      <c r="F124" s="1077" t="s">
        <v>5629</v>
      </c>
      <c r="G124" s="1077"/>
      <c r="H124" s="1077"/>
      <c r="I124" s="1077"/>
      <c r="J124" s="1108"/>
      <c r="K124" s="819">
        <v>8.8559999999999995E-4</v>
      </c>
      <c r="L124" s="818" t="s">
        <v>94</v>
      </c>
      <c r="M124" s="1098"/>
      <c r="N124" s="1099"/>
      <c r="O124" s="815"/>
      <c r="P124" s="817" t="s">
        <v>94</v>
      </c>
      <c r="Q124" s="1016" t="s">
        <v>5926</v>
      </c>
      <c r="R124" s="1016"/>
    </row>
    <row r="125" spans="1:18">
      <c r="A125" t="str">
        <f t="shared" si="4"/>
        <v>Alumínio primário líquido, soderberg</v>
      </c>
      <c r="B125" t="str">
        <f t="shared" si="5"/>
        <v>Alumínio primário líquido, soderberg</v>
      </c>
      <c r="D125" s="1112"/>
      <c r="E125" s="1077" t="s">
        <v>656</v>
      </c>
      <c r="F125" s="1077" t="s">
        <v>5629</v>
      </c>
      <c r="G125" s="1077"/>
      <c r="H125" s="1077"/>
      <c r="I125" s="1077"/>
      <c r="J125" s="1108"/>
      <c r="K125" s="819">
        <v>4.9200000000000003E-4</v>
      </c>
      <c r="L125" s="818" t="s">
        <v>94</v>
      </c>
      <c r="M125" s="1098"/>
      <c r="N125" s="1099"/>
      <c r="O125" s="815"/>
      <c r="P125" s="817" t="s">
        <v>94</v>
      </c>
      <c r="Q125" s="1016" t="s">
        <v>5926</v>
      </c>
      <c r="R125" s="1016"/>
    </row>
    <row r="126" spans="1:18">
      <c r="A126" t="str">
        <f t="shared" si="4"/>
        <v>Alumínio primário líquido, soderberg</v>
      </c>
      <c r="B126" t="str">
        <f t="shared" si="5"/>
        <v>Alumínio primário líquido, soderberg</v>
      </c>
      <c r="D126" s="1112"/>
      <c r="E126" s="1077" t="s">
        <v>657</v>
      </c>
      <c r="F126" s="1077" t="s">
        <v>5629</v>
      </c>
      <c r="G126" s="1077"/>
      <c r="H126" s="1077"/>
      <c r="I126" s="1077"/>
      <c r="J126" s="1108"/>
      <c r="K126" s="819">
        <v>1.0824000000000001E-3</v>
      </c>
      <c r="L126" s="818" t="s">
        <v>94</v>
      </c>
      <c r="M126" s="1098"/>
      <c r="N126" s="1099"/>
      <c r="O126" s="815"/>
      <c r="P126" s="817" t="s">
        <v>94</v>
      </c>
      <c r="Q126" s="1016" t="s">
        <v>5926</v>
      </c>
      <c r="R126" s="1016"/>
    </row>
    <row r="127" spans="1:18">
      <c r="A127" t="str">
        <f t="shared" si="4"/>
        <v>Alumínio primário líquido, soderberg</v>
      </c>
      <c r="B127" t="str">
        <f t="shared" si="5"/>
        <v>Alumínio primário líquido, soderberg</v>
      </c>
      <c r="D127" s="1112"/>
      <c r="E127" s="1077" t="s">
        <v>776</v>
      </c>
      <c r="F127" s="1077" t="s">
        <v>5629</v>
      </c>
      <c r="G127" s="1077"/>
      <c r="H127" s="1077"/>
      <c r="I127" s="1077"/>
      <c r="J127" s="1108"/>
      <c r="K127" s="819">
        <v>8.3599999999999994E-3</v>
      </c>
      <c r="L127" s="818" t="s">
        <v>94</v>
      </c>
      <c r="M127" s="1098"/>
      <c r="N127" s="1099"/>
      <c r="O127" s="815"/>
      <c r="P127" s="817" t="s">
        <v>94</v>
      </c>
      <c r="Q127" s="1016" t="s">
        <v>5926</v>
      </c>
      <c r="R127" s="1016"/>
    </row>
    <row r="128" spans="1:18">
      <c r="A128" t="str">
        <f t="shared" si="4"/>
        <v>Alumínio primário líquido, soderberg</v>
      </c>
      <c r="B128" t="str">
        <f t="shared" si="5"/>
        <v>Alumínio primário líquido, soderberg</v>
      </c>
      <c r="D128" s="1112"/>
      <c r="E128" s="1061" t="s">
        <v>5630</v>
      </c>
      <c r="F128" s="1061" t="s">
        <v>5629</v>
      </c>
      <c r="G128" s="1061"/>
      <c r="H128" s="1061"/>
      <c r="I128" s="1061"/>
      <c r="J128" s="1110"/>
      <c r="K128" s="819">
        <v>7.1000000000000002E-4</v>
      </c>
      <c r="L128" s="821" t="s">
        <v>640</v>
      </c>
      <c r="M128" s="1102"/>
      <c r="N128" s="1103"/>
      <c r="O128" s="826"/>
      <c r="P128" s="820" t="s">
        <v>640</v>
      </c>
      <c r="Q128" s="1016" t="s">
        <v>5926</v>
      </c>
      <c r="R128" s="1016"/>
    </row>
    <row r="129" spans="1:18">
      <c r="D129" s="1112"/>
      <c r="E129" s="719" t="s">
        <v>5929</v>
      </c>
      <c r="F129" s="719"/>
      <c r="G129" s="719"/>
      <c r="H129" s="719"/>
      <c r="I129" s="719"/>
      <c r="J129" s="1011"/>
      <c r="K129" s="819"/>
      <c r="L129" s="818"/>
      <c r="M129" s="818"/>
      <c r="N129" s="819"/>
      <c r="O129" s="815">
        <f>-'LCI - Comparação'!M33</f>
        <v>1.1330123999999999</v>
      </c>
      <c r="P129" s="817" t="s">
        <v>94</v>
      </c>
      <c r="Q129" s="634" t="s">
        <v>150</v>
      </c>
      <c r="R129" s="634"/>
    </row>
    <row r="130" spans="1:18">
      <c r="A130" t="str">
        <f t="shared" si="4"/>
        <v>Alumínio primário líquido, soderberg</v>
      </c>
      <c r="B130" t="str">
        <f>IF(D130=0,B128,D130)</f>
        <v>Alumínio primário líquido, soderberg</v>
      </c>
      <c r="D130" s="1112"/>
      <c r="E130" s="1100" t="s">
        <v>5632</v>
      </c>
      <c r="F130" s="1100"/>
      <c r="G130" s="1100"/>
      <c r="H130" s="1100"/>
      <c r="I130" s="1100"/>
      <c r="J130" s="1074"/>
      <c r="K130" s="827" t="s">
        <v>5606</v>
      </c>
      <c r="L130" s="804" t="s">
        <v>5607</v>
      </c>
      <c r="M130" s="1075" t="s">
        <v>5220</v>
      </c>
      <c r="N130" s="1076"/>
      <c r="O130" s="805" t="s">
        <v>5606</v>
      </c>
      <c r="P130" s="806" t="s">
        <v>5607</v>
      </c>
      <c r="Q130" s="807" t="s">
        <v>5220</v>
      </c>
      <c r="R130" s="807" t="s">
        <v>5931</v>
      </c>
    </row>
    <row r="131" spans="1:18">
      <c r="A131" t="str">
        <f t="shared" si="4"/>
        <v>Alumínio primário líquido, soderberg</v>
      </c>
      <c r="B131" t="str">
        <f t="shared" si="5"/>
        <v>Alumínio primário líquido, soderberg</v>
      </c>
      <c r="D131" s="1112"/>
      <c r="E131" s="1064" t="s">
        <v>741</v>
      </c>
      <c r="F131" s="1064" t="s">
        <v>5629</v>
      </c>
      <c r="G131" s="1064"/>
      <c r="H131" s="1064"/>
      <c r="I131" s="1064"/>
      <c r="J131" s="1064"/>
      <c r="K131" s="813">
        <v>1.3500000000000001E-3</v>
      </c>
      <c r="L131" s="813" t="s">
        <v>94</v>
      </c>
      <c r="M131" s="1104"/>
      <c r="N131" s="1105"/>
      <c r="O131" s="809"/>
      <c r="P131" s="812" t="s">
        <v>94</v>
      </c>
      <c r="Q131" s="1016" t="s">
        <v>5926</v>
      </c>
      <c r="R131" s="1016"/>
    </row>
    <row r="132" spans="1:18">
      <c r="A132" t="str">
        <f t="shared" si="4"/>
        <v>Alumínio primário líquido, soderberg</v>
      </c>
      <c r="B132" t="str">
        <f t="shared" si="5"/>
        <v>Alumínio primário líquido, soderberg</v>
      </c>
      <c r="D132" s="1112"/>
      <c r="E132" s="1077" t="s">
        <v>980</v>
      </c>
      <c r="F132" s="1077" t="s">
        <v>5629</v>
      </c>
      <c r="G132" s="1077"/>
      <c r="H132" s="1077"/>
      <c r="I132" s="1077"/>
      <c r="J132" s="1077"/>
      <c r="K132" s="818">
        <v>1.7E-5</v>
      </c>
      <c r="L132" s="818" t="s">
        <v>94</v>
      </c>
      <c r="M132" s="1098"/>
      <c r="N132" s="1099"/>
      <c r="O132" s="815"/>
      <c r="P132" s="817" t="s">
        <v>94</v>
      </c>
      <c r="Q132" s="1016" t="s">
        <v>5926</v>
      </c>
      <c r="R132" s="1016"/>
    </row>
    <row r="133" spans="1:18">
      <c r="A133" t="str">
        <f t="shared" si="4"/>
        <v>Alumínio primário líquido, soderberg</v>
      </c>
      <c r="B133" t="str">
        <f t="shared" si="5"/>
        <v>Alumínio primário líquido, soderberg</v>
      </c>
      <c r="D133" s="1112"/>
      <c r="E133" s="1077" t="s">
        <v>763</v>
      </c>
      <c r="F133" s="1077" t="s">
        <v>5629</v>
      </c>
      <c r="G133" s="1077"/>
      <c r="H133" s="1077"/>
      <c r="I133" s="1077"/>
      <c r="J133" s="1077"/>
      <c r="K133" s="818">
        <v>6.6800000000000004E-6</v>
      </c>
      <c r="L133" s="818" t="s">
        <v>94</v>
      </c>
      <c r="M133" s="1098"/>
      <c r="N133" s="1099"/>
      <c r="O133" s="815"/>
      <c r="P133" s="817" t="s">
        <v>94</v>
      </c>
      <c r="Q133" s="1016" t="s">
        <v>5926</v>
      </c>
      <c r="R133" s="1016"/>
    </row>
    <row r="134" spans="1:18">
      <c r="A134" t="str">
        <f t="shared" si="4"/>
        <v>Alumínio primário líquido, soderberg</v>
      </c>
      <c r="B134" t="str">
        <f t="shared" si="5"/>
        <v>Alumínio primário líquido, soderberg</v>
      </c>
      <c r="D134" s="1112"/>
      <c r="E134" s="1077" t="s">
        <v>777</v>
      </c>
      <c r="F134" s="1077" t="s">
        <v>5629</v>
      </c>
      <c r="G134" s="1077"/>
      <c r="H134" s="1077"/>
      <c r="I134" s="1077"/>
      <c r="J134" s="1077"/>
      <c r="K134" s="818">
        <v>2E-3</v>
      </c>
      <c r="L134" s="818" t="s">
        <v>94</v>
      </c>
      <c r="M134" s="1098"/>
      <c r="N134" s="1099"/>
      <c r="O134" s="815"/>
      <c r="P134" s="817" t="s">
        <v>94</v>
      </c>
      <c r="Q134" s="1016" t="s">
        <v>5926</v>
      </c>
      <c r="R134" s="1016"/>
    </row>
    <row r="135" spans="1:18">
      <c r="A135" t="str">
        <f t="shared" si="4"/>
        <v>Alumínio primário líquido, soderberg</v>
      </c>
      <c r="B135" t="str">
        <f t="shared" si="5"/>
        <v>Alumínio primário líquido, soderberg</v>
      </c>
      <c r="D135" s="1112"/>
      <c r="E135" s="1061" t="s">
        <v>1094</v>
      </c>
      <c r="F135" s="1061" t="s">
        <v>5633</v>
      </c>
      <c r="G135" s="1061"/>
      <c r="H135" s="1061"/>
      <c r="I135" s="1061"/>
      <c r="J135" s="1061"/>
      <c r="K135" s="821">
        <v>6.7220000000000002E-2</v>
      </c>
      <c r="L135" s="821" t="s">
        <v>640</v>
      </c>
      <c r="M135" s="1102" t="s">
        <v>5633</v>
      </c>
      <c r="N135" s="1103"/>
      <c r="O135" s="826"/>
      <c r="P135" s="820" t="s">
        <v>640</v>
      </c>
      <c r="Q135" s="1016" t="s">
        <v>5926</v>
      </c>
      <c r="R135" s="1016"/>
    </row>
    <row r="136" spans="1:18">
      <c r="A136" t="str">
        <f t="shared" si="4"/>
        <v>Alumínio primário líquido, soderberg</v>
      </c>
      <c r="B136" t="str">
        <f t="shared" si="5"/>
        <v>Alumínio primário líquido, soderberg</v>
      </c>
      <c r="D136" s="1112"/>
      <c r="E136" s="1100" t="s">
        <v>5634</v>
      </c>
      <c r="F136" s="1100"/>
      <c r="G136" s="1100"/>
      <c r="H136" s="1100"/>
      <c r="I136" s="1100"/>
      <c r="J136" s="1074"/>
      <c r="K136" s="827" t="s">
        <v>5606</v>
      </c>
      <c r="L136" s="811" t="s">
        <v>5607</v>
      </c>
      <c r="M136" s="1101" t="s">
        <v>5220</v>
      </c>
      <c r="N136" s="1092"/>
      <c r="O136" s="805" t="s">
        <v>5606</v>
      </c>
      <c r="P136" s="806" t="s">
        <v>5607</v>
      </c>
      <c r="Q136" s="807" t="s">
        <v>5220</v>
      </c>
      <c r="R136" s="807" t="s">
        <v>5931</v>
      </c>
    </row>
    <row r="137" spans="1:18">
      <c r="A137" t="str">
        <f t="shared" si="4"/>
        <v>Alumínio primário líquido, soderberg</v>
      </c>
      <c r="B137" t="str">
        <f t="shared" si="5"/>
        <v>Alumínio primário líquido, soderberg</v>
      </c>
      <c r="D137" s="1112"/>
      <c r="E137" s="1064" t="s">
        <v>5679</v>
      </c>
      <c r="F137" s="1064"/>
      <c r="G137" s="1064"/>
      <c r="H137" s="1064"/>
      <c r="I137" s="1064"/>
      <c r="J137" s="1064"/>
      <c r="K137" s="813">
        <v>1.7999999999999999E-2</v>
      </c>
      <c r="L137" s="813" t="s">
        <v>94</v>
      </c>
      <c r="M137" s="1104"/>
      <c r="N137" s="1105"/>
      <c r="O137" s="809"/>
      <c r="P137" s="812" t="s">
        <v>94</v>
      </c>
      <c r="Q137" s="1016" t="s">
        <v>5926</v>
      </c>
      <c r="R137" s="1016"/>
    </row>
    <row r="138" spans="1:18">
      <c r="A138" t="str">
        <f t="shared" si="4"/>
        <v>Alumínio primário líquido, soderberg</v>
      </c>
      <c r="B138" t="str">
        <f t="shared" si="5"/>
        <v>Alumínio primário líquido, soderberg</v>
      </c>
      <c r="D138" s="1112"/>
      <c r="E138" s="1077" t="s">
        <v>5637</v>
      </c>
      <c r="F138" s="1077"/>
      <c r="G138" s="1077"/>
      <c r="H138" s="1077"/>
      <c r="I138" s="1077"/>
      <c r="J138" s="1077"/>
      <c r="K138" s="818">
        <v>1.8769999999999998E-2</v>
      </c>
      <c r="L138" s="818" t="s">
        <v>94</v>
      </c>
      <c r="M138" s="1098"/>
      <c r="N138" s="1099"/>
      <c r="O138" s="815"/>
      <c r="P138" s="817" t="s">
        <v>94</v>
      </c>
      <c r="Q138" s="1016" t="s">
        <v>5926</v>
      </c>
      <c r="R138" s="1016"/>
    </row>
    <row r="139" spans="1:18">
      <c r="A139" t="str">
        <f t="shared" si="4"/>
        <v>Alumínio primário líquido, soderberg</v>
      </c>
      <c r="B139" t="str">
        <f t="shared" si="5"/>
        <v>Alumínio primário líquido, soderberg</v>
      </c>
      <c r="D139" s="1112"/>
      <c r="E139" s="1077" t="s">
        <v>5658</v>
      </c>
      <c r="F139" s="1077"/>
      <c r="G139" s="1077"/>
      <c r="H139" s="1077"/>
      <c r="I139" s="1077"/>
      <c r="J139" s="1077"/>
      <c r="K139" s="818">
        <v>1.854E-3</v>
      </c>
      <c r="L139" s="818" t="s">
        <v>94</v>
      </c>
      <c r="M139" s="1098"/>
      <c r="N139" s="1099"/>
      <c r="O139" s="815"/>
      <c r="P139" s="817" t="s">
        <v>94</v>
      </c>
      <c r="Q139" s="1016" t="s">
        <v>5926</v>
      </c>
      <c r="R139" s="1016"/>
    </row>
    <row r="140" spans="1:18">
      <c r="A140" t="str">
        <f t="shared" si="4"/>
        <v>Alumínio primário líquido, soderberg</v>
      </c>
      <c r="B140" t="str">
        <f t="shared" si="5"/>
        <v>Alumínio primário líquido, soderberg</v>
      </c>
      <c r="D140" s="1112"/>
      <c r="E140" s="1077" t="s">
        <v>5680</v>
      </c>
      <c r="F140" s="1077"/>
      <c r="G140" s="1077"/>
      <c r="H140" s="1077"/>
      <c r="I140" s="1077"/>
      <c r="J140" s="1077"/>
      <c r="K140" s="818">
        <v>2.6499999999999999E-2</v>
      </c>
      <c r="L140" s="818" t="s">
        <v>94</v>
      </c>
      <c r="M140" s="1098"/>
      <c r="N140" s="1099"/>
      <c r="O140" s="815"/>
      <c r="P140" s="817" t="s">
        <v>94</v>
      </c>
      <c r="Q140" s="1016" t="s">
        <v>5926</v>
      </c>
      <c r="R140" s="1016"/>
    </row>
    <row r="141" spans="1:18">
      <c r="A141" t="str">
        <f t="shared" ref="A141:A205" si="9">CONCATENATE(B141,C141)</f>
        <v>Alumínio primário líquido, soderberg</v>
      </c>
      <c r="B141" t="str">
        <f t="shared" ref="B141:B205" si="10">IF(D141=0,B140,D141)</f>
        <v>Alumínio primário líquido, soderberg</v>
      </c>
      <c r="D141" s="1112"/>
      <c r="E141" s="1077" t="s">
        <v>5681</v>
      </c>
      <c r="F141" s="1077"/>
      <c r="G141" s="1077"/>
      <c r="H141" s="1077"/>
      <c r="I141" s="1077"/>
      <c r="J141" s="1077"/>
      <c r="K141" s="818">
        <v>5.64E-3</v>
      </c>
      <c r="L141" s="818" t="s">
        <v>94</v>
      </c>
      <c r="M141" s="1098"/>
      <c r="N141" s="1099"/>
      <c r="O141" s="815"/>
      <c r="P141" s="817" t="s">
        <v>94</v>
      </c>
      <c r="Q141" s="1016" t="s">
        <v>5926</v>
      </c>
      <c r="R141" s="1016"/>
    </row>
    <row r="142" spans="1:18">
      <c r="A142" t="str">
        <f t="shared" si="9"/>
        <v>Alumínio primário líquido, soderberg</v>
      </c>
      <c r="B142" t="str">
        <f t="shared" si="10"/>
        <v>Alumínio primário líquido, soderberg</v>
      </c>
      <c r="D142" s="1112"/>
      <c r="E142" s="1061" t="s">
        <v>5682</v>
      </c>
      <c r="F142" s="1061"/>
      <c r="G142" s="1061"/>
      <c r="H142" s="1061"/>
      <c r="I142" s="1061"/>
      <c r="J142" s="1061"/>
      <c r="K142" s="821">
        <v>4.5400000000000003E-2</v>
      </c>
      <c r="L142" s="821" t="s">
        <v>94</v>
      </c>
      <c r="M142" s="1102"/>
      <c r="N142" s="1103"/>
      <c r="O142" s="826"/>
      <c r="P142" s="820" t="s">
        <v>94</v>
      </c>
      <c r="Q142" s="1016" t="s">
        <v>5926</v>
      </c>
      <c r="R142" s="1016"/>
    </row>
    <row r="143" spans="1:18">
      <c r="A143" t="str">
        <f t="shared" si="9"/>
        <v>Alumínio primário líquido, prebake</v>
      </c>
      <c r="B143" t="str">
        <f t="shared" si="10"/>
        <v>Alumínio primário líquido, prebake</v>
      </c>
      <c r="D143" s="1128" t="s">
        <v>5683</v>
      </c>
      <c r="E143" s="1068" t="s">
        <v>5605</v>
      </c>
      <c r="F143" s="1069"/>
      <c r="G143" s="1069"/>
      <c r="H143" s="1069"/>
      <c r="I143" s="1069"/>
      <c r="J143" s="1069"/>
      <c r="K143" s="1037" t="s">
        <v>5606</v>
      </c>
      <c r="L143" s="1037" t="s">
        <v>5607</v>
      </c>
      <c r="M143" s="1069" t="s">
        <v>5608</v>
      </c>
      <c r="N143" s="1070"/>
      <c r="O143" s="1037" t="s">
        <v>5606</v>
      </c>
      <c r="P143" s="1038" t="s">
        <v>5607</v>
      </c>
      <c r="Q143" s="1035" t="s">
        <v>5220</v>
      </c>
      <c r="R143" s="1035" t="s">
        <v>5931</v>
      </c>
    </row>
    <row r="144" spans="1:18">
      <c r="A144" t="str">
        <f t="shared" si="9"/>
        <v>Alumínio primário líquido, prebakePrimary Liquid Aluminum</v>
      </c>
      <c r="B144" t="str">
        <f t="shared" si="10"/>
        <v>Alumínio primário líquido, prebake</v>
      </c>
      <c r="C144" t="s">
        <v>492</v>
      </c>
      <c r="D144" s="1129"/>
      <c r="E144" s="1082" t="s">
        <v>5684</v>
      </c>
      <c r="F144" s="1082"/>
      <c r="G144" s="1082"/>
      <c r="H144" s="1082"/>
      <c r="I144" s="1082"/>
      <c r="J144" s="1071"/>
      <c r="K144" s="830">
        <v>1</v>
      </c>
      <c r="L144" s="829" t="s">
        <v>94</v>
      </c>
      <c r="M144" s="1122" t="s">
        <v>5685</v>
      </c>
      <c r="N144" s="1131"/>
      <c r="O144" s="830">
        <v>1</v>
      </c>
      <c r="P144" s="635" t="s">
        <v>94</v>
      </c>
    </row>
    <row r="145" spans="1:18">
      <c r="A145" t="str">
        <f t="shared" si="9"/>
        <v>Alumínio primário líquido, prebake</v>
      </c>
      <c r="B145" t="str">
        <f t="shared" si="10"/>
        <v>Alumínio primário líquido, prebake</v>
      </c>
      <c r="D145" s="1129"/>
      <c r="E145" s="1091" t="s">
        <v>5611</v>
      </c>
      <c r="F145" s="1101"/>
      <c r="G145" s="1101"/>
      <c r="H145" s="1101"/>
      <c r="I145" s="1101"/>
      <c r="J145" s="1101"/>
      <c r="K145" s="811" t="s">
        <v>5606</v>
      </c>
      <c r="L145" s="811" t="s">
        <v>5607</v>
      </c>
      <c r="M145" s="1101" t="s">
        <v>5220</v>
      </c>
      <c r="N145" s="1101"/>
      <c r="O145" s="805" t="s">
        <v>5606</v>
      </c>
      <c r="P145" s="806" t="s">
        <v>5607</v>
      </c>
      <c r="Q145" s="807" t="s">
        <v>5220</v>
      </c>
      <c r="R145" s="807" t="s">
        <v>5931</v>
      </c>
    </row>
    <row r="146" spans="1:18">
      <c r="A146" t="str">
        <f t="shared" si="9"/>
        <v>Alumínio primário líquido, prebake</v>
      </c>
      <c r="B146" t="str">
        <f t="shared" si="10"/>
        <v>Alumínio primário líquido, prebake</v>
      </c>
      <c r="D146" s="1129"/>
      <c r="E146" s="1082" t="s">
        <v>5281</v>
      </c>
      <c r="F146" s="1082"/>
      <c r="G146" s="1082"/>
      <c r="H146" s="1082"/>
      <c r="I146" s="1082"/>
      <c r="J146" s="1082"/>
      <c r="K146" s="829">
        <v>2.4000000000000001E-4</v>
      </c>
      <c r="L146" s="829" t="s">
        <v>640</v>
      </c>
      <c r="M146" s="1073" t="s">
        <v>5615</v>
      </c>
      <c r="N146" s="1073"/>
      <c r="O146" s="836">
        <f>K146/$K$144*$O$144</f>
        <v>2.4000000000000001E-4</v>
      </c>
      <c r="P146" s="1014" t="s">
        <v>640</v>
      </c>
      <c r="Q146" s="836" t="s">
        <v>150</v>
      </c>
      <c r="R146" s="836"/>
    </row>
    <row r="147" spans="1:18">
      <c r="A147" t="str">
        <f t="shared" si="9"/>
        <v>Alumínio primário líquido, prebake</v>
      </c>
      <c r="B147" t="str">
        <f t="shared" si="10"/>
        <v>Alumínio primário líquido, prebake</v>
      </c>
      <c r="D147" s="1129"/>
      <c r="E147" s="1091" t="s">
        <v>5618</v>
      </c>
      <c r="F147" s="1101"/>
      <c r="G147" s="1101"/>
      <c r="H147" s="1101"/>
      <c r="I147" s="1101"/>
      <c r="J147" s="1101"/>
      <c r="K147" s="811" t="s">
        <v>5606</v>
      </c>
      <c r="L147" s="811" t="s">
        <v>5607</v>
      </c>
      <c r="M147" s="1101" t="s">
        <v>5220</v>
      </c>
      <c r="N147" s="1092"/>
      <c r="O147" s="805" t="s">
        <v>5606</v>
      </c>
      <c r="P147" s="806" t="s">
        <v>5607</v>
      </c>
      <c r="Q147" s="807" t="s">
        <v>5220</v>
      </c>
      <c r="R147" s="807" t="s">
        <v>5931</v>
      </c>
    </row>
    <row r="148" spans="1:18">
      <c r="A148" t="str">
        <f t="shared" si="9"/>
        <v>Alumínio primário líquido, prebake</v>
      </c>
      <c r="B148" t="str">
        <f t="shared" si="10"/>
        <v>Alumínio primário líquido, prebake</v>
      </c>
      <c r="D148" s="1129"/>
      <c r="E148" s="1064" t="s">
        <v>5667</v>
      </c>
      <c r="F148" s="1064"/>
      <c r="G148" s="1064"/>
      <c r="H148" s="1064"/>
      <c r="I148" s="1064"/>
      <c r="J148" s="1064"/>
      <c r="K148" s="813">
        <v>1.5384999999999999E-10</v>
      </c>
      <c r="L148" s="813" t="s">
        <v>5621</v>
      </c>
      <c r="M148" s="1104"/>
      <c r="N148" s="1105"/>
      <c r="O148" s="836">
        <f>K148/$K$144*$O$144</f>
        <v>1.5384999999999999E-10</v>
      </c>
      <c r="P148" s="812" t="s">
        <v>5621</v>
      </c>
      <c r="Q148" s="153" t="s">
        <v>150</v>
      </c>
      <c r="R148" s="1039"/>
    </row>
    <row r="149" spans="1:18">
      <c r="A149" t="str">
        <f t="shared" si="9"/>
        <v>Alumínio primário líquido, prebakeAlF3</v>
      </c>
      <c r="B149" t="str">
        <f t="shared" si="10"/>
        <v>Alumínio primário líquido, prebake</v>
      </c>
      <c r="C149" t="s">
        <v>109</v>
      </c>
      <c r="D149" s="1129"/>
      <c r="E149" s="1077" t="s">
        <v>5668</v>
      </c>
      <c r="F149" s="1077"/>
      <c r="G149" s="1077"/>
      <c r="H149" s="1077"/>
      <c r="I149" s="1077"/>
      <c r="J149" s="1077"/>
      <c r="K149" s="818">
        <v>2.1000000000000001E-2</v>
      </c>
      <c r="L149" s="818" t="s">
        <v>94</v>
      </c>
      <c r="M149" s="1098"/>
      <c r="N149" s="1099"/>
      <c r="O149" s="836">
        <f>'LCI - Comparação'!O17</f>
        <v>2.1000000000000001E-2</v>
      </c>
      <c r="P149" s="817" t="s">
        <v>94</v>
      </c>
      <c r="Q149" s="158" t="s">
        <v>150</v>
      </c>
      <c r="R149" s="1040"/>
    </row>
    <row r="150" spans="1:18">
      <c r="A150" t="str">
        <f t="shared" si="9"/>
        <v>Alumínio primário líquido, prebakeAlumina</v>
      </c>
      <c r="B150" t="str">
        <f t="shared" si="10"/>
        <v>Alumínio primário líquido, prebake</v>
      </c>
      <c r="C150" t="s">
        <v>5</v>
      </c>
      <c r="D150" s="1129"/>
      <c r="E150" s="1077" t="s">
        <v>5661</v>
      </c>
      <c r="F150" s="1077"/>
      <c r="G150" s="1077"/>
      <c r="H150" s="1077"/>
      <c r="I150" s="1077"/>
      <c r="J150" s="1077"/>
      <c r="K150" s="818">
        <v>1.897</v>
      </c>
      <c r="L150" s="818" t="s">
        <v>94</v>
      </c>
      <c r="M150" s="1098" t="s">
        <v>5669</v>
      </c>
      <c r="N150" s="1099"/>
      <c r="O150" s="836">
        <f>'LCI - Comparação'!O11</f>
        <v>1.8970434642885836</v>
      </c>
      <c r="P150" s="817" t="s">
        <v>94</v>
      </c>
      <c r="Q150" s="158" t="s">
        <v>150</v>
      </c>
      <c r="R150" s="1040"/>
    </row>
    <row r="151" spans="1:18">
      <c r="A151" t="str">
        <f t="shared" si="9"/>
        <v>Alumínio primário líquido, prebakeCarbon Anode Prebaked</v>
      </c>
      <c r="B151" t="str">
        <f t="shared" si="10"/>
        <v>Alumínio primário líquido, prebake</v>
      </c>
      <c r="C151" t="s">
        <v>504</v>
      </c>
      <c r="D151" s="1129"/>
      <c r="E151" s="1077" t="s">
        <v>5686</v>
      </c>
      <c r="F151" s="1077"/>
      <c r="G151" s="1077"/>
      <c r="H151" s="1077"/>
      <c r="I151" s="1077"/>
      <c r="J151" s="1077"/>
      <c r="K151" s="818">
        <v>0.47499999999999998</v>
      </c>
      <c r="L151" s="818" t="s">
        <v>94</v>
      </c>
      <c r="M151" s="1098" t="s">
        <v>5669</v>
      </c>
      <c r="N151" s="1099"/>
      <c r="O151" s="836">
        <f>'LCI - Comparação'!O14</f>
        <v>0.47499999999999998</v>
      </c>
      <c r="P151" s="817" t="s">
        <v>94</v>
      </c>
      <c r="Q151" s="158" t="s">
        <v>150</v>
      </c>
      <c r="R151" s="1040"/>
    </row>
    <row r="152" spans="1:18">
      <c r="A152" t="str">
        <f t="shared" si="9"/>
        <v>Alumínio primário líquido, prebake</v>
      </c>
      <c r="B152" t="str">
        <f t="shared" si="10"/>
        <v>Alumínio primário líquido, prebake</v>
      </c>
      <c r="D152" s="1129"/>
      <c r="E152" s="1077" t="s">
        <v>5619</v>
      </c>
      <c r="F152" s="1077"/>
      <c r="G152" s="1077"/>
      <c r="H152" s="1077"/>
      <c r="I152" s="1077"/>
      <c r="J152" s="1077"/>
      <c r="K152" s="818">
        <v>4.0200000000000001E-4</v>
      </c>
      <c r="L152" s="818" t="s">
        <v>94</v>
      </c>
      <c r="M152" s="1098"/>
      <c r="N152" s="1099"/>
      <c r="O152" s="836">
        <f t="shared" ref="O152:O159" si="11">K152/$K$144*$O$144</f>
        <v>4.0200000000000001E-4</v>
      </c>
      <c r="P152" s="817" t="s">
        <v>94</v>
      </c>
      <c r="Q152" s="158" t="s">
        <v>150</v>
      </c>
      <c r="R152" s="1040"/>
    </row>
    <row r="153" spans="1:18">
      <c r="A153" t="str">
        <f t="shared" si="9"/>
        <v>Alumínio primário líquido, prebake</v>
      </c>
      <c r="B153" t="str">
        <f t="shared" si="10"/>
        <v>Alumínio primário líquido, prebake</v>
      </c>
      <c r="D153" s="1129"/>
      <c r="E153" s="1077" t="s">
        <v>5671</v>
      </c>
      <c r="F153" s="1077"/>
      <c r="G153" s="1077"/>
      <c r="H153" s="1077"/>
      <c r="I153" s="1077"/>
      <c r="J153" s="1077"/>
      <c r="K153" s="818">
        <v>8.0400000000000003E-4</v>
      </c>
      <c r="L153" s="818" t="s">
        <v>94</v>
      </c>
      <c r="M153" s="1098"/>
      <c r="N153" s="1099"/>
      <c r="O153" s="836">
        <f t="shared" si="11"/>
        <v>8.0400000000000003E-4</v>
      </c>
      <c r="P153" s="817" t="s">
        <v>94</v>
      </c>
      <c r="Q153" s="158" t="s">
        <v>150</v>
      </c>
      <c r="R153" s="1040"/>
    </row>
    <row r="154" spans="1:18">
      <c r="A154" t="str">
        <f t="shared" si="9"/>
        <v>Alumínio primário líquido, prebake</v>
      </c>
      <c r="B154" t="str">
        <f t="shared" si="10"/>
        <v>Alumínio primário líquido, prebake</v>
      </c>
      <c r="D154" s="1129"/>
      <c r="E154" s="1077" t="s">
        <v>5672</v>
      </c>
      <c r="F154" s="1077"/>
      <c r="G154" s="1077"/>
      <c r="H154" s="1077"/>
      <c r="I154" s="1077"/>
      <c r="J154" s="1077"/>
      <c r="K154" s="818">
        <v>5.7000000000000002E-3</v>
      </c>
      <c r="L154" s="818" t="s">
        <v>94</v>
      </c>
      <c r="M154" s="1098"/>
      <c r="N154" s="1099"/>
      <c r="O154" s="836">
        <f t="shared" si="11"/>
        <v>5.7000000000000002E-3</v>
      </c>
      <c r="P154" s="817" t="s">
        <v>94</v>
      </c>
      <c r="Q154" s="158" t="s">
        <v>150</v>
      </c>
      <c r="R154" s="1040"/>
    </row>
    <row r="155" spans="1:18">
      <c r="A155" t="str">
        <f t="shared" si="9"/>
        <v>Alumínio primário líquido, prebakeCoke</v>
      </c>
      <c r="B155" t="str">
        <f t="shared" si="10"/>
        <v>Alumínio primário líquido, prebake</v>
      </c>
      <c r="C155" t="s">
        <v>87</v>
      </c>
      <c r="D155" s="1129"/>
      <c r="E155" s="1077" t="s">
        <v>5673</v>
      </c>
      <c r="F155" s="1077"/>
      <c r="G155" s="1077"/>
      <c r="H155" s="1077"/>
      <c r="I155" s="1077"/>
      <c r="J155" s="1077"/>
      <c r="K155" s="818">
        <v>0.127</v>
      </c>
      <c r="L155" s="818" t="s">
        <v>607</v>
      </c>
      <c r="M155" s="1098" t="s">
        <v>5669</v>
      </c>
      <c r="N155" s="1099"/>
      <c r="O155" s="836">
        <f>'LCI - Comparação'!O7*35</f>
        <v>0.127</v>
      </c>
      <c r="P155" s="817" t="s">
        <v>607</v>
      </c>
      <c r="Q155" s="158" t="s">
        <v>150</v>
      </c>
      <c r="R155" s="1040"/>
    </row>
    <row r="156" spans="1:18">
      <c r="A156" t="str">
        <f t="shared" si="9"/>
        <v>Alumínio primário líquido, prebakeCryolite</v>
      </c>
      <c r="B156" t="str">
        <f t="shared" si="10"/>
        <v>Alumínio primário líquido, prebake</v>
      </c>
      <c r="C156" t="s">
        <v>244</v>
      </c>
      <c r="D156" s="1129"/>
      <c r="E156" s="1077" t="s">
        <v>5674</v>
      </c>
      <c r="F156" s="1077"/>
      <c r="G156" s="1077"/>
      <c r="H156" s="1077"/>
      <c r="I156" s="1077"/>
      <c r="J156" s="1077"/>
      <c r="K156" s="818">
        <v>1.6000000000000001E-3</v>
      </c>
      <c r="L156" s="818" t="s">
        <v>94</v>
      </c>
      <c r="M156" s="1098" t="s">
        <v>5669</v>
      </c>
      <c r="N156" s="1099"/>
      <c r="O156" s="836">
        <f>'LCI - Comparação'!O16</f>
        <v>1.6000000000000001E-3</v>
      </c>
      <c r="P156" s="817" t="s">
        <v>94</v>
      </c>
      <c r="Q156" s="158" t="s">
        <v>150</v>
      </c>
      <c r="R156" s="1040"/>
    </row>
    <row r="157" spans="1:18">
      <c r="A157" t="str">
        <f t="shared" si="9"/>
        <v>Alumínio primário líquido, prebakePitch</v>
      </c>
      <c r="B157" t="str">
        <f t="shared" si="10"/>
        <v>Alumínio primário líquido, prebake</v>
      </c>
      <c r="C157" t="s">
        <v>116</v>
      </c>
      <c r="D157" s="1129"/>
      <c r="E157" s="1077" t="s">
        <v>5675</v>
      </c>
      <c r="F157" s="1077"/>
      <c r="G157" s="1077"/>
      <c r="H157" s="1077"/>
      <c r="I157" s="1077"/>
      <c r="J157" s="1077"/>
      <c r="K157" s="818">
        <v>1.91E-3</v>
      </c>
      <c r="L157" s="818" t="s">
        <v>94</v>
      </c>
      <c r="M157" s="1098"/>
      <c r="N157" s="1099"/>
      <c r="O157" s="836">
        <f>'LCI - Comparação'!O8</f>
        <v>1.91E-3</v>
      </c>
      <c r="P157" s="817" t="s">
        <v>94</v>
      </c>
      <c r="Q157" s="158" t="s">
        <v>150</v>
      </c>
      <c r="R157" s="1040"/>
    </row>
    <row r="158" spans="1:18">
      <c r="A158" t="str">
        <f t="shared" si="9"/>
        <v>Alumínio primário líquido, prebake</v>
      </c>
      <c r="B158" t="str">
        <f t="shared" si="10"/>
        <v>Alumínio primário líquido, prebake</v>
      </c>
      <c r="D158" s="1129"/>
      <c r="E158" s="1077" t="s">
        <v>5676</v>
      </c>
      <c r="F158" s="1077"/>
      <c r="G158" s="1077"/>
      <c r="H158" s="1077"/>
      <c r="I158" s="1077"/>
      <c r="J158" s="1077"/>
      <c r="K158" s="818">
        <v>5.4000000000000003E-3</v>
      </c>
      <c r="L158" s="818" t="s">
        <v>94</v>
      </c>
      <c r="M158" s="1098"/>
      <c r="N158" s="1099"/>
      <c r="O158" s="836">
        <f t="shared" si="11"/>
        <v>5.4000000000000003E-3</v>
      </c>
      <c r="P158" s="817" t="s">
        <v>94</v>
      </c>
      <c r="Q158" s="158" t="s">
        <v>150</v>
      </c>
      <c r="R158" s="1040"/>
    </row>
    <row r="159" spans="1:18">
      <c r="A159" t="str">
        <f t="shared" si="9"/>
        <v>Alumínio primário líquido, prebake</v>
      </c>
      <c r="B159" t="str">
        <f t="shared" si="10"/>
        <v>Alumínio primário líquido, prebake</v>
      </c>
      <c r="D159" s="1129"/>
      <c r="E159" s="1061" t="s">
        <v>5677</v>
      </c>
      <c r="F159" s="1061"/>
      <c r="G159" s="1061"/>
      <c r="H159" s="1061"/>
      <c r="I159" s="1061"/>
      <c r="J159" s="1061"/>
      <c r="K159" s="821">
        <v>5.2599999999999999E-3</v>
      </c>
      <c r="L159" s="821" t="s">
        <v>94</v>
      </c>
      <c r="M159" s="1102"/>
      <c r="N159" s="1103"/>
      <c r="O159" s="836">
        <f t="shared" si="11"/>
        <v>5.2599999999999999E-3</v>
      </c>
      <c r="P159" s="820" t="s">
        <v>94</v>
      </c>
      <c r="Q159" s="162" t="s">
        <v>150</v>
      </c>
      <c r="R159" s="1041"/>
    </row>
    <row r="160" spans="1:18">
      <c r="A160" t="str">
        <f t="shared" si="9"/>
        <v>Alumínio primário líquido, prebake</v>
      </c>
      <c r="B160" t="str">
        <f t="shared" si="10"/>
        <v>Alumínio primário líquido, prebake</v>
      </c>
      <c r="D160" s="1129"/>
      <c r="E160" s="1100" t="s">
        <v>5623</v>
      </c>
      <c r="F160" s="1100"/>
      <c r="G160" s="1100"/>
      <c r="H160" s="1100"/>
      <c r="I160" s="1100"/>
      <c r="J160" s="1074"/>
      <c r="K160" s="827" t="s">
        <v>5606</v>
      </c>
      <c r="L160" s="804" t="s">
        <v>5607</v>
      </c>
      <c r="M160" s="1074" t="s">
        <v>5220</v>
      </c>
      <c r="N160" s="1076"/>
      <c r="O160" s="805" t="s">
        <v>5606</v>
      </c>
      <c r="P160" s="806" t="s">
        <v>5607</v>
      </c>
      <c r="Q160" s="838" t="s">
        <v>5220</v>
      </c>
      <c r="R160" s="807" t="s">
        <v>5931</v>
      </c>
    </row>
    <row r="161" spans="1:18">
      <c r="A161" t="str">
        <f t="shared" si="9"/>
        <v>Alumínio primário líquido, prebakeElectricity</v>
      </c>
      <c r="B161" t="str">
        <f t="shared" si="10"/>
        <v>Alumínio primário líquido, prebake</v>
      </c>
      <c r="C161" t="s">
        <v>465</v>
      </c>
      <c r="D161" s="1129"/>
      <c r="E161" s="1082" t="s">
        <v>5624</v>
      </c>
      <c r="F161" s="1082"/>
      <c r="G161" s="1082"/>
      <c r="H161" s="1082"/>
      <c r="I161" s="1082"/>
      <c r="J161" s="1071"/>
      <c r="K161" s="831">
        <v>15.750999999999999</v>
      </c>
      <c r="L161" s="830" t="s">
        <v>598</v>
      </c>
      <c r="M161" s="1106" t="s">
        <v>5625</v>
      </c>
      <c r="N161" s="1107"/>
      <c r="O161" s="1017">
        <f>'LCI - Comparação'!O40/3.6</f>
        <v>15.750999999999999</v>
      </c>
      <c r="P161" s="1014" t="s">
        <v>598</v>
      </c>
      <c r="Q161" s="836" t="s">
        <v>5490</v>
      </c>
      <c r="R161" s="836" t="s">
        <v>5930</v>
      </c>
    </row>
    <row r="162" spans="1:18">
      <c r="A162" t="str">
        <f t="shared" si="9"/>
        <v>Alumínio primário líquido, prebake</v>
      </c>
      <c r="B162" t="str">
        <f t="shared" si="10"/>
        <v>Alumínio primário líquido, prebake</v>
      </c>
      <c r="D162" s="1129"/>
      <c r="E162" s="1097" t="s">
        <v>5628</v>
      </c>
      <c r="F162" s="1097"/>
      <c r="G162" s="1097"/>
      <c r="H162" s="1097"/>
      <c r="I162" s="1097"/>
      <c r="J162" s="1091"/>
      <c r="K162" s="834" t="s">
        <v>5606</v>
      </c>
      <c r="L162" s="811" t="s">
        <v>5607</v>
      </c>
      <c r="M162" s="1091" t="s">
        <v>5220</v>
      </c>
      <c r="N162" s="1092"/>
      <c r="O162" s="805" t="s">
        <v>5606</v>
      </c>
      <c r="P162" s="806" t="s">
        <v>5607</v>
      </c>
      <c r="Q162" s="807" t="s">
        <v>5220</v>
      </c>
      <c r="R162" s="807" t="s">
        <v>5931</v>
      </c>
    </row>
    <row r="163" spans="1:18">
      <c r="A163" t="str">
        <f t="shared" si="9"/>
        <v>Alumínio primário líquido, prebake</v>
      </c>
      <c r="B163" t="str">
        <f>IF(D163=0,B162,D163)</f>
        <v>Alumínio primário líquido, prebake</v>
      </c>
      <c r="D163" s="1129"/>
      <c r="E163" s="1064" t="s">
        <v>720</v>
      </c>
      <c r="F163" s="1064" t="s">
        <v>5629</v>
      </c>
      <c r="G163" s="1064"/>
      <c r="H163" s="1064"/>
      <c r="I163" s="1064"/>
      <c r="J163" s="1064"/>
      <c r="K163" s="813">
        <v>7.5600000000000002E-8</v>
      </c>
      <c r="L163" s="813" t="s">
        <v>94</v>
      </c>
      <c r="M163" s="1104"/>
      <c r="N163" s="1105"/>
      <c r="O163" s="809"/>
      <c r="P163" s="812" t="s">
        <v>94</v>
      </c>
      <c r="Q163" s="1016" t="s">
        <v>5926</v>
      </c>
      <c r="R163" s="1016"/>
    </row>
    <row r="164" spans="1:18">
      <c r="A164" t="str">
        <f t="shared" si="9"/>
        <v>Alumínio primário líquido, prebakeCO2</v>
      </c>
      <c r="B164" t="str">
        <f t="shared" si="10"/>
        <v>Alumínio primário líquido, prebake</v>
      </c>
      <c r="C164" t="s">
        <v>3</v>
      </c>
      <c r="D164" s="1129"/>
      <c r="E164" s="1077" t="s">
        <v>726</v>
      </c>
      <c r="F164" s="1077" t="s">
        <v>5629</v>
      </c>
      <c r="G164" s="1077"/>
      <c r="H164" s="1077"/>
      <c r="I164" s="1077"/>
      <c r="J164" s="1077"/>
      <c r="K164" s="818">
        <v>1.4964999999999999</v>
      </c>
      <c r="L164" s="818" t="s">
        <v>94</v>
      </c>
      <c r="M164" s="1098"/>
      <c r="N164" s="1099"/>
      <c r="O164" s="815">
        <f>-'LCI - Comparação'!O31</f>
        <v>1.4964999999999999</v>
      </c>
      <c r="P164" s="817" t="s">
        <v>94</v>
      </c>
      <c r="Q164" s="816" t="s">
        <v>150</v>
      </c>
      <c r="R164" s="816"/>
    </row>
    <row r="165" spans="1:18">
      <c r="A165" t="str">
        <f t="shared" si="9"/>
        <v>Alumínio primário líquido, prebakeCO</v>
      </c>
      <c r="B165" t="str">
        <f t="shared" si="10"/>
        <v>Alumínio primário líquido, prebake</v>
      </c>
      <c r="C165" t="s">
        <v>4</v>
      </c>
      <c r="D165" s="1129"/>
      <c r="E165" s="1077" t="s">
        <v>728</v>
      </c>
      <c r="F165" s="1077" t="s">
        <v>5629</v>
      </c>
      <c r="G165" s="1077"/>
      <c r="H165" s="1077"/>
      <c r="I165" s="1077"/>
      <c r="J165" s="1077"/>
      <c r="K165" s="818">
        <v>9.1707999999999998E-2</v>
      </c>
      <c r="L165" s="818" t="s">
        <v>94</v>
      </c>
      <c r="M165" s="1098"/>
      <c r="N165" s="1099"/>
      <c r="O165" s="815">
        <f>-'LCI - Comparação'!O32</f>
        <v>9.1709999999999986E-2</v>
      </c>
      <c r="P165" s="817" t="s">
        <v>94</v>
      </c>
      <c r="Q165" s="816" t="s">
        <v>150</v>
      </c>
      <c r="R165" s="816"/>
    </row>
    <row r="166" spans="1:18">
      <c r="A166" t="str">
        <f t="shared" si="9"/>
        <v>Alumínio primário líquido, prebake</v>
      </c>
      <c r="B166" t="str">
        <f t="shared" si="10"/>
        <v>Alumínio primário líquido, prebake</v>
      </c>
      <c r="D166" s="1129"/>
      <c r="E166" s="1077" t="s">
        <v>1083</v>
      </c>
      <c r="F166" s="1077" t="s">
        <v>5629</v>
      </c>
      <c r="G166" s="1077"/>
      <c r="H166" s="1077"/>
      <c r="I166" s="1077"/>
      <c r="J166" s="1077"/>
      <c r="K166" s="818">
        <v>6.3999999999999997E-6</v>
      </c>
      <c r="L166" s="818" t="s">
        <v>94</v>
      </c>
      <c r="M166" s="1098"/>
      <c r="N166" s="1099"/>
      <c r="O166" s="815"/>
      <c r="P166" s="817" t="s">
        <v>94</v>
      </c>
      <c r="Q166" s="1016" t="s">
        <v>5926</v>
      </c>
      <c r="R166" s="1016"/>
    </row>
    <row r="167" spans="1:18">
      <c r="A167" t="str">
        <f t="shared" si="9"/>
        <v>Alumínio primário líquido, prebake</v>
      </c>
      <c r="B167" t="str">
        <f t="shared" si="10"/>
        <v>Alumínio primário líquido, prebake</v>
      </c>
      <c r="D167" s="1129"/>
      <c r="E167" s="1077" t="s">
        <v>243</v>
      </c>
      <c r="F167" s="1077" t="s">
        <v>5629</v>
      </c>
      <c r="G167" s="1077"/>
      <c r="H167" s="1077"/>
      <c r="I167" s="1077"/>
      <c r="J167" s="1077"/>
      <c r="K167" s="818">
        <v>8.0000000000000004E-4</v>
      </c>
      <c r="L167" s="818" t="s">
        <v>94</v>
      </c>
      <c r="M167" s="1098"/>
      <c r="N167" s="1099"/>
      <c r="O167" s="815"/>
      <c r="P167" s="817" t="s">
        <v>94</v>
      </c>
      <c r="Q167" s="1016" t="s">
        <v>5926</v>
      </c>
      <c r="R167" s="1016"/>
    </row>
    <row r="168" spans="1:18">
      <c r="A168" t="str">
        <f t="shared" si="9"/>
        <v>Alumínio primário líquido, prebake</v>
      </c>
      <c r="B168" t="str">
        <f t="shared" si="10"/>
        <v>Alumínio primário líquido, prebake</v>
      </c>
      <c r="D168" s="1129"/>
      <c r="E168" s="1077" t="s">
        <v>5678</v>
      </c>
      <c r="F168" s="1077" t="s">
        <v>5629</v>
      </c>
      <c r="G168" s="1077"/>
      <c r="H168" s="1077"/>
      <c r="I168" s="1077"/>
      <c r="J168" s="1077"/>
      <c r="K168" s="818">
        <v>5.5999999999999999E-5</v>
      </c>
      <c r="L168" s="818" t="s">
        <v>94</v>
      </c>
      <c r="M168" s="1098"/>
      <c r="N168" s="1099"/>
      <c r="O168" s="815"/>
      <c r="P168" s="817" t="s">
        <v>94</v>
      </c>
      <c r="Q168" s="1016" t="s">
        <v>5926</v>
      </c>
      <c r="R168" s="1016"/>
    </row>
    <row r="169" spans="1:18">
      <c r="A169" t="str">
        <f t="shared" si="9"/>
        <v>Alumínio primário líquido, prebake</v>
      </c>
      <c r="B169" t="str">
        <f t="shared" si="10"/>
        <v>Alumínio primário líquido, prebake</v>
      </c>
      <c r="D169" s="1129"/>
      <c r="E169" s="1077" t="s">
        <v>761</v>
      </c>
      <c r="F169" s="1077" t="s">
        <v>5629</v>
      </c>
      <c r="G169" s="1077"/>
      <c r="H169" s="1077"/>
      <c r="I169" s="1077"/>
      <c r="J169" s="1077"/>
      <c r="K169" s="818">
        <v>5.31E-4</v>
      </c>
      <c r="L169" s="818" t="s">
        <v>94</v>
      </c>
      <c r="M169" s="1098"/>
      <c r="N169" s="1099"/>
      <c r="O169" s="815"/>
      <c r="P169" s="817" t="s">
        <v>94</v>
      </c>
      <c r="Q169" s="1016" t="s">
        <v>5926</v>
      </c>
      <c r="R169" s="1016"/>
    </row>
    <row r="170" spans="1:18">
      <c r="A170" t="str">
        <f t="shared" si="9"/>
        <v>Alumínio primário líquido, prebake</v>
      </c>
      <c r="B170" t="str">
        <f t="shared" si="10"/>
        <v>Alumínio primário líquido, prebake</v>
      </c>
      <c r="D170" s="1129"/>
      <c r="E170" s="1077" t="s">
        <v>763</v>
      </c>
      <c r="F170" s="1077" t="s">
        <v>5629</v>
      </c>
      <c r="G170" s="1077"/>
      <c r="H170" s="1077"/>
      <c r="I170" s="1077"/>
      <c r="J170" s="1077"/>
      <c r="K170" s="818">
        <v>4.1999999999999996E-6</v>
      </c>
      <c r="L170" s="818" t="s">
        <v>94</v>
      </c>
      <c r="M170" s="1098"/>
      <c r="N170" s="1099"/>
      <c r="O170" s="815"/>
      <c r="P170" s="817" t="s">
        <v>94</v>
      </c>
      <c r="Q170" s="1016" t="s">
        <v>5926</v>
      </c>
      <c r="R170" s="1016"/>
    </row>
    <row r="171" spans="1:18">
      <c r="A171" t="str">
        <f t="shared" si="9"/>
        <v>Alumínio primário líquido, prebake</v>
      </c>
      <c r="B171" t="str">
        <f t="shared" si="10"/>
        <v>Alumínio primário líquido, prebake</v>
      </c>
      <c r="D171" s="1129"/>
      <c r="E171" s="1077" t="s">
        <v>653</v>
      </c>
      <c r="F171" s="1077" t="s">
        <v>5629</v>
      </c>
      <c r="G171" s="1077"/>
      <c r="H171" s="1077"/>
      <c r="I171" s="1077"/>
      <c r="J171" s="1077"/>
      <c r="K171" s="818">
        <v>7.9199999999999995E-4</v>
      </c>
      <c r="L171" s="818" t="s">
        <v>94</v>
      </c>
      <c r="M171" s="1098"/>
      <c r="N171" s="1099"/>
      <c r="O171" s="815"/>
      <c r="P171" s="817" t="s">
        <v>94</v>
      </c>
      <c r="Q171" s="1016" t="s">
        <v>5926</v>
      </c>
      <c r="R171" s="1016"/>
    </row>
    <row r="172" spans="1:18">
      <c r="A172" t="str">
        <f t="shared" si="9"/>
        <v>Alumínio primário líquido, prebake</v>
      </c>
      <c r="B172" t="str">
        <f t="shared" si="10"/>
        <v>Alumínio primário líquido, prebake</v>
      </c>
      <c r="D172" s="1129"/>
      <c r="E172" s="1077" t="s">
        <v>656</v>
      </c>
      <c r="F172" s="1077" t="s">
        <v>5629</v>
      </c>
      <c r="G172" s="1077"/>
      <c r="H172" s="1077"/>
      <c r="I172" s="1077"/>
      <c r="J172" s="1077"/>
      <c r="K172" s="818">
        <v>4.4000000000000002E-4</v>
      </c>
      <c r="L172" s="818" t="s">
        <v>94</v>
      </c>
      <c r="M172" s="1098"/>
      <c r="N172" s="1099"/>
      <c r="O172" s="815"/>
      <c r="P172" s="817" t="s">
        <v>94</v>
      </c>
      <c r="Q172" s="1016" t="s">
        <v>5926</v>
      </c>
      <c r="R172" s="1016"/>
    </row>
    <row r="173" spans="1:18">
      <c r="A173" t="str">
        <f t="shared" si="9"/>
        <v>Alumínio primário líquido, prebake</v>
      </c>
      <c r="B173" t="str">
        <f t="shared" si="10"/>
        <v>Alumínio primário líquido, prebake</v>
      </c>
      <c r="D173" s="1129"/>
      <c r="E173" s="1077" t="s">
        <v>657</v>
      </c>
      <c r="F173" s="1077" t="s">
        <v>5629</v>
      </c>
      <c r="G173" s="1077"/>
      <c r="H173" s="1077"/>
      <c r="I173" s="1077"/>
      <c r="J173" s="1077"/>
      <c r="K173" s="818">
        <v>9.68E-4</v>
      </c>
      <c r="L173" s="818" t="s">
        <v>94</v>
      </c>
      <c r="M173" s="1098"/>
      <c r="N173" s="1099"/>
      <c r="O173" s="815"/>
      <c r="P173" s="817" t="s">
        <v>94</v>
      </c>
      <c r="Q173" s="1016" t="s">
        <v>5926</v>
      </c>
      <c r="R173" s="1016"/>
    </row>
    <row r="174" spans="1:18">
      <c r="A174" t="str">
        <f t="shared" si="9"/>
        <v>Alumínio primário líquido, prebake</v>
      </c>
      <c r="B174" t="str">
        <f t="shared" si="10"/>
        <v>Alumínio primário líquido, prebake</v>
      </c>
      <c r="D174" s="1129"/>
      <c r="E174" s="1077" t="s">
        <v>776</v>
      </c>
      <c r="F174" s="1077" t="s">
        <v>5629</v>
      </c>
      <c r="G174" s="1077"/>
      <c r="H174" s="1077"/>
      <c r="I174" s="1077"/>
      <c r="J174" s="1077"/>
      <c r="K174" s="818">
        <v>1.32E-2</v>
      </c>
      <c r="L174" s="818" t="s">
        <v>94</v>
      </c>
      <c r="M174" s="1098"/>
      <c r="N174" s="1099"/>
      <c r="O174" s="815"/>
      <c r="P174" s="817" t="s">
        <v>94</v>
      </c>
      <c r="Q174" s="1016" t="s">
        <v>5926</v>
      </c>
      <c r="R174" s="1016"/>
    </row>
    <row r="175" spans="1:18">
      <c r="A175" t="str">
        <f t="shared" si="9"/>
        <v>Alumínio primário líquido, prebake</v>
      </c>
      <c r="B175" t="str">
        <f t="shared" si="10"/>
        <v>Alumínio primário líquido, prebake</v>
      </c>
      <c r="D175" s="1129"/>
      <c r="E175" s="1061" t="s">
        <v>5630</v>
      </c>
      <c r="F175" s="1061" t="s">
        <v>5629</v>
      </c>
      <c r="G175" s="1061"/>
      <c r="H175" s="1061"/>
      <c r="I175" s="1061"/>
      <c r="J175" s="1061"/>
      <c r="K175" s="821">
        <v>2.2000000000000001E-3</v>
      </c>
      <c r="L175" s="821" t="s">
        <v>640</v>
      </c>
      <c r="M175" s="1102"/>
      <c r="N175" s="1103"/>
      <c r="O175" s="826"/>
      <c r="P175" s="820" t="s">
        <v>640</v>
      </c>
      <c r="Q175" s="1016" t="s">
        <v>5926</v>
      </c>
      <c r="R175" s="1016"/>
    </row>
    <row r="176" spans="1:18">
      <c r="D176" s="1129"/>
      <c r="E176" s="719" t="s">
        <v>5929</v>
      </c>
      <c r="F176" s="719"/>
      <c r="G176" s="719"/>
      <c r="H176" s="719"/>
      <c r="I176" s="719"/>
      <c r="J176" s="719"/>
      <c r="K176" s="818"/>
      <c r="L176" s="818"/>
      <c r="M176" s="818"/>
      <c r="N176" s="819"/>
      <c r="O176" s="815">
        <f>-'LCI - Comparação'!O33</f>
        <v>0.42844300000000002</v>
      </c>
      <c r="P176" s="817" t="s">
        <v>94</v>
      </c>
      <c r="Q176" s="816" t="s">
        <v>150</v>
      </c>
      <c r="R176" s="816"/>
    </row>
    <row r="177" spans="1:18">
      <c r="A177" t="str">
        <f t="shared" si="9"/>
        <v>Alumínio primário líquido, prebake</v>
      </c>
      <c r="B177" t="str">
        <f>IF(D177=0,B175,D177)</f>
        <v>Alumínio primário líquido, prebake</v>
      </c>
      <c r="D177" s="1129"/>
      <c r="E177" s="1100" t="s">
        <v>5632</v>
      </c>
      <c r="F177" s="1100"/>
      <c r="G177" s="1100"/>
      <c r="H177" s="1100"/>
      <c r="I177" s="1100"/>
      <c r="J177" s="1074"/>
      <c r="K177" s="827" t="s">
        <v>5606</v>
      </c>
      <c r="L177" s="804" t="s">
        <v>5607</v>
      </c>
      <c r="M177" s="1075" t="s">
        <v>5220</v>
      </c>
      <c r="N177" s="1076"/>
      <c r="O177" s="805" t="s">
        <v>5606</v>
      </c>
      <c r="P177" s="806" t="s">
        <v>5607</v>
      </c>
      <c r="Q177" s="807" t="s">
        <v>5220</v>
      </c>
      <c r="R177" s="807" t="s">
        <v>5931</v>
      </c>
    </row>
    <row r="178" spans="1:18">
      <c r="A178" t="str">
        <f t="shared" si="9"/>
        <v>Alumínio primário líquido, prebake</v>
      </c>
      <c r="B178" t="str">
        <f t="shared" si="10"/>
        <v>Alumínio primário líquido, prebake</v>
      </c>
      <c r="D178" s="1129"/>
      <c r="E178" s="1064" t="s">
        <v>741</v>
      </c>
      <c r="F178" s="1064" t="s">
        <v>5629</v>
      </c>
      <c r="G178" s="1064"/>
      <c r="H178" s="1064"/>
      <c r="I178" s="1064"/>
      <c r="J178" s="1064"/>
      <c r="K178" s="813">
        <v>2.3E-5</v>
      </c>
      <c r="L178" s="813" t="s">
        <v>94</v>
      </c>
      <c r="M178" s="1104"/>
      <c r="N178" s="1105"/>
      <c r="O178" s="809"/>
      <c r="P178" s="812" t="s">
        <v>94</v>
      </c>
      <c r="Q178" s="1016" t="s">
        <v>5926</v>
      </c>
      <c r="R178" s="1016"/>
    </row>
    <row r="179" spans="1:18">
      <c r="A179" t="str">
        <f t="shared" si="9"/>
        <v>Alumínio primário líquido, prebake</v>
      </c>
      <c r="B179" t="str">
        <f t="shared" si="10"/>
        <v>Alumínio primário líquido, prebake</v>
      </c>
      <c r="D179" s="1129"/>
      <c r="E179" s="1077" t="s">
        <v>980</v>
      </c>
      <c r="F179" s="1077" t="s">
        <v>5629</v>
      </c>
      <c r="G179" s="1077"/>
      <c r="H179" s="1077"/>
      <c r="I179" s="1077"/>
      <c r="J179" s="1077"/>
      <c r="K179" s="818">
        <v>1.2999999999999999E-5</v>
      </c>
      <c r="L179" s="818" t="s">
        <v>94</v>
      </c>
      <c r="M179" s="1098"/>
      <c r="N179" s="1099"/>
      <c r="O179" s="815"/>
      <c r="P179" s="817" t="s">
        <v>94</v>
      </c>
      <c r="Q179" s="1016" t="s">
        <v>5926</v>
      </c>
      <c r="R179" s="1016"/>
    </row>
    <row r="180" spans="1:18">
      <c r="A180" t="str">
        <f t="shared" si="9"/>
        <v>Alumínio primário líquido, prebake</v>
      </c>
      <c r="B180" t="str">
        <f t="shared" si="10"/>
        <v>Alumínio primário líquido, prebake</v>
      </c>
      <c r="D180" s="1129"/>
      <c r="E180" s="1077" t="s">
        <v>763</v>
      </c>
      <c r="F180" s="1077" t="s">
        <v>5629</v>
      </c>
      <c r="G180" s="1077"/>
      <c r="H180" s="1077"/>
      <c r="I180" s="1077"/>
      <c r="J180" s="1077"/>
      <c r="K180" s="818">
        <v>2.4299999999999999E-8</v>
      </c>
      <c r="L180" s="818" t="s">
        <v>94</v>
      </c>
      <c r="M180" s="1098"/>
      <c r="N180" s="1099"/>
      <c r="O180" s="815"/>
      <c r="P180" s="817" t="s">
        <v>94</v>
      </c>
      <c r="Q180" s="1016" t="s">
        <v>5926</v>
      </c>
      <c r="R180" s="1016"/>
    </row>
    <row r="181" spans="1:18">
      <c r="A181" t="str">
        <f t="shared" si="9"/>
        <v>Alumínio primário líquido, prebake</v>
      </c>
      <c r="B181" t="str">
        <f t="shared" si="10"/>
        <v>Alumínio primário líquido, prebake</v>
      </c>
      <c r="D181" s="1129"/>
      <c r="E181" s="1077" t="s">
        <v>777</v>
      </c>
      <c r="F181" s="1077" t="s">
        <v>5629</v>
      </c>
      <c r="G181" s="1077"/>
      <c r="H181" s="1077"/>
      <c r="I181" s="1077"/>
      <c r="J181" s="1077"/>
      <c r="K181" s="818">
        <v>1.7699999999999999E-4</v>
      </c>
      <c r="L181" s="818" t="s">
        <v>94</v>
      </c>
      <c r="M181" s="1098"/>
      <c r="N181" s="1099"/>
      <c r="O181" s="815"/>
      <c r="P181" s="817" t="s">
        <v>94</v>
      </c>
      <c r="Q181" s="1016" t="s">
        <v>5926</v>
      </c>
      <c r="R181" s="1016"/>
    </row>
    <row r="182" spans="1:18">
      <c r="A182" t="str">
        <f t="shared" si="9"/>
        <v>Alumínio primário líquido, prebake</v>
      </c>
      <c r="B182" t="str">
        <f t="shared" si="10"/>
        <v>Alumínio primário líquido, prebake</v>
      </c>
      <c r="D182" s="1129"/>
      <c r="E182" s="1061" t="s">
        <v>1094</v>
      </c>
      <c r="F182" s="1061"/>
      <c r="G182" s="1061"/>
      <c r="H182" s="1061"/>
      <c r="I182" s="1061"/>
      <c r="J182" s="1061"/>
      <c r="K182" s="821">
        <v>1.0699999999999999E-2</v>
      </c>
      <c r="L182" s="821" t="s">
        <v>640</v>
      </c>
      <c r="M182" s="1102" t="s">
        <v>5633</v>
      </c>
      <c r="N182" s="1103"/>
      <c r="O182" s="826"/>
      <c r="P182" s="820" t="s">
        <v>640</v>
      </c>
      <c r="Q182" s="1016" t="s">
        <v>5926</v>
      </c>
      <c r="R182" s="1016"/>
    </row>
    <row r="183" spans="1:18">
      <c r="A183" t="str">
        <f t="shared" si="9"/>
        <v>Alumínio primário líquido, prebake</v>
      </c>
      <c r="B183" t="str">
        <f t="shared" si="10"/>
        <v>Alumínio primário líquido, prebake</v>
      </c>
      <c r="D183" s="1129"/>
      <c r="E183" s="1100" t="s">
        <v>5634</v>
      </c>
      <c r="F183" s="1100"/>
      <c r="G183" s="1100"/>
      <c r="H183" s="1100"/>
      <c r="I183" s="1100"/>
      <c r="J183" s="1074"/>
      <c r="K183" s="827" t="s">
        <v>5606</v>
      </c>
      <c r="L183" s="811" t="s">
        <v>5607</v>
      </c>
      <c r="M183" s="1101" t="s">
        <v>5220</v>
      </c>
      <c r="N183" s="1092"/>
      <c r="O183" s="805" t="s">
        <v>5606</v>
      </c>
      <c r="P183" s="806" t="s">
        <v>5607</v>
      </c>
      <c r="Q183" s="807" t="s">
        <v>5220</v>
      </c>
      <c r="R183" s="807" t="s">
        <v>5931</v>
      </c>
    </row>
    <row r="184" spans="1:18">
      <c r="A184" t="str">
        <f t="shared" si="9"/>
        <v>Alumínio primário líquido, prebake</v>
      </c>
      <c r="B184" t="str">
        <f t="shared" si="10"/>
        <v>Alumínio primário líquido, prebake</v>
      </c>
      <c r="D184" s="1129"/>
      <c r="E184" s="1064" t="s">
        <v>5679</v>
      </c>
      <c r="F184" s="1064"/>
      <c r="G184" s="1064"/>
      <c r="H184" s="1064"/>
      <c r="I184" s="1064"/>
      <c r="J184" s="1064"/>
      <c r="K184" s="813">
        <v>2.7E-2</v>
      </c>
      <c r="L184" s="813" t="s">
        <v>94</v>
      </c>
      <c r="M184" s="1104"/>
      <c r="N184" s="1105"/>
      <c r="O184" s="809"/>
      <c r="P184" s="812" t="s">
        <v>94</v>
      </c>
      <c r="Q184" s="1016" t="s">
        <v>5926</v>
      </c>
      <c r="R184" s="1016"/>
    </row>
    <row r="185" spans="1:18">
      <c r="A185" t="str">
        <f t="shared" si="9"/>
        <v>Alumínio primário líquido, prebake</v>
      </c>
      <c r="B185" t="str">
        <f t="shared" si="10"/>
        <v>Alumínio primário líquido, prebake</v>
      </c>
      <c r="D185" s="1129"/>
      <c r="E185" s="1077" t="s">
        <v>5637</v>
      </c>
      <c r="F185" s="1077"/>
      <c r="G185" s="1077"/>
      <c r="H185" s="1077"/>
      <c r="I185" s="1077"/>
      <c r="J185" s="1077"/>
      <c r="K185" s="818">
        <v>1.2999999999999999E-2</v>
      </c>
      <c r="L185" s="818" t="s">
        <v>94</v>
      </c>
      <c r="M185" s="1098"/>
      <c r="N185" s="1099"/>
      <c r="O185" s="815"/>
      <c r="P185" s="817" t="s">
        <v>94</v>
      </c>
      <c r="Q185" s="1016" t="s">
        <v>5926</v>
      </c>
      <c r="R185" s="1016"/>
    </row>
    <row r="186" spans="1:18">
      <c r="A186" t="str">
        <f t="shared" si="9"/>
        <v>Alumínio primário líquido, prebake</v>
      </c>
      <c r="B186" t="str">
        <f t="shared" si="10"/>
        <v>Alumínio primário líquido, prebake</v>
      </c>
      <c r="D186" s="1129"/>
      <c r="E186" s="1077" t="s">
        <v>5658</v>
      </c>
      <c r="F186" s="1077"/>
      <c r="G186" s="1077"/>
      <c r="H186" s="1077"/>
      <c r="I186" s="1077"/>
      <c r="J186" s="1077"/>
      <c r="K186" s="818">
        <v>6.1000000000000004E-3</v>
      </c>
      <c r="L186" s="818" t="s">
        <v>94</v>
      </c>
      <c r="M186" s="1098"/>
      <c r="N186" s="1099"/>
      <c r="O186" s="815"/>
      <c r="P186" s="817" t="s">
        <v>94</v>
      </c>
      <c r="Q186" s="1016" t="s">
        <v>5926</v>
      </c>
      <c r="R186" s="1016"/>
    </row>
    <row r="187" spans="1:18">
      <c r="A187" t="str">
        <f t="shared" si="9"/>
        <v>Alumínio primário líquido, prebake</v>
      </c>
      <c r="B187" t="str">
        <f t="shared" si="10"/>
        <v>Alumínio primário líquido, prebake</v>
      </c>
      <c r="D187" s="1129"/>
      <c r="E187" s="1077" t="s">
        <v>5680</v>
      </c>
      <c r="F187" s="1077"/>
      <c r="G187" s="1077"/>
      <c r="H187" s="1077"/>
      <c r="I187" s="1077"/>
      <c r="J187" s="1077"/>
      <c r="K187" s="818">
        <v>1.4500000000000001E-2</v>
      </c>
      <c r="L187" s="818" t="s">
        <v>94</v>
      </c>
      <c r="M187" s="1098"/>
      <c r="N187" s="1099"/>
      <c r="O187" s="815"/>
      <c r="P187" s="817" t="s">
        <v>94</v>
      </c>
      <c r="Q187" s="1016" t="s">
        <v>5926</v>
      </c>
      <c r="R187" s="1016"/>
    </row>
    <row r="188" spans="1:18">
      <c r="A188" t="str">
        <f t="shared" si="9"/>
        <v>Alumínio primário líquido, prebake</v>
      </c>
      <c r="B188" t="str">
        <f t="shared" si="10"/>
        <v>Alumínio primário líquido, prebake</v>
      </c>
      <c r="D188" s="1129"/>
      <c r="E188" s="1077" t="s">
        <v>5681</v>
      </c>
      <c r="F188" s="1077"/>
      <c r="G188" s="1077"/>
      <c r="H188" s="1077"/>
      <c r="I188" s="1077"/>
      <c r="J188" s="1077"/>
      <c r="K188" s="818">
        <v>7.4999999999999997E-3</v>
      </c>
      <c r="L188" s="818" t="s">
        <v>94</v>
      </c>
      <c r="M188" s="1098"/>
      <c r="N188" s="1099"/>
      <c r="O188" s="815"/>
      <c r="P188" s="817" t="s">
        <v>94</v>
      </c>
      <c r="Q188" s="1016" t="s">
        <v>5926</v>
      </c>
      <c r="R188" s="1016"/>
    </row>
    <row r="189" spans="1:18">
      <c r="A189" t="str">
        <f t="shared" si="9"/>
        <v>Alumínio primário líquido, prebake</v>
      </c>
      <c r="B189" t="str">
        <f t="shared" si="10"/>
        <v>Alumínio primário líquido, prebake</v>
      </c>
      <c r="D189" s="1129"/>
      <c r="E189" s="1061" t="s">
        <v>5682</v>
      </c>
      <c r="F189" s="1061"/>
      <c r="G189" s="1061"/>
      <c r="H189" s="1061"/>
      <c r="I189" s="1061"/>
      <c r="J189" s="1061"/>
      <c r="K189" s="821">
        <v>1.4E-2</v>
      </c>
      <c r="L189" s="821" t="s">
        <v>94</v>
      </c>
      <c r="M189" s="1102"/>
      <c r="N189" s="1103"/>
      <c r="O189" s="826"/>
      <c r="P189" s="820" t="s">
        <v>94</v>
      </c>
      <c r="Q189" s="1016" t="s">
        <v>5926</v>
      </c>
      <c r="R189" s="1016"/>
    </row>
    <row r="190" spans="1:18">
      <c r="A190" t="str">
        <f t="shared" si="9"/>
        <v>Lingote de alumínio primário, mix de rotas (Prebake e Soderberg)</v>
      </c>
      <c r="B190" t="str">
        <f t="shared" si="10"/>
        <v>Lingote de alumínio primário, mix de rotas (Prebake e Soderberg)</v>
      </c>
      <c r="D190" s="1088" t="s">
        <v>5687</v>
      </c>
      <c r="E190" s="1068" t="s">
        <v>5605</v>
      </c>
      <c r="F190" s="1069"/>
      <c r="G190" s="1069"/>
      <c r="H190" s="1069"/>
      <c r="I190" s="1069"/>
      <c r="J190" s="1069"/>
      <c r="K190" s="1037" t="s">
        <v>5606</v>
      </c>
      <c r="L190" s="1037" t="s">
        <v>5607</v>
      </c>
      <c r="M190" s="1069" t="s">
        <v>5608</v>
      </c>
      <c r="N190" s="1070"/>
      <c r="O190" s="1037" t="s">
        <v>5606</v>
      </c>
      <c r="P190" s="1038" t="s">
        <v>5607</v>
      </c>
      <c r="Q190" s="1035" t="s">
        <v>5220</v>
      </c>
      <c r="R190" s="1035" t="s">
        <v>5931</v>
      </c>
    </row>
    <row r="191" spans="1:18">
      <c r="A191" t="str">
        <f t="shared" si="9"/>
        <v>Lingote de alumínio primário, mix de rotas (Prebake e Soderberg)Primary Aluminum</v>
      </c>
      <c r="B191" t="str">
        <f t="shared" si="10"/>
        <v>Lingote de alumínio primário, mix de rotas (Prebake e Soderberg)</v>
      </c>
      <c r="C191" t="s">
        <v>5373</v>
      </c>
      <c r="D191" s="1089"/>
      <c r="E191" s="1071" t="s">
        <v>5688</v>
      </c>
      <c r="F191" s="1072"/>
      <c r="G191" s="1072"/>
      <c r="H191" s="1072"/>
      <c r="I191" s="1072"/>
      <c r="J191" s="1072"/>
      <c r="K191" s="829">
        <v>1</v>
      </c>
      <c r="L191" s="829" t="s">
        <v>94</v>
      </c>
      <c r="M191" s="1096" t="s">
        <v>5689</v>
      </c>
      <c r="N191" s="1096"/>
      <c r="O191" s="829">
        <v>1</v>
      </c>
      <c r="P191" s="1014" t="s">
        <v>94</v>
      </c>
      <c r="Q191" s="836"/>
      <c r="R191" s="836"/>
    </row>
    <row r="192" spans="1:18">
      <c r="A192" t="str">
        <f t="shared" si="9"/>
        <v>Lingote de alumínio primário, mix de rotas (Prebake e Soderberg)</v>
      </c>
      <c r="B192" t="str">
        <f t="shared" si="10"/>
        <v>Lingote de alumínio primário, mix de rotas (Prebake e Soderberg)</v>
      </c>
      <c r="D192" s="1089"/>
      <c r="E192" s="1091" t="s">
        <v>5611</v>
      </c>
      <c r="F192" s="1101"/>
      <c r="G192" s="1101"/>
      <c r="H192" s="1101"/>
      <c r="I192" s="1101"/>
      <c r="J192" s="1101"/>
      <c r="K192" s="811" t="s">
        <v>5606</v>
      </c>
      <c r="L192" s="811" t="s">
        <v>5607</v>
      </c>
      <c r="M192" s="1101" t="s">
        <v>5220</v>
      </c>
      <c r="N192" s="1101"/>
      <c r="O192" s="805" t="s">
        <v>5606</v>
      </c>
      <c r="P192" s="806" t="s">
        <v>5607</v>
      </c>
      <c r="Q192" s="807" t="s">
        <v>5220</v>
      </c>
      <c r="R192" s="807" t="s">
        <v>5931</v>
      </c>
    </row>
    <row r="193" spans="1:18">
      <c r="A193" t="str">
        <f t="shared" si="9"/>
        <v>Lingote de alumínio primário, mix de rotas (Prebake e Soderberg)</v>
      </c>
      <c r="B193" t="str">
        <f t="shared" si="10"/>
        <v>Lingote de alumínio primário, mix de rotas (Prebake e Soderberg)</v>
      </c>
      <c r="D193" s="1089"/>
      <c r="E193" s="1071" t="s">
        <v>5281</v>
      </c>
      <c r="F193" s="1072"/>
      <c r="G193" s="1072"/>
      <c r="H193" s="1072"/>
      <c r="I193" s="1072"/>
      <c r="J193" s="1072"/>
      <c r="K193" s="829">
        <v>2.2000000000000001E-3</v>
      </c>
      <c r="L193" s="829" t="s">
        <v>640</v>
      </c>
      <c r="M193" s="1073" t="s">
        <v>5615</v>
      </c>
      <c r="N193" s="1073"/>
      <c r="O193" s="836">
        <f>K193/$K$191*$O$191</f>
        <v>2.2000000000000001E-3</v>
      </c>
      <c r="P193" s="1014" t="s">
        <v>640</v>
      </c>
      <c r="Q193" s="836" t="s">
        <v>150</v>
      </c>
      <c r="R193" s="836"/>
    </row>
    <row r="194" spans="1:18">
      <c r="A194" t="str">
        <f t="shared" si="9"/>
        <v>Lingote de alumínio primário, mix de rotas (Prebake e Soderberg)</v>
      </c>
      <c r="B194" t="str">
        <f t="shared" si="10"/>
        <v>Lingote de alumínio primário, mix de rotas (Prebake e Soderberg)</v>
      </c>
      <c r="D194" s="1089"/>
      <c r="E194" s="1074" t="s">
        <v>5618</v>
      </c>
      <c r="F194" s="1075"/>
      <c r="G194" s="1075"/>
      <c r="H194" s="1075"/>
      <c r="I194" s="1075"/>
      <c r="J194" s="1075"/>
      <c r="K194" s="804" t="s">
        <v>5606</v>
      </c>
      <c r="L194" s="804" t="s">
        <v>5607</v>
      </c>
      <c r="M194" s="1075" t="s">
        <v>5220</v>
      </c>
      <c r="N194" s="1076"/>
      <c r="O194" s="805" t="s">
        <v>5606</v>
      </c>
      <c r="P194" s="806" t="s">
        <v>5607</v>
      </c>
      <c r="Q194" s="838" t="s">
        <v>5220</v>
      </c>
      <c r="R194" s="807" t="s">
        <v>5931</v>
      </c>
    </row>
    <row r="195" spans="1:18">
      <c r="A195" t="str">
        <f t="shared" si="9"/>
        <v>Lingote de alumínio primário, mix de rotas (Prebake e Soderberg)</v>
      </c>
      <c r="B195" t="str">
        <f t="shared" si="10"/>
        <v>Lingote de alumínio primário, mix de rotas (Prebake e Soderberg)</v>
      </c>
      <c r="D195" s="1089"/>
      <c r="E195" s="1064" t="s">
        <v>5690</v>
      </c>
      <c r="F195" s="1064"/>
      <c r="G195" s="1064"/>
      <c r="H195" s="1064"/>
      <c r="I195" s="1064"/>
      <c r="J195" s="1064"/>
      <c r="K195" s="813">
        <v>1.5400000000000001E-10</v>
      </c>
      <c r="L195" s="813" t="s">
        <v>5621</v>
      </c>
      <c r="M195" s="1104"/>
      <c r="N195" s="1105"/>
      <c r="O195" s="836">
        <f>K195/$K$191*$O$191</f>
        <v>1.5400000000000001E-10</v>
      </c>
      <c r="P195" s="812" t="s">
        <v>5621</v>
      </c>
      <c r="Q195" s="810" t="s">
        <v>150</v>
      </c>
      <c r="R195" s="810"/>
    </row>
    <row r="196" spans="1:18">
      <c r="A196" t="str">
        <f t="shared" si="9"/>
        <v>Lingote de alumínio primário, mix de rotas (Prebake e Soderberg)Primary Liquid Aluminum</v>
      </c>
      <c r="B196" t="str">
        <f t="shared" si="10"/>
        <v>Lingote de alumínio primário, mix de rotas (Prebake e Soderberg)</v>
      </c>
      <c r="C196" t="s">
        <v>492</v>
      </c>
      <c r="D196" s="1089"/>
      <c r="E196" s="1077" t="s">
        <v>5691</v>
      </c>
      <c r="F196" s="1077"/>
      <c r="G196" s="1077"/>
      <c r="H196" s="1077"/>
      <c r="I196" s="1077"/>
      <c r="J196" s="1077"/>
      <c r="K196" s="818">
        <v>0.67400000000000004</v>
      </c>
      <c r="L196" s="818" t="s">
        <v>94</v>
      </c>
      <c r="M196" s="1098" t="s">
        <v>5692</v>
      </c>
      <c r="N196" s="1099"/>
      <c r="O196" s="836">
        <f>'FE - ACV Aluminum'!DO33</f>
        <v>0.67400000000000004</v>
      </c>
      <c r="P196" s="817" t="s">
        <v>94</v>
      </c>
      <c r="Q196" s="816" t="s">
        <v>5490</v>
      </c>
      <c r="R196" s="816" t="s">
        <v>5930</v>
      </c>
    </row>
    <row r="197" spans="1:18">
      <c r="A197" t="str">
        <f t="shared" si="9"/>
        <v>Lingote de alumínio primário, mix de rotas (Prebake e Soderberg)Primary Liquid Aluminum</v>
      </c>
      <c r="B197" t="str">
        <f t="shared" si="10"/>
        <v>Lingote de alumínio primário, mix de rotas (Prebake e Soderberg)</v>
      </c>
      <c r="C197" t="s">
        <v>492</v>
      </c>
      <c r="D197" s="1089"/>
      <c r="E197" s="1077" t="s">
        <v>5665</v>
      </c>
      <c r="F197" s="1077"/>
      <c r="G197" s="1077"/>
      <c r="H197" s="1077"/>
      <c r="I197" s="1077"/>
      <c r="J197" s="1077"/>
      <c r="K197" s="818">
        <v>0.32600000000000001</v>
      </c>
      <c r="L197" s="818" t="s">
        <v>94</v>
      </c>
      <c r="M197" s="1098" t="s">
        <v>5692</v>
      </c>
      <c r="N197" s="1099"/>
      <c r="O197" s="836">
        <f>1-'FE - ACV Aluminum'!DO33</f>
        <v>0.32599999999999996</v>
      </c>
      <c r="P197" s="817" t="s">
        <v>94</v>
      </c>
      <c r="Q197" s="816" t="s">
        <v>5490</v>
      </c>
      <c r="R197" s="816" t="s">
        <v>5930</v>
      </c>
    </row>
    <row r="198" spans="1:18">
      <c r="A198" t="str">
        <f t="shared" si="9"/>
        <v>Lingote de alumínio primário, mix de rotas (Prebake e Soderberg)</v>
      </c>
      <c r="B198" t="str">
        <f t="shared" si="10"/>
        <v>Lingote de alumínio primário, mix de rotas (Prebake e Soderberg)</v>
      </c>
      <c r="D198" s="1089"/>
      <c r="E198" s="1077" t="s">
        <v>5693</v>
      </c>
      <c r="F198" s="1077"/>
      <c r="G198" s="1077"/>
      <c r="H198" s="1077"/>
      <c r="I198" s="1077"/>
      <c r="J198" s="1077"/>
      <c r="K198" s="818">
        <v>1.5E-3</v>
      </c>
      <c r="L198" s="818" t="s">
        <v>94</v>
      </c>
      <c r="M198" s="1098"/>
      <c r="N198" s="1099"/>
      <c r="O198" s="836">
        <f t="shared" ref="O198:O206" si="12">K198/$K$191*$O$191</f>
        <v>1.5E-3</v>
      </c>
      <c r="P198" s="817" t="s">
        <v>94</v>
      </c>
      <c r="Q198" s="816" t="s">
        <v>150</v>
      </c>
      <c r="R198" s="816"/>
    </row>
    <row r="199" spans="1:18">
      <c r="A199" t="str">
        <f t="shared" si="9"/>
        <v>Lingote de alumínio primário, mix de rotas (Prebake e Soderberg)</v>
      </c>
      <c r="B199" t="str">
        <f t="shared" si="10"/>
        <v>Lingote de alumínio primário, mix de rotas (Prebake e Soderberg)</v>
      </c>
      <c r="D199" s="1089"/>
      <c r="E199" s="1077" t="s">
        <v>5694</v>
      </c>
      <c r="F199" s="1077"/>
      <c r="G199" s="1077"/>
      <c r="H199" s="1077"/>
      <c r="I199" s="1077"/>
      <c r="J199" s="1077"/>
      <c r="K199" s="818">
        <v>1.95E-6</v>
      </c>
      <c r="L199" s="818" t="s">
        <v>94</v>
      </c>
      <c r="M199" s="1098"/>
      <c r="N199" s="1099"/>
      <c r="O199" s="836">
        <f t="shared" si="12"/>
        <v>1.95E-6</v>
      </c>
      <c r="P199" s="817" t="s">
        <v>94</v>
      </c>
      <c r="Q199" s="816" t="s">
        <v>150</v>
      </c>
      <c r="R199" s="816"/>
    </row>
    <row r="200" spans="1:18">
      <c r="A200" t="str">
        <f t="shared" si="9"/>
        <v>Lingote de alumínio primário, mix de rotas (Prebake e Soderberg)</v>
      </c>
      <c r="B200" t="str">
        <f t="shared" si="10"/>
        <v>Lingote de alumínio primário, mix de rotas (Prebake e Soderberg)</v>
      </c>
      <c r="D200" s="1089"/>
      <c r="E200" s="1077" t="s">
        <v>5695</v>
      </c>
      <c r="F200" s="1077"/>
      <c r="G200" s="1077"/>
      <c r="H200" s="1077"/>
      <c r="I200" s="1077"/>
      <c r="J200" s="1077"/>
      <c r="K200" s="818">
        <v>1.8E-3</v>
      </c>
      <c r="L200" s="818" t="s">
        <v>94</v>
      </c>
      <c r="M200" s="1098"/>
      <c r="N200" s="1099"/>
      <c r="O200" s="836">
        <f t="shared" si="12"/>
        <v>1.8E-3</v>
      </c>
      <c r="P200" s="817" t="s">
        <v>94</v>
      </c>
      <c r="Q200" s="816" t="s">
        <v>150</v>
      </c>
      <c r="R200" s="816"/>
    </row>
    <row r="201" spans="1:18">
      <c r="A201" t="str">
        <f t="shared" si="9"/>
        <v>Lingote de alumínio primário, mix de rotas (Prebake e Soderberg)Cryolite</v>
      </c>
      <c r="B201" t="str">
        <f t="shared" si="10"/>
        <v>Lingote de alumínio primário, mix de rotas (Prebake e Soderberg)</v>
      </c>
      <c r="C201" t="s">
        <v>244</v>
      </c>
      <c r="D201" s="1089"/>
      <c r="E201" s="1077" t="s">
        <v>5674</v>
      </c>
      <c r="F201" s="1077"/>
      <c r="G201" s="1077"/>
      <c r="H201" s="1077"/>
      <c r="I201" s="1077"/>
      <c r="J201" s="1077"/>
      <c r="K201" s="818">
        <v>4.0000000000000002E-4</v>
      </c>
      <c r="L201" s="818" t="s">
        <v>94</v>
      </c>
      <c r="M201" s="1098"/>
      <c r="N201" s="1099"/>
      <c r="O201" s="836">
        <f t="shared" si="12"/>
        <v>4.0000000000000002E-4</v>
      </c>
      <c r="P201" s="817" t="s">
        <v>94</v>
      </c>
      <c r="Q201" s="816" t="s">
        <v>150</v>
      </c>
      <c r="R201" s="816"/>
    </row>
    <row r="202" spans="1:18">
      <c r="A202" t="str">
        <f t="shared" si="9"/>
        <v>Lingote de alumínio primário, mix de rotas (Prebake e Soderberg)</v>
      </c>
      <c r="B202" t="str">
        <f t="shared" si="10"/>
        <v>Lingote de alumínio primário, mix de rotas (Prebake e Soderberg)</v>
      </c>
      <c r="D202" s="1089"/>
      <c r="E202" s="1077" t="s">
        <v>5696</v>
      </c>
      <c r="F202" s="1077"/>
      <c r="G202" s="1077"/>
      <c r="H202" s="1077"/>
      <c r="I202" s="1077"/>
      <c r="J202" s="1077"/>
      <c r="K202" s="818">
        <v>5.9999999999999995E-4</v>
      </c>
      <c r="L202" s="818" t="s">
        <v>94</v>
      </c>
      <c r="M202" s="1098"/>
      <c r="N202" s="1099"/>
      <c r="O202" s="836">
        <f t="shared" si="12"/>
        <v>5.9999999999999995E-4</v>
      </c>
      <c r="P202" s="817" t="s">
        <v>94</v>
      </c>
      <c r="Q202" s="816" t="s">
        <v>150</v>
      </c>
      <c r="R202" s="816"/>
    </row>
    <row r="203" spans="1:18">
      <c r="A203" t="str">
        <f t="shared" si="9"/>
        <v>Lingote de alumínio primário, mix de rotas (Prebake e Soderberg)</v>
      </c>
      <c r="B203" t="str">
        <f t="shared" si="10"/>
        <v>Lingote de alumínio primário, mix de rotas (Prebake e Soderberg)</v>
      </c>
      <c r="D203" s="1089"/>
      <c r="E203" s="1077" t="s">
        <v>5697</v>
      </c>
      <c r="F203" s="1077"/>
      <c r="G203" s="1077"/>
      <c r="H203" s="1077"/>
      <c r="I203" s="1077"/>
      <c r="J203" s="1077"/>
      <c r="K203" s="818">
        <v>8.0000000000000007E-5</v>
      </c>
      <c r="L203" s="818" t="s">
        <v>94</v>
      </c>
      <c r="M203" s="1098"/>
      <c r="N203" s="1099"/>
      <c r="O203" s="836">
        <f t="shared" si="12"/>
        <v>8.0000000000000007E-5</v>
      </c>
      <c r="P203" s="817" t="s">
        <v>94</v>
      </c>
      <c r="Q203" s="816" t="s">
        <v>150</v>
      </c>
      <c r="R203" s="816"/>
    </row>
    <row r="204" spans="1:18">
      <c r="A204" t="str">
        <f t="shared" si="9"/>
        <v>Lingote de alumínio primário, mix de rotas (Prebake e Soderberg)</v>
      </c>
      <c r="B204" t="str">
        <f t="shared" si="10"/>
        <v>Lingote de alumínio primário, mix de rotas (Prebake e Soderberg)</v>
      </c>
      <c r="D204" s="1089"/>
      <c r="E204" s="1077" t="s">
        <v>5676</v>
      </c>
      <c r="F204" s="1077"/>
      <c r="G204" s="1077"/>
      <c r="H204" s="1077"/>
      <c r="I204" s="1077"/>
      <c r="J204" s="1077"/>
      <c r="K204" s="818">
        <v>6.9999999999999999E-4</v>
      </c>
      <c r="L204" s="818" t="s">
        <v>94</v>
      </c>
      <c r="M204" s="1098"/>
      <c r="N204" s="1099"/>
      <c r="O204" s="836">
        <f t="shared" si="12"/>
        <v>6.9999999999999999E-4</v>
      </c>
      <c r="P204" s="817" t="s">
        <v>94</v>
      </c>
      <c r="Q204" s="816" t="s">
        <v>150</v>
      </c>
      <c r="R204" s="816"/>
    </row>
    <row r="205" spans="1:18">
      <c r="A205" t="str">
        <f t="shared" si="9"/>
        <v>Lingote de alumínio primário, mix de rotas (Prebake e Soderberg)</v>
      </c>
      <c r="B205" t="str">
        <f t="shared" si="10"/>
        <v>Lingote de alumínio primário, mix de rotas (Prebake e Soderberg)</v>
      </c>
      <c r="D205" s="1089"/>
      <c r="E205" s="1077" t="s">
        <v>5698</v>
      </c>
      <c r="F205" s="1077"/>
      <c r="G205" s="1077"/>
      <c r="H205" s="1077"/>
      <c r="I205" s="1077"/>
      <c r="J205" s="1077"/>
      <c r="K205" s="818">
        <v>1.0800000000000001E-2</v>
      </c>
      <c r="L205" s="818" t="s">
        <v>94</v>
      </c>
      <c r="M205" s="1098"/>
      <c r="N205" s="1099"/>
      <c r="O205" s="836">
        <f t="shared" si="12"/>
        <v>1.0800000000000001E-2</v>
      </c>
      <c r="P205" s="817" t="s">
        <v>94</v>
      </c>
      <c r="Q205" s="816" t="s">
        <v>150</v>
      </c>
      <c r="R205" s="816"/>
    </row>
    <row r="206" spans="1:18">
      <c r="A206" t="str">
        <f t="shared" ref="A206:A278" si="13">CONCATENATE(B206,C206)</f>
        <v>Lingote de alumínio primário, mix de rotas (Prebake e Soderberg)</v>
      </c>
      <c r="B206" t="str">
        <f t="shared" ref="B206:B278" si="14">IF(D206=0,B205,D206)</f>
        <v>Lingote de alumínio primário, mix de rotas (Prebake e Soderberg)</v>
      </c>
      <c r="D206" s="1089"/>
      <c r="E206" s="1061" t="s">
        <v>5699</v>
      </c>
      <c r="F206" s="1061"/>
      <c r="G206" s="1061"/>
      <c r="H206" s="1061"/>
      <c r="I206" s="1061"/>
      <c r="J206" s="1061"/>
      <c r="K206" s="821">
        <v>1.1E-4</v>
      </c>
      <c r="L206" s="821" t="s">
        <v>94</v>
      </c>
      <c r="M206" s="1102"/>
      <c r="N206" s="1103"/>
      <c r="O206" s="836">
        <f t="shared" si="12"/>
        <v>1.1E-4</v>
      </c>
      <c r="P206" s="820" t="s">
        <v>94</v>
      </c>
      <c r="Q206" s="816" t="s">
        <v>150</v>
      </c>
      <c r="R206" s="835"/>
    </row>
    <row r="207" spans="1:18">
      <c r="A207" t="str">
        <f t="shared" si="13"/>
        <v>Lingote de alumínio primário, mix de rotas (Prebake e Soderberg)</v>
      </c>
      <c r="B207" t="str">
        <f t="shared" si="14"/>
        <v>Lingote de alumínio primário, mix de rotas (Prebake e Soderberg)</v>
      </c>
      <c r="D207" s="1089"/>
      <c r="E207" s="1097" t="s">
        <v>5623</v>
      </c>
      <c r="F207" s="1097"/>
      <c r="G207" s="1097"/>
      <c r="H207" s="1097"/>
      <c r="I207" s="1097"/>
      <c r="J207" s="1091"/>
      <c r="K207" s="834" t="s">
        <v>5606</v>
      </c>
      <c r="L207" s="811" t="s">
        <v>5607</v>
      </c>
      <c r="M207" s="1091" t="s">
        <v>5220</v>
      </c>
      <c r="N207" s="1092"/>
      <c r="O207" s="805" t="s">
        <v>5606</v>
      </c>
      <c r="P207" s="806" t="s">
        <v>5607</v>
      </c>
      <c r="Q207" s="807" t="s">
        <v>5220</v>
      </c>
      <c r="R207" s="807" t="s">
        <v>5931</v>
      </c>
    </row>
    <row r="208" spans="1:18">
      <c r="A208" t="str">
        <f t="shared" si="13"/>
        <v>Lingote de alumínio primário, mix de rotas (Prebake e Soderberg)Electricity</v>
      </c>
      <c r="B208" t="str">
        <f t="shared" si="14"/>
        <v>Lingote de alumínio primário, mix de rotas (Prebake e Soderberg)</v>
      </c>
      <c r="C208" t="s">
        <v>465</v>
      </c>
      <c r="D208" s="1089"/>
      <c r="E208" s="1064" t="s">
        <v>5624</v>
      </c>
      <c r="F208" s="1064"/>
      <c r="G208" s="1064"/>
      <c r="H208" s="1064"/>
      <c r="I208" s="1064"/>
      <c r="J208" s="1064"/>
      <c r="K208" s="813">
        <v>3.4000000000000002E-2</v>
      </c>
      <c r="L208" s="813" t="s">
        <v>598</v>
      </c>
      <c r="M208" s="1104" t="s">
        <v>5625</v>
      </c>
      <c r="N208" s="1105"/>
      <c r="O208" s="809">
        <f>'LCI - Comparação'!Q40/3.6</f>
        <v>0.12370776406035665</v>
      </c>
      <c r="P208" s="812" t="s">
        <v>598</v>
      </c>
      <c r="Q208" s="810" t="s">
        <v>5490</v>
      </c>
      <c r="R208" s="810" t="s">
        <v>5927</v>
      </c>
    </row>
    <row r="209" spans="1:18">
      <c r="A209" t="str">
        <f t="shared" si="13"/>
        <v>Lingote de alumínio primário, mix de rotas (Prebake e Soderberg)Natural Gas</v>
      </c>
      <c r="B209" t="str">
        <f t="shared" si="14"/>
        <v>Lingote de alumínio primário, mix de rotas (Prebake e Soderberg)</v>
      </c>
      <c r="C209" t="s">
        <v>5391</v>
      </c>
      <c r="D209" s="1089"/>
      <c r="E209" s="1077" t="s">
        <v>5652</v>
      </c>
      <c r="F209" s="1077"/>
      <c r="G209" s="1077"/>
      <c r="H209" s="1077"/>
      <c r="I209" s="1077"/>
      <c r="J209" s="1077"/>
      <c r="K209" s="818">
        <v>0.66815384615384599</v>
      </c>
      <c r="L209" s="818" t="s">
        <v>607</v>
      </c>
      <c r="M209" s="1098"/>
      <c r="N209" s="1099"/>
      <c r="O209" s="815">
        <f>'LCI - Comparação'!Q38</f>
        <v>0</v>
      </c>
      <c r="P209" s="817" t="s">
        <v>607</v>
      </c>
      <c r="Q209" s="810" t="s">
        <v>5490</v>
      </c>
      <c r="R209" s="810" t="s">
        <v>5927</v>
      </c>
    </row>
    <row r="210" spans="1:18">
      <c r="A210" t="str">
        <f t="shared" si="13"/>
        <v>Lingote de alumínio primário, mix de rotas (Prebake e Soderberg)Fuel Oil</v>
      </c>
      <c r="B210" t="str">
        <f t="shared" si="14"/>
        <v>Lingote de alumínio primário, mix de rotas (Prebake e Soderberg)</v>
      </c>
      <c r="C210" t="s">
        <v>5338</v>
      </c>
      <c r="D210" s="1089"/>
      <c r="E210" s="1061" t="s">
        <v>5626</v>
      </c>
      <c r="F210" s="1061"/>
      <c r="G210" s="1061"/>
      <c r="H210" s="1061"/>
      <c r="I210" s="1061"/>
      <c r="J210" s="1061"/>
      <c r="K210" s="821">
        <v>4.7103513770180398E-3</v>
      </c>
      <c r="L210" s="821" t="s">
        <v>607</v>
      </c>
      <c r="M210" s="1102"/>
      <c r="N210" s="1103"/>
      <c r="O210" s="826">
        <f>'LCI - Comparação'!Q36</f>
        <v>0</v>
      </c>
      <c r="P210" s="820" t="s">
        <v>607</v>
      </c>
      <c r="Q210" s="810" t="s">
        <v>5490</v>
      </c>
      <c r="R210" s="810" t="s">
        <v>5927</v>
      </c>
    </row>
    <row r="211" spans="1:18">
      <c r="D211" s="1089"/>
      <c r="E211" s="1061" t="s">
        <v>5627</v>
      </c>
      <c r="F211" s="1061"/>
      <c r="G211" s="1061"/>
      <c r="H211" s="1061"/>
      <c r="I211" s="1061"/>
      <c r="J211" s="1110"/>
      <c r="K211" s="818"/>
      <c r="L211" s="818"/>
      <c r="M211" s="819"/>
      <c r="N211" s="819"/>
      <c r="O211" s="815">
        <f>'LCI - Comparação'!Q37</f>
        <v>3.1810567901234565E-3</v>
      </c>
      <c r="P211" s="817" t="s">
        <v>607</v>
      </c>
      <c r="Q211" s="810" t="s">
        <v>5490</v>
      </c>
      <c r="R211" s="810" t="s">
        <v>5927</v>
      </c>
    </row>
    <row r="212" spans="1:18">
      <c r="D212" s="1089"/>
      <c r="E212" s="719" t="s">
        <v>5343</v>
      </c>
      <c r="F212" s="719"/>
      <c r="G212" s="719"/>
      <c r="H212" s="719"/>
      <c r="I212" s="719"/>
      <c r="J212" s="719"/>
      <c r="K212" s="818"/>
      <c r="L212" s="818"/>
      <c r="M212" s="819"/>
      <c r="N212" s="819"/>
      <c r="O212" s="815">
        <f>'LCI - Comparação'!Q41</f>
        <v>0.34673519012345677</v>
      </c>
      <c r="P212" s="817" t="s">
        <v>607</v>
      </c>
      <c r="Q212" s="810" t="s">
        <v>5490</v>
      </c>
      <c r="R212" s="932" t="s">
        <v>5928</v>
      </c>
    </row>
    <row r="213" spans="1:18">
      <c r="A213" t="str">
        <f t="shared" si="13"/>
        <v>Lingote de alumínio primário, mix de rotas (Prebake e Soderberg)</v>
      </c>
      <c r="B213" t="str">
        <f>IF(D213=0,B210,D213)</f>
        <v>Lingote de alumínio primário, mix de rotas (Prebake e Soderberg)</v>
      </c>
      <c r="D213" s="1089"/>
      <c r="E213" s="1097" t="s">
        <v>5628</v>
      </c>
      <c r="F213" s="1097"/>
      <c r="G213" s="1097"/>
      <c r="H213" s="1097"/>
      <c r="I213" s="1097"/>
      <c r="J213" s="1091"/>
      <c r="K213" s="834" t="s">
        <v>5606</v>
      </c>
      <c r="L213" s="811" t="s">
        <v>5607</v>
      </c>
      <c r="M213" s="1091" t="s">
        <v>5220</v>
      </c>
      <c r="N213" s="1092"/>
      <c r="O213" s="805" t="s">
        <v>5606</v>
      </c>
      <c r="P213" s="806" t="s">
        <v>5607</v>
      </c>
      <c r="Q213" s="807" t="s">
        <v>5220</v>
      </c>
      <c r="R213" s="807" t="s">
        <v>5931</v>
      </c>
    </row>
    <row r="214" spans="1:18">
      <c r="D214" s="1089"/>
      <c r="E214" s="1064" t="s">
        <v>5934</v>
      </c>
      <c r="F214" s="1064"/>
      <c r="G214" s="1064"/>
      <c r="H214" s="1064"/>
      <c r="I214" s="1064"/>
      <c r="J214" s="1064"/>
      <c r="K214" s="813"/>
      <c r="L214" s="818" t="s">
        <v>94</v>
      </c>
      <c r="M214" s="1063"/>
      <c r="N214" s="1064"/>
      <c r="O214" s="809">
        <f>'LCI - Comparação'!Q43</f>
        <v>2.2115406213291194E-2</v>
      </c>
      <c r="P214" s="812" t="s">
        <v>94</v>
      </c>
      <c r="Q214" s="1016" t="s">
        <v>5490</v>
      </c>
      <c r="R214" s="1016" t="s">
        <v>5858</v>
      </c>
    </row>
    <row r="215" spans="1:18">
      <c r="A215" t="str">
        <f t="shared" si="13"/>
        <v>Lingote de alumínio primário, mix de rotas (Prebake e Soderberg)</v>
      </c>
      <c r="B215" t="str">
        <f>IF(D215=0,B213,D215)</f>
        <v>Lingote de alumínio primário, mix de rotas (Prebake e Soderberg)</v>
      </c>
      <c r="D215" s="1089"/>
      <c r="E215" s="1064" t="s">
        <v>5700</v>
      </c>
      <c r="F215" s="1064"/>
      <c r="G215" s="1064"/>
      <c r="H215" s="1064"/>
      <c r="I215" s="1064"/>
      <c r="J215" s="1064"/>
      <c r="K215" s="813">
        <v>7.0000000000000005E-13</v>
      </c>
      <c r="L215" s="813" t="s">
        <v>94</v>
      </c>
      <c r="M215" s="1104"/>
      <c r="N215" s="1105"/>
      <c r="O215" s="809"/>
      <c r="P215" s="812" t="s">
        <v>94</v>
      </c>
      <c r="Q215" s="1016" t="s">
        <v>5926</v>
      </c>
      <c r="R215" s="1016"/>
    </row>
    <row r="216" spans="1:18">
      <c r="A216" t="str">
        <f t="shared" si="13"/>
        <v>Lingote de alumínio primário, mix de rotas (Prebake e Soderberg)</v>
      </c>
      <c r="B216" t="str">
        <f t="shared" si="14"/>
        <v>Lingote de alumínio primário, mix de rotas (Prebake e Soderberg)</v>
      </c>
      <c r="D216" s="1089"/>
      <c r="E216" s="1077" t="s">
        <v>5701</v>
      </c>
      <c r="F216" s="1077" t="s">
        <v>5629</v>
      </c>
      <c r="G216" s="1077"/>
      <c r="H216" s="1077"/>
      <c r="I216" s="1077"/>
      <c r="J216" s="1077"/>
      <c r="K216" s="818">
        <v>2.0400000000000001E-5</v>
      </c>
      <c r="L216" s="818" t="s">
        <v>94</v>
      </c>
      <c r="M216" s="1098"/>
      <c r="N216" s="1099"/>
      <c r="O216" s="815"/>
      <c r="P216" s="817" t="s">
        <v>94</v>
      </c>
      <c r="Q216" s="1016" t="s">
        <v>5926</v>
      </c>
      <c r="R216" s="1016"/>
    </row>
    <row r="217" spans="1:18">
      <c r="A217" t="str">
        <f t="shared" si="13"/>
        <v>Lingote de alumínio primário, mix de rotas (Prebake e Soderberg)</v>
      </c>
      <c r="B217" t="str">
        <f t="shared" si="14"/>
        <v>Lingote de alumínio primário, mix de rotas (Prebake e Soderberg)</v>
      </c>
      <c r="D217" s="1089"/>
      <c r="E217" s="1077" t="s">
        <v>761</v>
      </c>
      <c r="F217" s="1077" t="s">
        <v>5702</v>
      </c>
      <c r="G217" s="1077"/>
      <c r="H217" s="1077"/>
      <c r="I217" s="1077"/>
      <c r="J217" s="1077"/>
      <c r="K217" s="818">
        <v>1.8599999999999999E-4</v>
      </c>
      <c r="L217" s="818" t="s">
        <v>94</v>
      </c>
      <c r="M217" s="1098"/>
      <c r="N217" s="1099"/>
      <c r="O217" s="815"/>
      <c r="P217" s="817" t="s">
        <v>94</v>
      </c>
      <c r="Q217" s="1016" t="s">
        <v>5926</v>
      </c>
      <c r="R217" s="1016"/>
    </row>
    <row r="218" spans="1:18">
      <c r="A218" t="str">
        <f t="shared" si="13"/>
        <v>Lingote de alumínio primário, mix de rotas (Prebake e Soderberg)</v>
      </c>
      <c r="B218" t="str">
        <f t="shared" si="14"/>
        <v>Lingote de alumínio primário, mix de rotas (Prebake e Soderberg)</v>
      </c>
      <c r="D218" s="1089"/>
      <c r="E218" s="1077" t="s">
        <v>653</v>
      </c>
      <c r="F218" s="1077" t="s">
        <v>5629</v>
      </c>
      <c r="G218" s="1077"/>
      <c r="H218" s="1077"/>
      <c r="I218" s="1077"/>
      <c r="J218" s="1077"/>
      <c r="K218" s="818">
        <v>1.8E-5</v>
      </c>
      <c r="L218" s="818" t="s">
        <v>94</v>
      </c>
      <c r="M218" s="1098"/>
      <c r="N218" s="1099"/>
      <c r="O218" s="815"/>
      <c r="P218" s="817" t="s">
        <v>94</v>
      </c>
      <c r="Q218" s="1016" t="s">
        <v>5926</v>
      </c>
      <c r="R218" s="1016"/>
    </row>
    <row r="219" spans="1:18">
      <c r="A219" t="str">
        <f t="shared" si="13"/>
        <v>Lingote de alumínio primário, mix de rotas (Prebake e Soderberg)</v>
      </c>
      <c r="B219" t="str">
        <f t="shared" si="14"/>
        <v>Lingote de alumínio primário, mix de rotas (Prebake e Soderberg)</v>
      </c>
      <c r="D219" s="1089"/>
      <c r="E219" s="1077" t="s">
        <v>656</v>
      </c>
      <c r="F219" s="1077" t="s">
        <v>5629</v>
      </c>
      <c r="G219" s="1077"/>
      <c r="H219" s="1077"/>
      <c r="I219" s="1077"/>
      <c r="J219" s="1077"/>
      <c r="K219" s="818">
        <v>1.0000000000000001E-5</v>
      </c>
      <c r="L219" s="818" t="s">
        <v>94</v>
      </c>
      <c r="M219" s="1098"/>
      <c r="N219" s="1099"/>
      <c r="O219" s="815"/>
      <c r="P219" s="817" t="s">
        <v>94</v>
      </c>
      <c r="Q219" s="1016" t="s">
        <v>5926</v>
      </c>
      <c r="R219" s="1016"/>
    </row>
    <row r="220" spans="1:18">
      <c r="A220" t="str">
        <f t="shared" si="13"/>
        <v>Lingote de alumínio primário, mix de rotas (Prebake e Soderberg)</v>
      </c>
      <c r="B220" t="str">
        <f t="shared" si="14"/>
        <v>Lingote de alumínio primário, mix de rotas (Prebake e Soderberg)</v>
      </c>
      <c r="D220" s="1089"/>
      <c r="E220" s="1077" t="s">
        <v>657</v>
      </c>
      <c r="F220" s="1077" t="s">
        <v>5629</v>
      </c>
      <c r="G220" s="1077"/>
      <c r="H220" s="1077"/>
      <c r="I220" s="1077"/>
      <c r="J220" s="1077"/>
      <c r="K220" s="818">
        <v>2.1999999999999999E-5</v>
      </c>
      <c r="L220" s="818" t="s">
        <v>94</v>
      </c>
      <c r="M220" s="1098"/>
      <c r="N220" s="1099"/>
      <c r="O220" s="815"/>
      <c r="P220" s="817" t="s">
        <v>94</v>
      </c>
      <c r="Q220" s="1016" t="s">
        <v>5926</v>
      </c>
      <c r="R220" s="1016"/>
    </row>
    <row r="221" spans="1:18">
      <c r="A221" t="str">
        <f t="shared" si="13"/>
        <v>Lingote de alumínio primário, mix de rotas (Prebake e Soderberg)</v>
      </c>
      <c r="B221" t="str">
        <f t="shared" si="14"/>
        <v>Lingote de alumínio primário, mix de rotas (Prebake e Soderberg)</v>
      </c>
      <c r="D221" s="1089"/>
      <c r="E221" s="1077" t="s">
        <v>776</v>
      </c>
      <c r="F221" s="1077" t="s">
        <v>5629</v>
      </c>
      <c r="G221" s="1077"/>
      <c r="H221" s="1077"/>
      <c r="I221" s="1077"/>
      <c r="J221" s="1077"/>
      <c r="K221" s="818">
        <v>1.8E-5</v>
      </c>
      <c r="L221" s="818" t="s">
        <v>94</v>
      </c>
      <c r="M221" s="1098"/>
      <c r="N221" s="1099"/>
      <c r="O221" s="815"/>
      <c r="P221" s="817" t="s">
        <v>94</v>
      </c>
      <c r="Q221" s="1016" t="s">
        <v>5926</v>
      </c>
      <c r="R221" s="1016"/>
    </row>
    <row r="222" spans="1:18">
      <c r="A222" t="str">
        <f t="shared" si="13"/>
        <v>Lingote de alumínio primário, mix de rotas (Prebake e Soderberg)</v>
      </c>
      <c r="B222" t="str">
        <f t="shared" si="14"/>
        <v>Lingote de alumínio primário, mix de rotas (Prebake e Soderberg)</v>
      </c>
      <c r="D222" s="1089"/>
      <c r="E222" s="1061" t="s">
        <v>5630</v>
      </c>
      <c r="F222" s="1061" t="s">
        <v>5629</v>
      </c>
      <c r="G222" s="1061"/>
      <c r="H222" s="1061"/>
      <c r="I222" s="1061"/>
      <c r="J222" s="1061"/>
      <c r="K222" s="821">
        <v>2.3999999999999998E-3</v>
      </c>
      <c r="L222" s="821" t="s">
        <v>640</v>
      </c>
      <c r="M222" s="1102"/>
      <c r="N222" s="1103"/>
      <c r="O222" s="826"/>
      <c r="P222" s="820" t="s">
        <v>640</v>
      </c>
      <c r="Q222" s="1016" t="s">
        <v>5926</v>
      </c>
      <c r="R222" s="1016"/>
    </row>
    <row r="223" spans="1:18">
      <c r="A223" t="str">
        <f t="shared" si="13"/>
        <v>Lingote de alumínio primário, mix de rotas (Prebake e Soderberg)</v>
      </c>
      <c r="B223" t="str">
        <f t="shared" si="14"/>
        <v>Lingote de alumínio primário, mix de rotas (Prebake e Soderberg)</v>
      </c>
      <c r="D223" s="1089"/>
      <c r="E223" s="1100" t="s">
        <v>5632</v>
      </c>
      <c r="F223" s="1100"/>
      <c r="G223" s="1100"/>
      <c r="H223" s="1100"/>
      <c r="I223" s="1100"/>
      <c r="J223" s="1074"/>
      <c r="K223" s="827" t="s">
        <v>5606</v>
      </c>
      <c r="L223" s="804" t="s">
        <v>5607</v>
      </c>
      <c r="M223" s="1075" t="s">
        <v>5220</v>
      </c>
      <c r="N223" s="1076"/>
      <c r="O223" s="805" t="s">
        <v>5606</v>
      </c>
      <c r="P223" s="806" t="s">
        <v>5607</v>
      </c>
      <c r="Q223" s="807" t="s">
        <v>5220</v>
      </c>
      <c r="R223" s="807" t="s">
        <v>5931</v>
      </c>
    </row>
    <row r="224" spans="1:18">
      <c r="A224" t="str">
        <f t="shared" si="13"/>
        <v>Lingote de alumínio primário, mix de rotas (Prebake e Soderberg)</v>
      </c>
      <c r="B224" t="str">
        <f t="shared" si="14"/>
        <v>Lingote de alumínio primário, mix de rotas (Prebake e Soderberg)</v>
      </c>
      <c r="D224" s="1089"/>
      <c r="E224" s="1064" t="s">
        <v>980</v>
      </c>
      <c r="F224" s="1064"/>
      <c r="G224" s="1064"/>
      <c r="H224" s="1064"/>
      <c r="I224" s="1064"/>
      <c r="J224" s="1064"/>
      <c r="K224" s="813">
        <v>3.4E-5</v>
      </c>
      <c r="L224" s="823" t="s">
        <v>94</v>
      </c>
      <c r="M224" s="839"/>
      <c r="N224" s="839"/>
      <c r="O224" s="809"/>
      <c r="P224" s="812" t="s">
        <v>94</v>
      </c>
      <c r="Q224" s="1016" t="s">
        <v>5926</v>
      </c>
      <c r="R224" s="1016"/>
    </row>
    <row r="225" spans="1:18">
      <c r="A225" t="str">
        <f t="shared" si="13"/>
        <v>Lingote de alumínio primário, mix de rotas (Prebake e Soderberg)</v>
      </c>
      <c r="B225" t="str">
        <f t="shared" si="14"/>
        <v>Lingote de alumínio primário, mix de rotas (Prebake e Soderberg)</v>
      </c>
      <c r="D225" s="1089"/>
      <c r="E225" s="1077" t="s">
        <v>777</v>
      </c>
      <c r="F225" s="1077" t="s">
        <v>5629</v>
      </c>
      <c r="G225" s="1077"/>
      <c r="H225" s="1077"/>
      <c r="I225" s="1077"/>
      <c r="J225" s="1077"/>
      <c r="K225" s="818">
        <v>2.6600000000000001E-4</v>
      </c>
      <c r="L225" s="824" t="s">
        <v>94</v>
      </c>
      <c r="O225" s="815"/>
      <c r="P225" s="817" t="s">
        <v>94</v>
      </c>
      <c r="Q225" s="1016" t="s">
        <v>5926</v>
      </c>
      <c r="R225" s="1016"/>
    </row>
    <row r="226" spans="1:18">
      <c r="A226" t="str">
        <f t="shared" si="13"/>
        <v>Lingote de alumínio primário, mix de rotas (Prebake e Soderberg)</v>
      </c>
      <c r="B226" t="str">
        <f t="shared" si="14"/>
        <v>Lingote de alumínio primário, mix de rotas (Prebake e Soderberg)</v>
      </c>
      <c r="D226" s="1089"/>
      <c r="E226" s="1061" t="s">
        <v>1094</v>
      </c>
      <c r="F226" s="1061" t="s">
        <v>5629</v>
      </c>
      <c r="G226" s="1061"/>
      <c r="H226" s="1061"/>
      <c r="I226" s="1061"/>
      <c r="J226" s="1061"/>
      <c r="K226" s="821">
        <v>1.887E-3</v>
      </c>
      <c r="L226" s="825" t="s">
        <v>640</v>
      </c>
      <c r="M226" s="840"/>
      <c r="N226" s="840"/>
      <c r="O226" s="826"/>
      <c r="P226" s="820" t="s">
        <v>640</v>
      </c>
      <c r="Q226" s="1016" t="s">
        <v>5926</v>
      </c>
      <c r="R226" s="1016"/>
    </row>
    <row r="227" spans="1:18">
      <c r="A227" t="str">
        <f t="shared" si="13"/>
        <v>Lingote de alumínio primário, mix de rotas (Prebake e Soderberg)</v>
      </c>
      <c r="B227" t="str">
        <f t="shared" si="14"/>
        <v>Lingote de alumínio primário, mix de rotas (Prebake e Soderberg)</v>
      </c>
      <c r="D227" s="1089"/>
      <c r="E227" s="1100" t="s">
        <v>5634</v>
      </c>
      <c r="F227" s="1100"/>
      <c r="G227" s="1100"/>
      <c r="H227" s="1100"/>
      <c r="I227" s="1100"/>
      <c r="J227" s="1074"/>
      <c r="K227" s="827" t="s">
        <v>5606</v>
      </c>
      <c r="L227" s="811" t="s">
        <v>5607</v>
      </c>
      <c r="M227" s="1101" t="s">
        <v>5220</v>
      </c>
      <c r="N227" s="1092"/>
      <c r="O227" s="805" t="s">
        <v>5606</v>
      </c>
      <c r="P227" s="806" t="s">
        <v>5607</v>
      </c>
      <c r="Q227" s="807" t="s">
        <v>5220</v>
      </c>
      <c r="R227" s="807" t="s">
        <v>5931</v>
      </c>
    </row>
    <row r="228" spans="1:18">
      <c r="A228" t="str">
        <f t="shared" si="13"/>
        <v>Lingote de alumínio primário, mix de rotas (Prebake e Soderberg)</v>
      </c>
      <c r="B228" t="str">
        <f t="shared" si="14"/>
        <v>Lingote de alumínio primário, mix de rotas (Prebake e Soderberg)</v>
      </c>
      <c r="D228" s="1089"/>
      <c r="E228" s="1064" t="s">
        <v>5703</v>
      </c>
      <c r="F228" s="1064"/>
      <c r="G228" s="1064"/>
      <c r="H228" s="1064"/>
      <c r="I228" s="1064"/>
      <c r="J228" s="1064"/>
      <c r="K228" s="813">
        <v>1.7520000000000001E-2</v>
      </c>
      <c r="L228" s="823" t="s">
        <v>94</v>
      </c>
      <c r="M228" s="839"/>
      <c r="N228" s="839"/>
      <c r="O228" s="809"/>
      <c r="P228" s="812" t="s">
        <v>94</v>
      </c>
      <c r="Q228" s="1016" t="s">
        <v>5926</v>
      </c>
      <c r="R228" s="1016"/>
    </row>
    <row r="229" spans="1:18">
      <c r="A229" t="str">
        <f t="shared" si="13"/>
        <v>Lingote de alumínio primário, mix de rotas (Prebake e Soderberg)</v>
      </c>
      <c r="B229" t="str">
        <f t="shared" si="14"/>
        <v>Lingote de alumínio primário, mix de rotas (Prebake e Soderberg)</v>
      </c>
      <c r="D229" s="1089"/>
      <c r="E229" s="1077" t="s">
        <v>5679</v>
      </c>
      <c r="F229" s="1077"/>
      <c r="G229" s="1077"/>
      <c r="H229" s="1077"/>
      <c r="I229" s="1077"/>
      <c r="J229" s="1077"/>
      <c r="K229" s="818">
        <v>5.62E-4</v>
      </c>
      <c r="L229" s="824" t="s">
        <v>94</v>
      </c>
      <c r="O229" s="815"/>
      <c r="P229" s="817" t="s">
        <v>94</v>
      </c>
      <c r="Q229" s="1016" t="s">
        <v>5926</v>
      </c>
      <c r="R229" s="1016"/>
    </row>
    <row r="230" spans="1:18">
      <c r="A230" t="str">
        <f t="shared" si="13"/>
        <v>Lingote de alumínio primário, mix de rotas (Prebake e Soderberg)</v>
      </c>
      <c r="B230" t="str">
        <f t="shared" si="14"/>
        <v>Lingote de alumínio primário, mix de rotas (Prebake e Soderberg)</v>
      </c>
      <c r="D230" s="1089"/>
      <c r="E230" s="1061" t="s">
        <v>5658</v>
      </c>
      <c r="F230" s="1061"/>
      <c r="G230" s="1061"/>
      <c r="H230" s="1061"/>
      <c r="I230" s="1061"/>
      <c r="J230" s="1061"/>
      <c r="K230" s="821">
        <v>2.82E-3</v>
      </c>
      <c r="L230" s="825" t="s">
        <v>94</v>
      </c>
      <c r="M230" s="840"/>
      <c r="N230" s="840"/>
      <c r="O230" s="826"/>
      <c r="P230" s="820" t="s">
        <v>94</v>
      </c>
      <c r="Q230" s="1016" t="s">
        <v>5926</v>
      </c>
      <c r="R230" s="1016"/>
    </row>
    <row r="231" spans="1:18" ht="14.4" customHeight="1">
      <c r="A231" t="str">
        <f t="shared" si="13"/>
        <v>Lingote de alumínio primário, fundido (cast alloy)</v>
      </c>
      <c r="B231" t="str">
        <f t="shared" si="14"/>
        <v>Lingote de alumínio primário, fundido (cast alloy)</v>
      </c>
      <c r="D231" s="1093" t="s">
        <v>5704</v>
      </c>
      <c r="E231" s="1068" t="s">
        <v>5605</v>
      </c>
      <c r="F231" s="1069"/>
      <c r="G231" s="1069"/>
      <c r="H231" s="1069"/>
      <c r="I231" s="1069"/>
      <c r="J231" s="1069"/>
      <c r="K231" s="1037" t="s">
        <v>5606</v>
      </c>
      <c r="L231" s="1037" t="s">
        <v>5607</v>
      </c>
      <c r="M231" s="1069" t="s">
        <v>5608</v>
      </c>
      <c r="N231" s="1070"/>
      <c r="O231" s="1037" t="s">
        <v>5606</v>
      </c>
      <c r="P231" s="1038" t="s">
        <v>5607</v>
      </c>
      <c r="Q231" s="1035" t="s">
        <v>5220</v>
      </c>
      <c r="R231" s="1035" t="s">
        <v>5931</v>
      </c>
    </row>
    <row r="232" spans="1:18">
      <c r="A232" t="str">
        <f t="shared" si="13"/>
        <v>Lingote de alumínio primário, fundido (cast alloy)Al Transformed</v>
      </c>
      <c r="B232" t="str">
        <f t="shared" si="14"/>
        <v>Lingote de alumínio primário, fundido (cast alloy)</v>
      </c>
      <c r="C232" t="s">
        <v>5552</v>
      </c>
      <c r="D232" s="1094"/>
      <c r="E232" s="1071" t="s">
        <v>5705</v>
      </c>
      <c r="F232" s="1072"/>
      <c r="G232" s="1072"/>
      <c r="H232" s="1072"/>
      <c r="I232" s="1072"/>
      <c r="J232" s="1072"/>
      <c r="K232" s="829">
        <v>1</v>
      </c>
      <c r="L232" s="829" t="s">
        <v>94</v>
      </c>
      <c r="M232" s="1096" t="s">
        <v>5706</v>
      </c>
      <c r="N232" s="1096"/>
      <c r="O232" s="829">
        <v>1</v>
      </c>
      <c r="P232" s="1014" t="s">
        <v>94</v>
      </c>
      <c r="Q232" s="836"/>
      <c r="R232" s="836"/>
    </row>
    <row r="233" spans="1:18">
      <c r="A233" t="str">
        <f t="shared" si="13"/>
        <v>Lingote de alumínio primário, fundido (cast alloy)</v>
      </c>
      <c r="B233" t="str">
        <f t="shared" si="14"/>
        <v>Lingote de alumínio primário, fundido (cast alloy)</v>
      </c>
      <c r="D233" s="1094"/>
      <c r="E233" s="1074" t="s">
        <v>5618</v>
      </c>
      <c r="F233" s="1075"/>
      <c r="G233" s="1075"/>
      <c r="H233" s="1075"/>
      <c r="I233" s="1075"/>
      <c r="J233" s="1075"/>
      <c r="K233" s="804" t="s">
        <v>5606</v>
      </c>
      <c r="L233" s="804" t="s">
        <v>5607</v>
      </c>
      <c r="M233" s="1075" t="s">
        <v>5220</v>
      </c>
      <c r="N233" s="1076"/>
      <c r="O233" s="805" t="s">
        <v>5606</v>
      </c>
      <c r="P233" s="806" t="s">
        <v>5607</v>
      </c>
      <c r="Q233" s="838" t="s">
        <v>5220</v>
      </c>
      <c r="R233" s="807" t="s">
        <v>5931</v>
      </c>
    </row>
    <row r="234" spans="1:18">
      <c r="A234" t="str">
        <f t="shared" si="13"/>
        <v>Lingote de alumínio primário, fundido (cast alloy)Primary Aluminum</v>
      </c>
      <c r="B234" t="str">
        <f t="shared" si="14"/>
        <v>Lingote de alumínio primário, fundido (cast alloy)</v>
      </c>
      <c r="C234" t="s">
        <v>5373</v>
      </c>
      <c r="D234" s="1094"/>
      <c r="E234" s="1071" t="s">
        <v>5688</v>
      </c>
      <c r="F234" s="1072"/>
      <c r="G234" s="1072"/>
      <c r="H234" s="1072"/>
      <c r="I234" s="1072"/>
      <c r="J234" s="1072"/>
      <c r="K234" s="829">
        <v>1</v>
      </c>
      <c r="L234" s="836" t="s">
        <v>94</v>
      </c>
      <c r="M234" s="1072" t="s">
        <v>5707</v>
      </c>
      <c r="N234" s="1072"/>
      <c r="O234" s="829">
        <f>K234</f>
        <v>1</v>
      </c>
      <c r="P234" s="1014" t="s">
        <v>94</v>
      </c>
      <c r="Q234" s="836" t="s">
        <v>5490</v>
      </c>
      <c r="R234" s="836"/>
    </row>
    <row r="235" spans="1:18">
      <c r="A235" t="str">
        <f t="shared" si="13"/>
        <v>Lingote de alumínio primário, fundido (cast alloy)</v>
      </c>
      <c r="B235" t="str">
        <f t="shared" si="14"/>
        <v>Lingote de alumínio primário, fundido (cast alloy)</v>
      </c>
      <c r="D235" s="1094"/>
      <c r="E235" s="1097" t="s">
        <v>5623</v>
      </c>
      <c r="F235" s="1097"/>
      <c r="G235" s="1097"/>
      <c r="H235" s="1097"/>
      <c r="I235" s="1097"/>
      <c r="J235" s="1091"/>
      <c r="K235" s="834" t="s">
        <v>5606</v>
      </c>
      <c r="L235" s="811" t="s">
        <v>5607</v>
      </c>
      <c r="M235" s="1091" t="s">
        <v>5220</v>
      </c>
      <c r="N235" s="1092"/>
      <c r="O235" s="805" t="s">
        <v>5606</v>
      </c>
      <c r="P235" s="806" t="s">
        <v>5607</v>
      </c>
      <c r="Q235" s="807" t="s">
        <v>5220</v>
      </c>
      <c r="R235" s="807" t="s">
        <v>5931</v>
      </c>
    </row>
    <row r="236" spans="1:18">
      <c r="A236" t="str">
        <f t="shared" si="13"/>
        <v>Lingote de alumínio primário, fundido (cast alloy)Electricity</v>
      </c>
      <c r="B236" t="str">
        <f t="shared" si="14"/>
        <v>Lingote de alumínio primário, fundido (cast alloy)</v>
      </c>
      <c r="C236" t="s">
        <v>465</v>
      </c>
      <c r="D236" s="1094"/>
      <c r="E236" s="1064" t="s">
        <v>5624</v>
      </c>
      <c r="F236" s="1064"/>
      <c r="G236" s="1064"/>
      <c r="H236" s="1064"/>
      <c r="I236" s="1064"/>
      <c r="J236" s="1064"/>
      <c r="K236" s="813">
        <v>0.11111</v>
      </c>
      <c r="L236" s="813" t="s">
        <v>598</v>
      </c>
      <c r="M236" s="1063" t="s">
        <v>5708</v>
      </c>
      <c r="N236" s="1064"/>
      <c r="O236" s="809">
        <f>'LCI - Comparação'!S40/3.6</f>
        <v>0.14936405916666665</v>
      </c>
      <c r="P236" s="812" t="s">
        <v>598</v>
      </c>
      <c r="Q236" s="810" t="s">
        <v>5490</v>
      </c>
      <c r="R236" s="810" t="s">
        <v>5927</v>
      </c>
    </row>
    <row r="237" spans="1:18">
      <c r="A237" t="str">
        <f t="shared" si="13"/>
        <v>Lingote de alumínio primário, fundido (cast alloy)Natural Gas</v>
      </c>
      <c r="B237" t="str">
        <f t="shared" si="14"/>
        <v>Lingote de alumínio primário, fundido (cast alloy)</v>
      </c>
      <c r="C237" t="s">
        <v>5391</v>
      </c>
      <c r="D237" s="1094"/>
      <c r="E237" s="1077" t="s">
        <v>5652</v>
      </c>
      <c r="F237" s="1077"/>
      <c r="G237" s="1077"/>
      <c r="H237" s="1077"/>
      <c r="I237" s="1077"/>
      <c r="J237" s="1077"/>
      <c r="K237" s="818">
        <v>0.98529999999999995</v>
      </c>
      <c r="L237" s="818" t="s">
        <v>607</v>
      </c>
      <c r="M237" s="1078" t="s">
        <v>5708</v>
      </c>
      <c r="N237" s="1077"/>
      <c r="O237" s="815">
        <f>'LCI - Comparação'!S38</f>
        <v>0.78212452799999999</v>
      </c>
      <c r="P237" s="817" t="s">
        <v>607</v>
      </c>
      <c r="Q237" s="810" t="s">
        <v>5490</v>
      </c>
      <c r="R237" s="810" t="s">
        <v>5927</v>
      </c>
    </row>
    <row r="238" spans="1:18">
      <c r="A238" t="str">
        <f t="shared" si="13"/>
        <v>Lingote de alumínio primário, fundido (cast alloy)Diesel</v>
      </c>
      <c r="B238" t="str">
        <f t="shared" si="14"/>
        <v>Lingote de alumínio primário, fundido (cast alloy)</v>
      </c>
      <c r="C238" t="s">
        <v>464</v>
      </c>
      <c r="D238" s="1094"/>
      <c r="E238" s="1061" t="s">
        <v>5627</v>
      </c>
      <c r="F238" s="1061"/>
      <c r="G238" s="1061"/>
      <c r="H238" s="1061"/>
      <c r="I238" s="1061"/>
      <c r="J238" s="1061"/>
      <c r="K238" s="821">
        <v>4.8999999999999998E-3</v>
      </c>
      <c r="L238" s="821" t="s">
        <v>607</v>
      </c>
      <c r="M238" s="1062" t="s">
        <v>5708</v>
      </c>
      <c r="N238" s="1061"/>
      <c r="O238" s="826">
        <f>'LCI - Comparação'!S37</f>
        <v>0</v>
      </c>
      <c r="P238" s="820" t="s">
        <v>607</v>
      </c>
      <c r="Q238" s="810" t="s">
        <v>5490</v>
      </c>
      <c r="R238" s="810" t="s">
        <v>5927</v>
      </c>
    </row>
    <row r="239" spans="1:18">
      <c r="D239" s="1094"/>
      <c r="E239" s="719" t="s">
        <v>5343</v>
      </c>
      <c r="F239" s="719"/>
      <c r="G239" s="719"/>
      <c r="H239" s="719"/>
      <c r="I239" s="719"/>
      <c r="J239" s="719"/>
      <c r="K239" s="818"/>
      <c r="L239" s="818"/>
      <c r="M239" s="819"/>
      <c r="N239" s="819"/>
      <c r="O239" s="815">
        <f>'LCI - Comparação'!S41</f>
        <v>3.5684431589999992</v>
      </c>
      <c r="P239" s="817" t="s">
        <v>607</v>
      </c>
      <c r="Q239" s="810" t="s">
        <v>5490</v>
      </c>
      <c r="R239" s="932" t="s">
        <v>5928</v>
      </c>
    </row>
    <row r="240" spans="1:18">
      <c r="A240" t="str">
        <f t="shared" si="13"/>
        <v>Lingote de alumínio primário, fundido (cast alloy)</v>
      </c>
      <c r="B240" t="str">
        <f>IF(D240=0,B238,D240)</f>
        <v>Lingote de alumínio primário, fundido (cast alloy)</v>
      </c>
      <c r="D240" s="1094"/>
      <c r="E240" s="1097" t="s">
        <v>5628</v>
      </c>
      <c r="F240" s="1097"/>
      <c r="G240" s="1097"/>
      <c r="H240" s="1097"/>
      <c r="I240" s="1097"/>
      <c r="J240" s="1091"/>
      <c r="K240" s="834" t="s">
        <v>5606</v>
      </c>
      <c r="L240" s="811" t="s">
        <v>5607</v>
      </c>
      <c r="M240" s="1091" t="s">
        <v>5220</v>
      </c>
      <c r="N240" s="1092"/>
      <c r="O240" s="805" t="s">
        <v>5606</v>
      </c>
      <c r="P240" s="806" t="s">
        <v>5607</v>
      </c>
      <c r="Q240" s="807" t="s">
        <v>5220</v>
      </c>
      <c r="R240" s="807" t="s">
        <v>5931</v>
      </c>
    </row>
    <row r="241" spans="1:18">
      <c r="D241" s="1094"/>
      <c r="E241" s="1064" t="s">
        <v>5934</v>
      </c>
      <c r="F241" s="1064"/>
      <c r="G241" s="1064"/>
      <c r="H241" s="1064"/>
      <c r="I241" s="1064"/>
      <c r="J241" s="1064"/>
      <c r="K241" s="813"/>
      <c r="L241" s="818" t="s">
        <v>94</v>
      </c>
      <c r="M241" s="1063"/>
      <c r="N241" s="1064"/>
      <c r="O241" s="809">
        <f>'LCI - Comparação'!S43</f>
        <v>0.26909060866424872</v>
      </c>
      <c r="P241" s="812" t="s">
        <v>94</v>
      </c>
      <c r="Q241" s="1016" t="s">
        <v>5490</v>
      </c>
      <c r="R241" s="1016" t="s">
        <v>5858</v>
      </c>
    </row>
    <row r="242" spans="1:18">
      <c r="A242" t="str">
        <f t="shared" si="13"/>
        <v>Lingote de alumínio primário, fundido (cast alloy)</v>
      </c>
      <c r="B242" t="str">
        <f>IF(D242=0,B240,D242)</f>
        <v>Lingote de alumínio primário, fundido (cast alloy)</v>
      </c>
      <c r="D242" s="1094"/>
      <c r="E242" s="1064" t="s">
        <v>5709</v>
      </c>
      <c r="F242" s="1064"/>
      <c r="G242" s="1064"/>
      <c r="H242" s="1064"/>
      <c r="I242" s="1064"/>
      <c r="J242" s="1064"/>
      <c r="K242" s="813">
        <v>1.9164304316126001E-5</v>
      </c>
      <c r="L242" s="823" t="s">
        <v>94</v>
      </c>
      <c r="M242" s="1064" t="s">
        <v>5708</v>
      </c>
      <c r="N242" s="1064"/>
      <c r="O242" s="809"/>
      <c r="P242" s="812" t="s">
        <v>94</v>
      </c>
      <c r="Q242" s="1016" t="s">
        <v>5926</v>
      </c>
      <c r="R242" s="1016"/>
    </row>
    <row r="243" spans="1:18">
      <c r="A243" t="str">
        <f t="shared" si="13"/>
        <v>Lingote de alumínio primário, fundido (cast alloy)</v>
      </c>
      <c r="B243" t="str">
        <f t="shared" si="14"/>
        <v>Lingote de alumínio primário, fundido (cast alloy)</v>
      </c>
      <c r="D243" s="1094"/>
      <c r="E243" s="1077" t="s">
        <v>5710</v>
      </c>
      <c r="F243" s="1077" t="s">
        <v>5629</v>
      </c>
      <c r="G243" s="1077"/>
      <c r="H243" s="1077"/>
      <c r="I243" s="1077"/>
      <c r="J243" s="1077"/>
      <c r="K243" s="818">
        <v>1.7519927800232E-5</v>
      </c>
      <c r="L243" s="824" t="s">
        <v>94</v>
      </c>
      <c r="M243" s="1077" t="s">
        <v>5708</v>
      </c>
      <c r="N243" s="1077"/>
      <c r="O243" s="815"/>
      <c r="P243" s="817" t="s">
        <v>94</v>
      </c>
      <c r="Q243" s="1016" t="s">
        <v>5926</v>
      </c>
      <c r="R243" s="1016"/>
    </row>
    <row r="244" spans="1:18">
      <c r="A244" t="str">
        <f t="shared" si="13"/>
        <v>Lingote de alumínio primário, fundido (cast alloy)</v>
      </c>
      <c r="B244" t="str">
        <f t="shared" si="14"/>
        <v>Lingote de alumínio primário, fundido (cast alloy)</v>
      </c>
      <c r="D244" s="1095"/>
      <c r="E244" s="1077" t="s">
        <v>5711</v>
      </c>
      <c r="F244" s="1077" t="s">
        <v>5629</v>
      </c>
      <c r="G244" s="1077"/>
      <c r="H244" s="1077"/>
      <c r="I244" s="1077"/>
      <c r="J244" s="1077"/>
      <c r="K244" s="818">
        <v>1.4586738905127201E-4</v>
      </c>
      <c r="L244" s="824" t="s">
        <v>94</v>
      </c>
      <c r="M244" s="1077" t="s">
        <v>5708</v>
      </c>
      <c r="N244" s="1077"/>
      <c r="O244" s="826"/>
      <c r="P244" s="820" t="s">
        <v>94</v>
      </c>
      <c r="Q244" s="1016" t="s">
        <v>5926</v>
      </c>
      <c r="R244" s="1016"/>
    </row>
    <row r="245" spans="1:18" ht="14.4" customHeight="1">
      <c r="A245" t="str">
        <f t="shared" si="13"/>
        <v>Lingote de alumínio primário forjado (wrought alloy)</v>
      </c>
      <c r="B245" t="str">
        <f t="shared" si="14"/>
        <v>Lingote de alumínio primário forjado (wrought alloy)</v>
      </c>
      <c r="D245" s="1140" t="s">
        <v>5712</v>
      </c>
      <c r="E245" s="1068" t="s">
        <v>5605</v>
      </c>
      <c r="F245" s="1069"/>
      <c r="G245" s="1069"/>
      <c r="H245" s="1069"/>
      <c r="I245" s="1069"/>
      <c r="J245" s="1069"/>
      <c r="K245" s="1037" t="s">
        <v>5606</v>
      </c>
      <c r="L245" s="1037" t="s">
        <v>5607</v>
      </c>
      <c r="M245" s="1069" t="s">
        <v>5608</v>
      </c>
      <c r="N245" s="1070"/>
      <c r="O245" s="1037" t="s">
        <v>5606</v>
      </c>
      <c r="P245" s="1038" t="s">
        <v>5607</v>
      </c>
      <c r="Q245" s="1035" t="s">
        <v>5220</v>
      </c>
      <c r="R245" s="1035" t="s">
        <v>5931</v>
      </c>
    </row>
    <row r="246" spans="1:18">
      <c r="A246" t="str">
        <f t="shared" si="13"/>
        <v>Lingote de alumínio primário forjado (wrought alloy)Al Transformed</v>
      </c>
      <c r="B246" t="str">
        <f t="shared" si="14"/>
        <v>Lingote de alumínio primário forjado (wrought alloy)</v>
      </c>
      <c r="C246" t="s">
        <v>5552</v>
      </c>
      <c r="D246" s="1141"/>
      <c r="E246" s="1071" t="s">
        <v>5713</v>
      </c>
      <c r="F246" s="1072"/>
      <c r="G246" s="1072"/>
      <c r="H246" s="1072"/>
      <c r="I246" s="1072"/>
      <c r="J246" s="1072"/>
      <c r="K246" s="829">
        <v>1</v>
      </c>
      <c r="L246" s="829" t="s">
        <v>94</v>
      </c>
      <c r="M246" s="1096" t="s">
        <v>5714</v>
      </c>
      <c r="N246" s="1133"/>
      <c r="O246" s="829">
        <v>1</v>
      </c>
      <c r="P246" s="1014" t="s">
        <v>94</v>
      </c>
      <c r="Q246" s="836"/>
      <c r="R246" s="836"/>
    </row>
    <row r="247" spans="1:18">
      <c r="A247" t="str">
        <f t="shared" si="13"/>
        <v>Lingote de alumínio primário forjado (wrought alloy)</v>
      </c>
      <c r="B247" t="str">
        <f t="shared" si="14"/>
        <v>Lingote de alumínio primário forjado (wrought alloy)</v>
      </c>
      <c r="D247" s="1141"/>
      <c r="E247" s="1074" t="s">
        <v>5618</v>
      </c>
      <c r="F247" s="1075"/>
      <c r="G247" s="1075"/>
      <c r="H247" s="1075"/>
      <c r="I247" s="1075"/>
      <c r="J247" s="1075"/>
      <c r="K247" s="804" t="s">
        <v>5606</v>
      </c>
      <c r="L247" s="804" t="s">
        <v>5607</v>
      </c>
      <c r="M247" s="1075" t="s">
        <v>5220</v>
      </c>
      <c r="N247" s="1076"/>
      <c r="O247" s="805" t="s">
        <v>5606</v>
      </c>
      <c r="P247" s="806" t="s">
        <v>5607</v>
      </c>
      <c r="Q247" s="838" t="s">
        <v>5220</v>
      </c>
      <c r="R247" s="807" t="s">
        <v>5931</v>
      </c>
    </row>
    <row r="248" spans="1:18">
      <c r="A248" t="str">
        <f t="shared" si="13"/>
        <v>Lingote de alumínio primário forjado (wrought alloy)Primary Aluminum</v>
      </c>
      <c r="B248" t="str">
        <f t="shared" si="14"/>
        <v>Lingote de alumínio primário forjado (wrought alloy)</v>
      </c>
      <c r="C248" t="s">
        <v>5373</v>
      </c>
      <c r="D248" s="1141"/>
      <c r="E248" s="1071" t="s">
        <v>5688</v>
      </c>
      <c r="F248" s="1072"/>
      <c r="G248" s="1072"/>
      <c r="H248" s="1072"/>
      <c r="I248" s="1072"/>
      <c r="J248" s="1072"/>
      <c r="K248" s="829">
        <v>1</v>
      </c>
      <c r="L248" s="829" t="s">
        <v>94</v>
      </c>
      <c r="M248" s="1106"/>
      <c r="N248" s="1147"/>
      <c r="O248" s="1014">
        <f>K248</f>
        <v>1</v>
      </c>
      <c r="P248" s="1014" t="s">
        <v>94</v>
      </c>
      <c r="Q248" s="836" t="s">
        <v>5490</v>
      </c>
      <c r="R248" s="836"/>
    </row>
    <row r="249" spans="1:18">
      <c r="A249" t="str">
        <f t="shared" si="13"/>
        <v>alumínio fundido, inserção de reciclagem</v>
      </c>
      <c r="B249" t="str">
        <f>IF(D249=0,B248,D249)</f>
        <v>alumínio fundido, inserção de reciclagem</v>
      </c>
      <c r="D249" s="1111" t="s">
        <v>5715</v>
      </c>
      <c r="E249" s="1068" t="s">
        <v>5605</v>
      </c>
      <c r="F249" s="1069"/>
      <c r="G249" s="1069"/>
      <c r="H249" s="1069"/>
      <c r="I249" s="1069"/>
      <c r="J249" s="1069"/>
      <c r="K249" s="1037" t="s">
        <v>5606</v>
      </c>
      <c r="L249" s="1037" t="s">
        <v>5607</v>
      </c>
      <c r="M249" s="1069" t="s">
        <v>5608</v>
      </c>
      <c r="N249" s="1070"/>
      <c r="O249" s="1037" t="s">
        <v>5606</v>
      </c>
      <c r="P249" s="1038" t="s">
        <v>5607</v>
      </c>
      <c r="Q249" s="1035" t="s">
        <v>5220</v>
      </c>
      <c r="R249" s="1035" t="s">
        <v>5931</v>
      </c>
    </row>
    <row r="250" spans="1:18">
      <c r="A250" t="str">
        <f t="shared" si="13"/>
        <v>alumínio fundido, inserção de reciclagemAl Transformed</v>
      </c>
      <c r="B250" t="str">
        <f t="shared" si="14"/>
        <v>alumínio fundido, inserção de reciclagem</v>
      </c>
      <c r="C250" t="s">
        <v>5552</v>
      </c>
      <c r="D250" s="1112"/>
      <c r="E250" s="1071" t="s">
        <v>5716</v>
      </c>
      <c r="F250" s="1072"/>
      <c r="G250" s="1072"/>
      <c r="H250" s="1072"/>
      <c r="I250" s="1072"/>
      <c r="J250" s="1072"/>
      <c r="K250" s="829">
        <v>1</v>
      </c>
      <c r="L250" s="829" t="s">
        <v>94</v>
      </c>
      <c r="M250" s="1096" t="s">
        <v>5717</v>
      </c>
      <c r="N250" s="1133"/>
      <c r="O250" s="829">
        <v>1</v>
      </c>
      <c r="P250" s="1014" t="s">
        <v>94</v>
      </c>
      <c r="Q250" s="836"/>
      <c r="R250" s="836"/>
    </row>
    <row r="251" spans="1:18">
      <c r="A251" t="str">
        <f t="shared" si="13"/>
        <v>alumínio fundido, inserção de reciclagem</v>
      </c>
      <c r="B251" t="str">
        <f t="shared" si="14"/>
        <v>alumínio fundido, inserção de reciclagem</v>
      </c>
      <c r="D251" s="1112"/>
      <c r="E251" s="1074" t="s">
        <v>5618</v>
      </c>
      <c r="F251" s="1075"/>
      <c r="G251" s="1075"/>
      <c r="H251" s="1075"/>
      <c r="I251" s="1075"/>
      <c r="J251" s="1075"/>
      <c r="K251" s="804" t="s">
        <v>5606</v>
      </c>
      <c r="L251" s="804" t="s">
        <v>5607</v>
      </c>
      <c r="M251" s="1075" t="s">
        <v>5220</v>
      </c>
      <c r="N251" s="1076"/>
      <c r="O251" s="805" t="s">
        <v>5606</v>
      </c>
      <c r="P251" s="806" t="s">
        <v>5607</v>
      </c>
      <c r="Q251" s="838" t="s">
        <v>5220</v>
      </c>
      <c r="R251" s="807" t="s">
        <v>5931</v>
      </c>
    </row>
    <row r="252" spans="1:18">
      <c r="A252" t="str">
        <f t="shared" si="13"/>
        <v>alumínio fundido, inserção de reciclagemPrimary Aluminum</v>
      </c>
      <c r="B252" t="str">
        <f t="shared" si="14"/>
        <v>alumínio fundido, inserção de reciclagem</v>
      </c>
      <c r="C252" t="s">
        <v>5373</v>
      </c>
      <c r="D252" s="1112"/>
      <c r="E252" s="1064" t="s">
        <v>5705</v>
      </c>
      <c r="F252" s="1064"/>
      <c r="G252" s="1064"/>
      <c r="H252" s="1064"/>
      <c r="I252" s="1064"/>
      <c r="J252" s="1064"/>
      <c r="K252" s="813" t="s">
        <v>5718</v>
      </c>
      <c r="L252" s="823" t="s">
        <v>94</v>
      </c>
      <c r="M252" s="1064" t="s">
        <v>5719</v>
      </c>
      <c r="N252" s="1064"/>
      <c r="O252" s="809">
        <f>1-'FE - ACV Aluminum'!DQ30</f>
        <v>0.58200000000000007</v>
      </c>
      <c r="P252" s="812" t="s">
        <v>94</v>
      </c>
      <c r="Q252" s="810" t="s">
        <v>5490</v>
      </c>
      <c r="R252" s="810" t="s">
        <v>5930</v>
      </c>
    </row>
    <row r="253" spans="1:18">
      <c r="A253" t="str">
        <f t="shared" si="13"/>
        <v>alumínio fundido, inserção de reciclagemSecondary Aluminum</v>
      </c>
      <c r="B253" t="str">
        <f t="shared" si="14"/>
        <v>alumínio fundido, inserção de reciclagem</v>
      </c>
      <c r="C253" t="s">
        <v>530</v>
      </c>
      <c r="D253" s="1112"/>
      <c r="E253" s="1061" t="s">
        <v>5720</v>
      </c>
      <c r="F253" s="1061"/>
      <c r="G253" s="1061"/>
      <c r="H253" s="1061"/>
      <c r="I253" s="1061"/>
      <c r="J253" s="1061"/>
      <c r="K253" s="821" t="s">
        <v>5721</v>
      </c>
      <c r="L253" s="825" t="s">
        <v>94</v>
      </c>
      <c r="M253" s="1061" t="s">
        <v>5722</v>
      </c>
      <c r="N253" s="1061"/>
      <c r="O253" s="826">
        <f>'FE - ACV Aluminum'!DQ30</f>
        <v>0.41799999999999998</v>
      </c>
      <c r="P253" s="820" t="s">
        <v>94</v>
      </c>
      <c r="Q253" s="810" t="s">
        <v>5490</v>
      </c>
      <c r="R253" s="835" t="s">
        <v>5930</v>
      </c>
    </row>
    <row r="254" spans="1:18" ht="14.4" customHeight="1">
      <c r="A254" t="str">
        <f t="shared" si="13"/>
        <v>alumínio fundido, market</v>
      </c>
      <c r="B254" t="str">
        <f t="shared" si="14"/>
        <v>alumínio fundido, market</v>
      </c>
      <c r="D254" s="1065" t="s">
        <v>5723</v>
      </c>
      <c r="E254" s="1068" t="s">
        <v>5605</v>
      </c>
      <c r="F254" s="1069"/>
      <c r="G254" s="1069"/>
      <c r="H254" s="1069"/>
      <c r="I254" s="1069"/>
      <c r="J254" s="1069"/>
      <c r="K254" s="1037" t="s">
        <v>5606</v>
      </c>
      <c r="L254" s="1037" t="s">
        <v>5607</v>
      </c>
      <c r="M254" s="1069" t="s">
        <v>5608</v>
      </c>
      <c r="N254" s="1070"/>
      <c r="O254" s="1037" t="s">
        <v>5606</v>
      </c>
      <c r="P254" s="1038" t="s">
        <v>5607</v>
      </c>
      <c r="Q254" s="1035" t="s">
        <v>5220</v>
      </c>
      <c r="R254" s="1035" t="s">
        <v>5931</v>
      </c>
    </row>
    <row r="255" spans="1:18">
      <c r="A255" t="str">
        <f t="shared" si="13"/>
        <v>alumínio fundido, market</v>
      </c>
      <c r="B255" t="str">
        <f t="shared" si="14"/>
        <v>alumínio fundido, market</v>
      </c>
      <c r="D255" s="1066"/>
      <c r="E255" s="1071" t="s">
        <v>5724</v>
      </c>
      <c r="F255" s="1072"/>
      <c r="G255" s="1072"/>
      <c r="H255" s="1072"/>
      <c r="I255" s="1072"/>
      <c r="J255" s="1072"/>
      <c r="K255" s="829">
        <v>1</v>
      </c>
      <c r="L255" s="829" t="s">
        <v>94</v>
      </c>
      <c r="M255" s="1096" t="s">
        <v>5717</v>
      </c>
      <c r="N255" s="1096"/>
      <c r="O255" s="829">
        <v>1</v>
      </c>
      <c r="P255" s="1014" t="s">
        <v>94</v>
      </c>
      <c r="Q255" s="836"/>
      <c r="R255" s="836"/>
    </row>
    <row r="256" spans="1:18">
      <c r="A256" t="str">
        <f t="shared" si="13"/>
        <v>alumínio fundido, market</v>
      </c>
      <c r="B256" t="str">
        <f t="shared" si="14"/>
        <v>alumínio fundido, market</v>
      </c>
      <c r="D256" s="1066"/>
      <c r="E256" s="1074" t="s">
        <v>5618</v>
      </c>
      <c r="F256" s="1075"/>
      <c r="G256" s="1075"/>
      <c r="H256" s="1075"/>
      <c r="I256" s="1075"/>
      <c r="J256" s="1075"/>
      <c r="K256" s="804" t="s">
        <v>5606</v>
      </c>
      <c r="L256" s="804" t="s">
        <v>5607</v>
      </c>
      <c r="M256" s="1075" t="s">
        <v>5220</v>
      </c>
      <c r="N256" s="1076"/>
      <c r="O256" s="805" t="s">
        <v>5606</v>
      </c>
      <c r="P256" s="806" t="s">
        <v>5607</v>
      </c>
      <c r="Q256" s="838" t="s">
        <v>5220</v>
      </c>
      <c r="R256" s="807" t="s">
        <v>5931</v>
      </c>
    </row>
    <row r="257" spans="1:18">
      <c r="A257" t="str">
        <f t="shared" si="13"/>
        <v>alumínio fundido, market</v>
      </c>
      <c r="B257" t="str">
        <f t="shared" si="14"/>
        <v>alumínio fundido, market</v>
      </c>
      <c r="D257" s="1142"/>
      <c r="E257" s="1084" t="s">
        <v>5716</v>
      </c>
      <c r="F257" s="1085"/>
      <c r="G257" s="1085"/>
      <c r="H257" s="1085"/>
      <c r="I257" s="1085"/>
      <c r="J257" s="1085"/>
      <c r="K257" s="1024">
        <v>1</v>
      </c>
      <c r="L257" s="1024" t="s">
        <v>94</v>
      </c>
      <c r="M257" s="1084"/>
      <c r="N257" s="1085"/>
      <c r="O257" s="169">
        <v>1</v>
      </c>
      <c r="P257" s="1032" t="s">
        <v>94</v>
      </c>
      <c r="Q257" s="153" t="s">
        <v>5490</v>
      </c>
      <c r="R257" s="153"/>
    </row>
    <row r="258" spans="1:18">
      <c r="A258" t="str">
        <f t="shared" si="13"/>
        <v>alumínio fundido, market</v>
      </c>
      <c r="B258" t="str">
        <f t="shared" si="14"/>
        <v>alumínio fundido, market</v>
      </c>
      <c r="D258" s="1142"/>
      <c r="E258" s="1086" t="s">
        <v>5644</v>
      </c>
      <c r="F258" s="1077"/>
      <c r="G258" s="1077"/>
      <c r="H258" s="1077"/>
      <c r="I258" s="1077"/>
      <c r="J258" s="1077"/>
      <c r="K258" s="1025">
        <v>0.4</v>
      </c>
      <c r="L258" s="1025" t="s">
        <v>5642</v>
      </c>
      <c r="M258" s="1086" t="s">
        <v>5725</v>
      </c>
      <c r="N258" s="1077"/>
      <c r="O258" s="170">
        <v>6.0000000000000001E-3</v>
      </c>
      <c r="P258" s="1033" t="s">
        <v>5642</v>
      </c>
      <c r="Q258" s="153" t="s">
        <v>5490</v>
      </c>
      <c r="R258" s="158" t="s">
        <v>5925</v>
      </c>
    </row>
    <row r="259" spans="1:18">
      <c r="D259" s="1142"/>
      <c r="E259" s="1086" t="s">
        <v>5641</v>
      </c>
      <c r="F259" s="1077"/>
      <c r="G259" s="1077"/>
      <c r="H259" s="1077"/>
      <c r="I259" s="1077"/>
      <c r="J259" s="1077"/>
      <c r="K259" s="1025"/>
      <c r="L259" s="1025"/>
      <c r="M259" s="1020"/>
      <c r="N259" s="719"/>
      <c r="O259" s="170">
        <v>6.0000000000000001E-3</v>
      </c>
      <c r="P259" s="1033" t="s">
        <v>5642</v>
      </c>
      <c r="Q259" s="153" t="s">
        <v>5490</v>
      </c>
      <c r="R259" s="158" t="s">
        <v>5925</v>
      </c>
    </row>
    <row r="260" spans="1:18">
      <c r="D260" s="1143"/>
      <c r="E260" s="1022" t="s">
        <v>5924</v>
      </c>
      <c r="F260" s="1023"/>
      <c r="G260" s="1023"/>
      <c r="H260" s="1023"/>
      <c r="I260" s="1023"/>
      <c r="J260" s="1023"/>
      <c r="K260" s="1026"/>
      <c r="L260" s="1026"/>
      <c r="M260" s="1026"/>
      <c r="N260" s="1031"/>
      <c r="O260" s="171">
        <v>0.156</v>
      </c>
      <c r="P260" s="1034" t="s">
        <v>5642</v>
      </c>
      <c r="Q260" s="153" t="s">
        <v>5490</v>
      </c>
      <c r="R260" s="162" t="s">
        <v>5925</v>
      </c>
    </row>
    <row r="261" spans="1:18">
      <c r="A261" t="str">
        <f t="shared" si="13"/>
        <v>alumínio forjado, inserção de reciclagem</v>
      </c>
      <c r="B261" t="str">
        <f>IF(D261=0,B258,D261)</f>
        <v>alumínio forjado, inserção de reciclagem</v>
      </c>
      <c r="D261" s="1088" t="s">
        <v>5726</v>
      </c>
      <c r="E261" s="1068" t="s">
        <v>5605</v>
      </c>
      <c r="F261" s="1069"/>
      <c r="G261" s="1069"/>
      <c r="H261" s="1069"/>
      <c r="I261" s="1069"/>
      <c r="J261" s="1069"/>
      <c r="K261" s="1037" t="s">
        <v>5606</v>
      </c>
      <c r="L261" s="1037" t="s">
        <v>5607</v>
      </c>
      <c r="M261" s="1069" t="s">
        <v>5608</v>
      </c>
      <c r="N261" s="1070"/>
      <c r="O261" s="1037" t="s">
        <v>5606</v>
      </c>
      <c r="P261" s="1038" t="s">
        <v>5607</v>
      </c>
      <c r="Q261" s="1035" t="s">
        <v>5220</v>
      </c>
      <c r="R261" s="1035" t="s">
        <v>5931</v>
      </c>
    </row>
    <row r="262" spans="1:18">
      <c r="A262" t="str">
        <f t="shared" si="13"/>
        <v>alumínio forjado, inserção de reciclagemAl Transformed</v>
      </c>
      <c r="B262" t="str">
        <f t="shared" si="14"/>
        <v>alumínio forjado, inserção de reciclagem</v>
      </c>
      <c r="C262" t="s">
        <v>5552</v>
      </c>
      <c r="D262" s="1089"/>
      <c r="E262" s="1082" t="s">
        <v>5727</v>
      </c>
      <c r="F262" s="1082"/>
      <c r="G262" s="1082"/>
      <c r="H262" s="1082"/>
      <c r="I262" s="1082"/>
      <c r="J262" s="1082"/>
      <c r="K262" s="833">
        <v>1</v>
      </c>
      <c r="L262" s="829" t="s">
        <v>94</v>
      </c>
      <c r="M262" s="1090" t="s">
        <v>5728</v>
      </c>
      <c r="N262" s="1090"/>
      <c r="O262" s="961">
        <v>1</v>
      </c>
      <c r="P262" s="865" t="s">
        <v>94</v>
      </c>
      <c r="Q262" s="932"/>
      <c r="R262" s="932"/>
    </row>
    <row r="263" spans="1:18">
      <c r="A263" t="str">
        <f t="shared" si="13"/>
        <v>alumínio forjado, inserção de reciclagem</v>
      </c>
      <c r="B263" t="str">
        <f t="shared" si="14"/>
        <v>alumínio forjado, inserção de reciclagem</v>
      </c>
      <c r="D263" s="1089"/>
      <c r="E263" s="1074" t="s">
        <v>5618</v>
      </c>
      <c r="F263" s="1075"/>
      <c r="G263" s="1075"/>
      <c r="H263" s="1075"/>
      <c r="I263" s="1075"/>
      <c r="J263" s="1075"/>
      <c r="K263" s="804" t="s">
        <v>5606</v>
      </c>
      <c r="L263" s="804" t="s">
        <v>5607</v>
      </c>
      <c r="M263" s="1075" t="s">
        <v>5220</v>
      </c>
      <c r="N263" s="1076"/>
      <c r="O263" s="805" t="s">
        <v>5606</v>
      </c>
      <c r="P263" s="806" t="s">
        <v>5607</v>
      </c>
      <c r="Q263" s="838" t="s">
        <v>5220</v>
      </c>
      <c r="R263" s="807" t="s">
        <v>5931</v>
      </c>
    </row>
    <row r="264" spans="1:18">
      <c r="A264" t="str">
        <f t="shared" si="13"/>
        <v>alumínio forjado, inserção de reciclagemPrimary Aluminum</v>
      </c>
      <c r="B264" t="str">
        <f t="shared" si="14"/>
        <v>alumínio forjado, inserção de reciclagem</v>
      </c>
      <c r="C264" t="s">
        <v>5373</v>
      </c>
      <c r="D264" s="1089"/>
      <c r="E264" s="1064" t="s">
        <v>5713</v>
      </c>
      <c r="F264" s="1064"/>
      <c r="G264" s="1064"/>
      <c r="H264" s="1064"/>
      <c r="I264" s="1064"/>
      <c r="J264" s="1064"/>
      <c r="K264" s="813" t="s">
        <v>5718</v>
      </c>
      <c r="L264" s="813" t="s">
        <v>94</v>
      </c>
      <c r="M264" s="1063" t="s">
        <v>5719</v>
      </c>
      <c r="N264" s="1064"/>
      <c r="O264" s="809">
        <f>1-'FE - ACV Aluminum'!DQ30</f>
        <v>0.58200000000000007</v>
      </c>
      <c r="P264" s="812" t="s">
        <v>94</v>
      </c>
      <c r="Q264" s="810" t="s">
        <v>5490</v>
      </c>
      <c r="R264" s="810" t="s">
        <v>5930</v>
      </c>
    </row>
    <row r="265" spans="1:18">
      <c r="A265" t="str">
        <f t="shared" si="13"/>
        <v>alumínio forjado, inserção de reciclagemSecondary Aluminum</v>
      </c>
      <c r="B265" t="str">
        <f t="shared" si="14"/>
        <v>alumínio forjado, inserção de reciclagem</v>
      </c>
      <c r="C265" t="s">
        <v>530</v>
      </c>
      <c r="D265" s="1089"/>
      <c r="E265" s="1061" t="s">
        <v>5729</v>
      </c>
      <c r="F265" s="1061"/>
      <c r="G265" s="1061"/>
      <c r="H265" s="1061"/>
      <c r="I265" s="1061"/>
      <c r="J265" s="1061"/>
      <c r="K265" s="821" t="s">
        <v>5721</v>
      </c>
      <c r="L265" s="821" t="s">
        <v>94</v>
      </c>
      <c r="M265" s="1062" t="s">
        <v>5722</v>
      </c>
      <c r="N265" s="1061"/>
      <c r="O265" s="826">
        <f>'FE - ACV Aluminum'!DQ30</f>
        <v>0.41799999999999998</v>
      </c>
      <c r="P265" s="820" t="s">
        <v>94</v>
      </c>
      <c r="Q265" s="810" t="s">
        <v>5490</v>
      </c>
      <c r="R265" s="835" t="s">
        <v>5930</v>
      </c>
    </row>
    <row r="266" spans="1:18" ht="14.4" customHeight="1">
      <c r="A266" t="str">
        <f t="shared" si="13"/>
        <v>alumínio forjado, market</v>
      </c>
      <c r="B266" t="str">
        <f t="shared" si="14"/>
        <v>alumínio forjado, market</v>
      </c>
      <c r="D266" s="1093" t="s">
        <v>5730</v>
      </c>
      <c r="E266" s="1068" t="s">
        <v>5605</v>
      </c>
      <c r="F266" s="1069"/>
      <c r="G266" s="1069"/>
      <c r="H266" s="1069"/>
      <c r="I266" s="1069"/>
      <c r="J266" s="1069"/>
      <c r="K266" s="1037" t="s">
        <v>5606</v>
      </c>
      <c r="L266" s="1037" t="s">
        <v>5607</v>
      </c>
      <c r="M266" s="1069" t="s">
        <v>5608</v>
      </c>
      <c r="N266" s="1070"/>
      <c r="O266" s="1037" t="s">
        <v>5606</v>
      </c>
      <c r="P266" s="1038" t="s">
        <v>5607</v>
      </c>
      <c r="Q266" s="1035" t="s">
        <v>5220</v>
      </c>
      <c r="R266" s="1035" t="s">
        <v>5931</v>
      </c>
    </row>
    <row r="267" spans="1:18">
      <c r="A267" t="str">
        <f t="shared" si="13"/>
        <v>alumínio forjado, market</v>
      </c>
      <c r="B267" t="str">
        <f t="shared" si="14"/>
        <v>alumínio forjado, market</v>
      </c>
      <c r="D267" s="1094"/>
      <c r="E267" s="1082" t="s">
        <v>5731</v>
      </c>
      <c r="F267" s="1082"/>
      <c r="G267" s="1082"/>
      <c r="H267" s="1082"/>
      <c r="I267" s="1082"/>
      <c r="J267" s="1082"/>
      <c r="K267" s="829">
        <v>1</v>
      </c>
      <c r="L267" s="829" t="s">
        <v>94</v>
      </c>
      <c r="M267" s="1083" t="s">
        <v>5728</v>
      </c>
      <c r="N267" s="1083"/>
      <c r="O267" s="829">
        <v>1</v>
      </c>
      <c r="P267" s="1014" t="s">
        <v>94</v>
      </c>
      <c r="Q267" s="836"/>
      <c r="R267" s="836"/>
    </row>
    <row r="268" spans="1:18">
      <c r="A268" t="str">
        <f t="shared" si="13"/>
        <v>alumínio forjado, market</v>
      </c>
      <c r="B268" t="str">
        <f t="shared" si="14"/>
        <v>alumínio forjado, market</v>
      </c>
      <c r="D268" s="1094"/>
      <c r="E268" s="1074" t="s">
        <v>5618</v>
      </c>
      <c r="F268" s="1075"/>
      <c r="G268" s="1075"/>
      <c r="H268" s="1075"/>
      <c r="I268" s="1075"/>
      <c r="J268" s="1075"/>
      <c r="K268" s="804" t="s">
        <v>5606</v>
      </c>
      <c r="L268" s="804" t="s">
        <v>5607</v>
      </c>
      <c r="M268" s="1075" t="s">
        <v>5220</v>
      </c>
      <c r="N268" s="1076"/>
      <c r="O268" s="805" t="s">
        <v>5606</v>
      </c>
      <c r="P268" s="806" t="s">
        <v>5607</v>
      </c>
      <c r="Q268" s="838" t="s">
        <v>5220</v>
      </c>
      <c r="R268" s="807" t="s">
        <v>5931</v>
      </c>
    </row>
    <row r="269" spans="1:18">
      <c r="A269" t="str">
        <f t="shared" si="13"/>
        <v>alumínio forjado, market</v>
      </c>
      <c r="B269" t="str">
        <f t="shared" si="14"/>
        <v>alumínio forjado, market</v>
      </c>
      <c r="D269" s="1145"/>
      <c r="E269" s="1084" t="s">
        <v>5727</v>
      </c>
      <c r="F269" s="1085"/>
      <c r="G269" s="1085"/>
      <c r="H269" s="1085"/>
      <c r="I269" s="1085"/>
      <c r="J269" s="1085"/>
      <c r="K269" s="1024">
        <v>1</v>
      </c>
      <c r="L269" s="1024" t="s">
        <v>94</v>
      </c>
      <c r="M269" s="169"/>
      <c r="N269" s="226"/>
      <c r="O269" s="236">
        <v>1</v>
      </c>
      <c r="P269" s="883" t="s">
        <v>94</v>
      </c>
      <c r="Q269" s="226" t="s">
        <v>5490</v>
      </c>
      <c r="R269" s="226"/>
    </row>
    <row r="270" spans="1:18">
      <c r="A270" t="str">
        <f t="shared" si="13"/>
        <v>alumínio forjado, market</v>
      </c>
      <c r="B270" t="str">
        <f t="shared" si="14"/>
        <v>alumínio forjado, market</v>
      </c>
      <c r="D270" s="1145"/>
      <c r="E270" s="1086" t="s">
        <v>5644</v>
      </c>
      <c r="F270" s="1077"/>
      <c r="G270" s="1077"/>
      <c r="H270" s="1077"/>
      <c r="I270" s="1077"/>
      <c r="J270" s="1077"/>
      <c r="K270" s="1025">
        <v>0.4</v>
      </c>
      <c r="L270" s="1025" t="s">
        <v>5642</v>
      </c>
      <c r="M270" s="1086" t="s">
        <v>5725</v>
      </c>
      <c r="N270" s="1087"/>
      <c r="O270">
        <v>6.0000000000000001E-3</v>
      </c>
      <c r="P270" s="1029" t="s">
        <v>5642</v>
      </c>
      <c r="Q270" s="226" t="s">
        <v>5490</v>
      </c>
      <c r="R270" s="235" t="s">
        <v>5925</v>
      </c>
    </row>
    <row r="271" spans="1:18">
      <c r="D271" s="1145"/>
      <c r="E271" s="1086" t="s">
        <v>5641</v>
      </c>
      <c r="F271" s="1077"/>
      <c r="G271" s="1077"/>
      <c r="H271" s="1077"/>
      <c r="I271" s="1077"/>
      <c r="J271" s="1077"/>
      <c r="K271" s="1025"/>
      <c r="L271" s="1025"/>
      <c r="M271" s="1020"/>
      <c r="N271" s="1021"/>
      <c r="O271">
        <v>6.0000000000000001E-3</v>
      </c>
      <c r="P271" s="1029" t="s">
        <v>5642</v>
      </c>
      <c r="Q271" s="226" t="s">
        <v>5490</v>
      </c>
      <c r="R271" s="235" t="s">
        <v>5925</v>
      </c>
    </row>
    <row r="272" spans="1:18">
      <c r="D272" s="1146"/>
      <c r="E272" s="1022" t="s">
        <v>5924</v>
      </c>
      <c r="F272" s="1023"/>
      <c r="G272" s="1023"/>
      <c r="H272" s="1023"/>
      <c r="I272" s="1023"/>
      <c r="J272" s="1023"/>
      <c r="K272" s="1026"/>
      <c r="L272" s="1026"/>
      <c r="M272" s="1026"/>
      <c r="N272" s="1027"/>
      <c r="O272" s="1028">
        <v>0.156</v>
      </c>
      <c r="P272" s="1030" t="s">
        <v>5642</v>
      </c>
      <c r="Q272" s="226" t="s">
        <v>5490</v>
      </c>
      <c r="R272" s="228" t="s">
        <v>5925</v>
      </c>
    </row>
    <row r="273" spans="1:18">
      <c r="A273" t="str">
        <f t="shared" si="13"/>
        <v>Mix de alumínio forjado e fundido</v>
      </c>
      <c r="B273" t="str">
        <f>IF(D273=0,B270,D273)</f>
        <v>Mix de alumínio forjado e fundido</v>
      </c>
      <c r="D273" s="1079" t="s">
        <v>5732</v>
      </c>
      <c r="E273" s="1068" t="s">
        <v>5605</v>
      </c>
      <c r="F273" s="1069"/>
      <c r="G273" s="1069"/>
      <c r="H273" s="1069"/>
      <c r="I273" s="1069"/>
      <c r="J273" s="1069"/>
      <c r="K273" s="1037" t="s">
        <v>5606</v>
      </c>
      <c r="L273" s="1037" t="s">
        <v>5607</v>
      </c>
      <c r="M273" s="1069" t="s">
        <v>5608</v>
      </c>
      <c r="N273" s="1070"/>
      <c r="O273" s="1037" t="s">
        <v>5606</v>
      </c>
      <c r="P273" s="1038" t="s">
        <v>5607</v>
      </c>
      <c r="Q273" s="1035" t="s">
        <v>5220</v>
      </c>
      <c r="R273" s="1035" t="s">
        <v>5931</v>
      </c>
    </row>
    <row r="274" spans="1:18">
      <c r="A274" t="str">
        <f t="shared" si="13"/>
        <v>Mix de alumínio forjado e fundidoBasic Steel Products</v>
      </c>
      <c r="B274" t="str">
        <f t="shared" si="14"/>
        <v>Mix de alumínio forjado e fundido</v>
      </c>
      <c r="C274" t="s">
        <v>515</v>
      </c>
      <c r="D274" s="1080"/>
      <c r="E274" s="1081" t="s">
        <v>5733</v>
      </c>
      <c r="F274" s="1081"/>
      <c r="G274" s="1081"/>
      <c r="H274" s="1081"/>
      <c r="I274" s="1081"/>
      <c r="J274" s="1081"/>
      <c r="K274" s="829">
        <v>1</v>
      </c>
      <c r="L274" s="829" t="s">
        <v>94</v>
      </c>
      <c r="M274" s="1072" t="s">
        <v>5734</v>
      </c>
      <c r="N274" s="1072"/>
      <c r="O274" s="829">
        <v>1</v>
      </c>
      <c r="P274" s="1014" t="s">
        <v>94</v>
      </c>
      <c r="Q274" s="836"/>
      <c r="R274" s="836"/>
    </row>
    <row r="275" spans="1:18">
      <c r="A275" t="str">
        <f t="shared" si="13"/>
        <v>Mix de alumínio forjado e fundido</v>
      </c>
      <c r="B275" t="str">
        <f t="shared" si="14"/>
        <v>Mix de alumínio forjado e fundido</v>
      </c>
      <c r="D275" s="1080"/>
      <c r="E275" s="1074" t="s">
        <v>5618</v>
      </c>
      <c r="F275" s="1075"/>
      <c r="G275" s="1075"/>
      <c r="H275" s="1075"/>
      <c r="I275" s="1075"/>
      <c r="J275" s="1075"/>
      <c r="K275" s="804" t="s">
        <v>5606</v>
      </c>
      <c r="L275" s="804" t="s">
        <v>5607</v>
      </c>
      <c r="M275" s="1075" t="s">
        <v>5220</v>
      </c>
      <c r="N275" s="1076"/>
      <c r="O275" s="805" t="s">
        <v>5606</v>
      </c>
      <c r="P275" s="806" t="s">
        <v>5607</v>
      </c>
      <c r="Q275" s="838" t="s">
        <v>5220</v>
      </c>
      <c r="R275" s="807" t="s">
        <v>5931</v>
      </c>
    </row>
    <row r="276" spans="1:18">
      <c r="A276" t="str">
        <f t="shared" si="13"/>
        <v>Mix de alumínio forjado e fundidoAl Transformed</v>
      </c>
      <c r="B276" t="str">
        <f t="shared" si="14"/>
        <v>Mix de alumínio forjado e fundido</v>
      </c>
      <c r="C276" t="s">
        <v>5552</v>
      </c>
      <c r="D276" s="1080"/>
      <c r="E276" s="1063" t="s">
        <v>5724</v>
      </c>
      <c r="F276" s="1064"/>
      <c r="G276" s="1064"/>
      <c r="H276" s="1064"/>
      <c r="I276" s="1064"/>
      <c r="J276" s="1064"/>
      <c r="K276" s="813">
        <v>0.36042377185980701</v>
      </c>
      <c r="L276" s="813" t="s">
        <v>94</v>
      </c>
      <c r="M276" s="1063" t="s">
        <v>5735</v>
      </c>
      <c r="N276" s="1064"/>
      <c r="O276" s="809">
        <f>SUM('FE - ACV Aluminum'!DQ40:DQ41)</f>
        <v>0.4</v>
      </c>
      <c r="P276" s="812" t="s">
        <v>94</v>
      </c>
      <c r="Q276" s="810" t="s">
        <v>5490</v>
      </c>
      <c r="R276" s="810" t="s">
        <v>5844</v>
      </c>
    </row>
    <row r="277" spans="1:18">
      <c r="A277" t="str">
        <f t="shared" si="13"/>
        <v>Mix de alumínio forjado e fundidoAl Transformed</v>
      </c>
      <c r="B277" t="str">
        <f t="shared" si="14"/>
        <v>Mix de alumínio forjado e fundido</v>
      </c>
      <c r="C277" t="s">
        <v>5552</v>
      </c>
      <c r="D277" s="1080"/>
      <c r="E277" s="1062" t="s">
        <v>5731</v>
      </c>
      <c r="F277" s="1061"/>
      <c r="G277" s="1061"/>
      <c r="H277" s="1061"/>
      <c r="I277" s="1061"/>
      <c r="J277" s="1061"/>
      <c r="K277" s="821">
        <v>0.63957622814019299</v>
      </c>
      <c r="L277" s="821" t="s">
        <v>94</v>
      </c>
      <c r="M277" s="1062" t="s">
        <v>5735</v>
      </c>
      <c r="N277" s="1061"/>
      <c r="O277" s="1018">
        <f>'FE - ACV Aluminum'!DQ42</f>
        <v>0.6</v>
      </c>
      <c r="P277" s="820" t="s">
        <v>94</v>
      </c>
      <c r="Q277" s="835" t="s">
        <v>5490</v>
      </c>
      <c r="R277" s="835" t="s">
        <v>5844</v>
      </c>
    </row>
    <row r="278" spans="1:18">
      <c r="A278" t="str">
        <f t="shared" si="13"/>
        <v>MIX 3 - Sheet rolling + extrusion + casting</v>
      </c>
      <c r="B278" t="str">
        <f t="shared" si="14"/>
        <v>MIX 3 - Sheet rolling + extrusion + casting</v>
      </c>
      <c r="D278" s="1065" t="s">
        <v>5736</v>
      </c>
      <c r="E278" s="1068" t="s">
        <v>5605</v>
      </c>
      <c r="F278" s="1069"/>
      <c r="G278" s="1069"/>
      <c r="H278" s="1069"/>
      <c r="I278" s="1069"/>
      <c r="J278" s="1069"/>
      <c r="K278" s="1037" t="s">
        <v>5606</v>
      </c>
      <c r="L278" s="1037" t="s">
        <v>5607</v>
      </c>
      <c r="M278" s="1069" t="s">
        <v>5608</v>
      </c>
      <c r="N278" s="1070"/>
      <c r="O278" s="1037" t="s">
        <v>5606</v>
      </c>
      <c r="P278" s="1038" t="s">
        <v>5607</v>
      </c>
      <c r="Q278" s="1035" t="s">
        <v>5220</v>
      </c>
      <c r="R278" s="1035" t="s">
        <v>5931</v>
      </c>
    </row>
    <row r="279" spans="1:18">
      <c r="A279" t="str">
        <f t="shared" ref="A279:A284" si="15">CONCATENATE(B279,C279)</f>
        <v>MIX 3 - Sheet rolling + extrusion + castingFinal Forming and Finishing Products</v>
      </c>
      <c r="B279" t="str">
        <f t="shared" ref="B279:B284" si="16">IF(D279=0,B278,D279)</f>
        <v>MIX 3 - Sheet rolling + extrusion + casting</v>
      </c>
      <c r="C279" t="s">
        <v>516</v>
      </c>
      <c r="D279" s="1066"/>
      <c r="E279" s="1071" t="s">
        <v>5737</v>
      </c>
      <c r="F279" s="1072"/>
      <c r="G279" s="1072"/>
      <c r="H279" s="1072"/>
      <c r="I279" s="1072"/>
      <c r="J279" s="1072"/>
      <c r="K279" s="829">
        <v>1</v>
      </c>
      <c r="L279" s="829" t="s">
        <v>94</v>
      </c>
      <c r="M279" s="1073" t="s">
        <v>5738</v>
      </c>
      <c r="N279" s="1073"/>
      <c r="O279" s="829">
        <v>1</v>
      </c>
      <c r="P279" s="1014" t="s">
        <v>94</v>
      </c>
      <c r="Q279" s="836"/>
      <c r="R279" s="836"/>
    </row>
    <row r="280" spans="1:18">
      <c r="A280" t="str">
        <f t="shared" si="15"/>
        <v>MIX 3 - Sheet rolling + extrusion + casting</v>
      </c>
      <c r="B280" t="str">
        <f t="shared" si="16"/>
        <v>MIX 3 - Sheet rolling + extrusion + casting</v>
      </c>
      <c r="D280" s="1066"/>
      <c r="E280" s="1074" t="s">
        <v>5618</v>
      </c>
      <c r="F280" s="1075"/>
      <c r="G280" s="1075"/>
      <c r="H280" s="1075"/>
      <c r="I280" s="1075"/>
      <c r="J280" s="1075"/>
      <c r="K280" s="804" t="s">
        <v>5606</v>
      </c>
      <c r="L280" s="804" t="s">
        <v>5607</v>
      </c>
      <c r="M280" s="1075" t="s">
        <v>5220</v>
      </c>
      <c r="N280" s="1076"/>
      <c r="O280" s="805" t="s">
        <v>5606</v>
      </c>
      <c r="P280" s="806" t="s">
        <v>5607</v>
      </c>
      <c r="Q280" s="838" t="s">
        <v>5220</v>
      </c>
      <c r="R280" s="807" t="s">
        <v>5931</v>
      </c>
    </row>
    <row r="281" spans="1:18">
      <c r="A281" t="str">
        <f t="shared" si="15"/>
        <v>MIX 3 - Sheet rolling + extrusion + castingBasic Steel Products</v>
      </c>
      <c r="B281" t="str">
        <f t="shared" si="16"/>
        <v>MIX 3 - Sheet rolling + extrusion + casting</v>
      </c>
      <c r="C281" t="s">
        <v>515</v>
      </c>
      <c r="D281" s="1066"/>
      <c r="E281" s="1064" t="s">
        <v>5739</v>
      </c>
      <c r="F281" s="1064"/>
      <c r="G281" s="1064"/>
      <c r="H281" s="1064"/>
      <c r="I281" s="1064"/>
      <c r="J281" s="1064"/>
      <c r="K281" s="813" t="s">
        <v>5740</v>
      </c>
      <c r="L281" s="813" t="s">
        <v>94</v>
      </c>
      <c r="M281" s="1063" t="s">
        <v>5741</v>
      </c>
      <c r="N281" s="1064"/>
      <c r="O281" s="809">
        <f>'FE - ACV Aluminum'!DQ40</f>
        <v>0.26500000000000001</v>
      </c>
      <c r="P281" s="812" t="s">
        <v>94</v>
      </c>
      <c r="Q281" s="810" t="s">
        <v>5490</v>
      </c>
      <c r="R281" s="810" t="s">
        <v>5844</v>
      </c>
    </row>
    <row r="282" spans="1:18">
      <c r="A282" t="str">
        <f t="shared" si="15"/>
        <v>MIX 3 - Sheet rolling + extrusion + castingBasic Steel Products</v>
      </c>
      <c r="B282" t="str">
        <f t="shared" si="16"/>
        <v>MIX 3 - Sheet rolling + extrusion + casting</v>
      </c>
      <c r="C282" t="s">
        <v>515</v>
      </c>
      <c r="D282" s="1066"/>
      <c r="E282" s="1077" t="s">
        <v>5742</v>
      </c>
      <c r="F282" s="1077"/>
      <c r="G282" s="1077"/>
      <c r="H282" s="1077"/>
      <c r="I282" s="1077"/>
      <c r="J282" s="1077"/>
      <c r="K282" s="818" t="s">
        <v>5743</v>
      </c>
      <c r="L282" s="818" t="s">
        <v>94</v>
      </c>
      <c r="M282" s="1078" t="s">
        <v>5741</v>
      </c>
      <c r="N282" s="1077"/>
      <c r="O282" s="815">
        <f>'FE - ACV Aluminum'!DQ41</f>
        <v>0.13500000000000001</v>
      </c>
      <c r="P282" s="817" t="s">
        <v>94</v>
      </c>
      <c r="Q282" s="835" t="s">
        <v>5490</v>
      </c>
      <c r="R282" s="835" t="s">
        <v>5844</v>
      </c>
    </row>
    <row r="283" spans="1:18">
      <c r="A283" t="str">
        <f t="shared" si="15"/>
        <v>MIX 3 - Sheet rolling + extrusion + castingBasic Steel Products</v>
      </c>
      <c r="B283" t="str">
        <f t="shared" si="16"/>
        <v>MIX 3 - Sheet rolling + extrusion + casting</v>
      </c>
      <c r="C283" t="s">
        <v>515</v>
      </c>
      <c r="D283" s="1066"/>
      <c r="E283" s="1077" t="s">
        <v>5724</v>
      </c>
      <c r="F283" s="1077"/>
      <c r="G283" s="1077"/>
      <c r="H283" s="1077"/>
      <c r="I283" s="1077"/>
      <c r="J283" s="1077"/>
      <c r="K283" s="818">
        <v>0.6</v>
      </c>
      <c r="L283" s="818" t="s">
        <v>94</v>
      </c>
      <c r="M283" s="1078" t="s">
        <v>5744</v>
      </c>
      <c r="N283" s="1077"/>
      <c r="O283" s="1019">
        <f>'FE - ACV Aluminum'!DQ42</f>
        <v>0.6</v>
      </c>
      <c r="P283" s="817" t="s">
        <v>94</v>
      </c>
      <c r="Q283" s="835" t="s">
        <v>5490</v>
      </c>
      <c r="R283" s="835" t="s">
        <v>5844</v>
      </c>
    </row>
    <row r="284" spans="1:18">
      <c r="A284" t="str">
        <f t="shared" si="15"/>
        <v>MIX 3 - Sheet rolling + extrusion + casting</v>
      </c>
      <c r="B284" t="str">
        <f t="shared" si="16"/>
        <v>MIX 3 - Sheet rolling + extrusion + casting</v>
      </c>
      <c r="D284" s="1067"/>
      <c r="E284" s="1061" t="s">
        <v>5745</v>
      </c>
      <c r="F284" s="1061"/>
      <c r="G284" s="1061"/>
      <c r="H284" s="1061"/>
      <c r="I284" s="1061"/>
      <c r="J284" s="1061"/>
      <c r="K284" s="821">
        <v>0.4</v>
      </c>
      <c r="L284" s="821" t="s">
        <v>94</v>
      </c>
      <c r="M284" s="1062" t="s">
        <v>5746</v>
      </c>
      <c r="N284" s="1061"/>
      <c r="O284" s="1018">
        <f>1-'FE - ACV Aluminum'!DQ42</f>
        <v>0.4</v>
      </c>
      <c r="P284" s="820" t="s">
        <v>94</v>
      </c>
      <c r="Q284" s="835" t="s">
        <v>5490</v>
      </c>
      <c r="R284" s="835" t="s">
        <v>5844</v>
      </c>
    </row>
  </sheetData>
  <mergeCells count="553">
    <mergeCell ref="D266:D272"/>
    <mergeCell ref="E245:J245"/>
    <mergeCell ref="M245:N245"/>
    <mergeCell ref="E246:J246"/>
    <mergeCell ref="M246:N246"/>
    <mergeCell ref="E247:J247"/>
    <mergeCell ref="M247:N247"/>
    <mergeCell ref="E248:J248"/>
    <mergeCell ref="M248:N248"/>
    <mergeCell ref="M253:N253"/>
    <mergeCell ref="E254:J254"/>
    <mergeCell ref="M254:N254"/>
    <mergeCell ref="E255:J255"/>
    <mergeCell ref="M255:N255"/>
    <mergeCell ref="E256:J256"/>
    <mergeCell ref="M256:N256"/>
    <mergeCell ref="E257:J257"/>
    <mergeCell ref="M257:N257"/>
    <mergeCell ref="D249:D253"/>
    <mergeCell ref="E249:J249"/>
    <mergeCell ref="M249:N249"/>
    <mergeCell ref="E250:J250"/>
    <mergeCell ref="M250:N250"/>
    <mergeCell ref="E251:J251"/>
    <mergeCell ref="E32:J32"/>
    <mergeCell ref="M32:N32"/>
    <mergeCell ref="E33:J33"/>
    <mergeCell ref="M33:N33"/>
    <mergeCell ref="D37:D44"/>
    <mergeCell ref="D245:D248"/>
    <mergeCell ref="E259:J259"/>
    <mergeCell ref="D254:D260"/>
    <mergeCell ref="E92:J92"/>
    <mergeCell ref="E93:J93"/>
    <mergeCell ref="E62:J62"/>
    <mergeCell ref="M62:N62"/>
    <mergeCell ref="E94:J94"/>
    <mergeCell ref="M94:N94"/>
    <mergeCell ref="E95:J95"/>
    <mergeCell ref="M95:N95"/>
    <mergeCell ref="D83:D95"/>
    <mergeCell ref="E214:J214"/>
    <mergeCell ref="M214:N214"/>
    <mergeCell ref="E241:J241"/>
    <mergeCell ref="M241:N241"/>
    <mergeCell ref="E38:J38"/>
    <mergeCell ref="M38:N38"/>
    <mergeCell ref="E39:J39"/>
    <mergeCell ref="E29:J29"/>
    <mergeCell ref="M29:N29"/>
    <mergeCell ref="E30:J30"/>
    <mergeCell ref="M30:N30"/>
    <mergeCell ref="E211:J211"/>
    <mergeCell ref="M59:N59"/>
    <mergeCell ref="M6:N6"/>
    <mergeCell ref="E7:J7"/>
    <mergeCell ref="M7:N7"/>
    <mergeCell ref="E50:J50"/>
    <mergeCell ref="M50:N50"/>
    <mergeCell ref="E51:J51"/>
    <mergeCell ref="E8:J8"/>
    <mergeCell ref="M8:N8"/>
    <mergeCell ref="E9:J9"/>
    <mergeCell ref="M9:N9"/>
    <mergeCell ref="E109:J109"/>
    <mergeCell ref="M109:N109"/>
    <mergeCell ref="E110:J110"/>
    <mergeCell ref="M110:N110"/>
    <mergeCell ref="E108:J108"/>
    <mergeCell ref="M108:N108"/>
    <mergeCell ref="E37:J37"/>
    <mergeCell ref="M37:N37"/>
    <mergeCell ref="M39:N39"/>
    <mergeCell ref="E40:J40"/>
    <mergeCell ref="M40:N40"/>
    <mergeCell ref="E34:J34"/>
    <mergeCell ref="E103:J103"/>
    <mergeCell ref="M103:N103"/>
    <mergeCell ref="M34:N34"/>
    <mergeCell ref="E35:J35"/>
    <mergeCell ref="M35:N35"/>
    <mergeCell ref="E36:J36"/>
    <mergeCell ref="M36:N36"/>
    <mergeCell ref="M46:N46"/>
    <mergeCell ref="E47:J47"/>
    <mergeCell ref="M47:N47"/>
    <mergeCell ref="E48:J48"/>
    <mergeCell ref="M48:N48"/>
    <mergeCell ref="E49:J49"/>
    <mergeCell ref="M49:N49"/>
    <mergeCell ref="E41:J41"/>
    <mergeCell ref="M41:N41"/>
    <mergeCell ref="E42:J42"/>
    <mergeCell ref="M42:N42"/>
    <mergeCell ref="E43:J43"/>
    <mergeCell ref="M43:N43"/>
    <mergeCell ref="E104:J104"/>
    <mergeCell ref="M104:N104"/>
    <mergeCell ref="E105:J105"/>
    <mergeCell ref="M105:N105"/>
    <mergeCell ref="E106:J106"/>
    <mergeCell ref="M106:N106"/>
    <mergeCell ref="E107:J107"/>
    <mergeCell ref="M107:N107"/>
    <mergeCell ref="M144:N144"/>
    <mergeCell ref="E117:J117"/>
    <mergeCell ref="M117:N117"/>
    <mergeCell ref="E118:J118"/>
    <mergeCell ref="M118:N118"/>
    <mergeCell ref="E119:J119"/>
    <mergeCell ref="M119:N119"/>
    <mergeCell ref="E111:J111"/>
    <mergeCell ref="M111:N111"/>
    <mergeCell ref="E112:J112"/>
    <mergeCell ref="M112:N112"/>
    <mergeCell ref="E113:J113"/>
    <mergeCell ref="M113:N113"/>
    <mergeCell ref="E115:J115"/>
    <mergeCell ref="M115:N115"/>
    <mergeCell ref="E116:J116"/>
    <mergeCell ref="E145:J145"/>
    <mergeCell ref="M145:N145"/>
    <mergeCell ref="E139:J139"/>
    <mergeCell ref="M139:N139"/>
    <mergeCell ref="E134:J134"/>
    <mergeCell ref="M134:N134"/>
    <mergeCell ref="E135:J135"/>
    <mergeCell ref="M135:N135"/>
    <mergeCell ref="E140:J140"/>
    <mergeCell ref="M140:N140"/>
    <mergeCell ref="E141:J141"/>
    <mergeCell ref="M141:N141"/>
    <mergeCell ref="E142:J142"/>
    <mergeCell ref="M142:N142"/>
    <mergeCell ref="E136:J136"/>
    <mergeCell ref="M136:N136"/>
    <mergeCell ref="E137:J137"/>
    <mergeCell ref="M137:N137"/>
    <mergeCell ref="E138:J138"/>
    <mergeCell ref="M138:N138"/>
    <mergeCell ref="E157:J157"/>
    <mergeCell ref="M157:N157"/>
    <mergeCell ref="E158:J158"/>
    <mergeCell ref="M158:N158"/>
    <mergeCell ref="E156:J156"/>
    <mergeCell ref="M156:N156"/>
    <mergeCell ref="E151:J151"/>
    <mergeCell ref="M151:N151"/>
    <mergeCell ref="E152:J152"/>
    <mergeCell ref="M152:N152"/>
    <mergeCell ref="E153:J153"/>
    <mergeCell ref="M153:N153"/>
    <mergeCell ref="E154:J154"/>
    <mergeCell ref="M154:N154"/>
    <mergeCell ref="E155:J155"/>
    <mergeCell ref="M155:N155"/>
    <mergeCell ref="D143:D189"/>
    <mergeCell ref="E143:J143"/>
    <mergeCell ref="M143:N143"/>
    <mergeCell ref="E144:J144"/>
    <mergeCell ref="E182:J182"/>
    <mergeCell ref="M182:N182"/>
    <mergeCell ref="E183:J183"/>
    <mergeCell ref="M183:N183"/>
    <mergeCell ref="E181:J181"/>
    <mergeCell ref="M181:N181"/>
    <mergeCell ref="E175:J175"/>
    <mergeCell ref="M175:N175"/>
    <mergeCell ref="E177:J177"/>
    <mergeCell ref="M177:N177"/>
    <mergeCell ref="E174:J174"/>
    <mergeCell ref="M174:N174"/>
    <mergeCell ref="E169:J169"/>
    <mergeCell ref="M169:N169"/>
    <mergeCell ref="E170:J170"/>
    <mergeCell ref="M170:N170"/>
    <mergeCell ref="E168:J168"/>
    <mergeCell ref="M168:N168"/>
    <mergeCell ref="E163:J163"/>
    <mergeCell ref="M163:N163"/>
    <mergeCell ref="E202:J202"/>
    <mergeCell ref="M202:N202"/>
    <mergeCell ref="E203:J203"/>
    <mergeCell ref="M203:N203"/>
    <mergeCell ref="E201:J201"/>
    <mergeCell ref="M201:N201"/>
    <mergeCell ref="E196:J196"/>
    <mergeCell ref="M196:N196"/>
    <mergeCell ref="E197:J197"/>
    <mergeCell ref="M197:N197"/>
    <mergeCell ref="E198:J198"/>
    <mergeCell ref="M198:N198"/>
    <mergeCell ref="E199:J199"/>
    <mergeCell ref="M199:N199"/>
    <mergeCell ref="E200:J200"/>
    <mergeCell ref="M200:N200"/>
    <mergeCell ref="E2:N2"/>
    <mergeCell ref="D3:D36"/>
    <mergeCell ref="E3:J3"/>
    <mergeCell ref="M3:N3"/>
    <mergeCell ref="E4:J4"/>
    <mergeCell ref="M4:N4"/>
    <mergeCell ref="E5:J5"/>
    <mergeCell ref="M5:N5"/>
    <mergeCell ref="E6:J6"/>
    <mergeCell ref="E31:J31"/>
    <mergeCell ref="M31:N31"/>
    <mergeCell ref="E25:J25"/>
    <mergeCell ref="M25:N25"/>
    <mergeCell ref="E27:J27"/>
    <mergeCell ref="M27:N27"/>
    <mergeCell ref="E23:J23"/>
    <mergeCell ref="M23:N23"/>
    <mergeCell ref="E18:J18"/>
    <mergeCell ref="M18:N18"/>
    <mergeCell ref="E19:J19"/>
    <mergeCell ref="M19:N19"/>
    <mergeCell ref="E17:J17"/>
    <mergeCell ref="M17:N17"/>
    <mergeCell ref="E14:J14"/>
    <mergeCell ref="M10:N10"/>
    <mergeCell ref="E12:J12"/>
    <mergeCell ref="M12:N12"/>
    <mergeCell ref="E13:J13"/>
    <mergeCell ref="M13:N13"/>
    <mergeCell ref="E11:J11"/>
    <mergeCell ref="M11:N11"/>
    <mergeCell ref="E28:J28"/>
    <mergeCell ref="M28:N28"/>
    <mergeCell ref="E10:J10"/>
    <mergeCell ref="E20:J20"/>
    <mergeCell ref="M20:N20"/>
    <mergeCell ref="E21:J21"/>
    <mergeCell ref="M21:N21"/>
    <mergeCell ref="E22:J22"/>
    <mergeCell ref="M22:N22"/>
    <mergeCell ref="M14:N14"/>
    <mergeCell ref="E15:J15"/>
    <mergeCell ref="M15:N15"/>
    <mergeCell ref="E16:J16"/>
    <mergeCell ref="M16:N16"/>
    <mergeCell ref="E26:J26"/>
    <mergeCell ref="M26:N26"/>
    <mergeCell ref="E45:J45"/>
    <mergeCell ref="M45:N45"/>
    <mergeCell ref="E46:J46"/>
    <mergeCell ref="M51:N51"/>
    <mergeCell ref="E52:J52"/>
    <mergeCell ref="M52:N52"/>
    <mergeCell ref="E53:J53"/>
    <mergeCell ref="M53:N53"/>
    <mergeCell ref="E54:J54"/>
    <mergeCell ref="M54:N54"/>
    <mergeCell ref="E61:J61"/>
    <mergeCell ref="M61:N61"/>
    <mergeCell ref="E63:J63"/>
    <mergeCell ref="M63:N63"/>
    <mergeCell ref="E60:J60"/>
    <mergeCell ref="M60:N60"/>
    <mergeCell ref="E55:J55"/>
    <mergeCell ref="M55:N55"/>
    <mergeCell ref="E56:J56"/>
    <mergeCell ref="M56:N56"/>
    <mergeCell ref="E57:J57"/>
    <mergeCell ref="M57:N57"/>
    <mergeCell ref="E58:J58"/>
    <mergeCell ref="M58:N58"/>
    <mergeCell ref="E59:J59"/>
    <mergeCell ref="E71:J71"/>
    <mergeCell ref="M71:N71"/>
    <mergeCell ref="E72:J72"/>
    <mergeCell ref="M72:N72"/>
    <mergeCell ref="E64:J64"/>
    <mergeCell ref="M64:N64"/>
    <mergeCell ref="E65:J65"/>
    <mergeCell ref="M65:N65"/>
    <mergeCell ref="E66:J66"/>
    <mergeCell ref="M66:N66"/>
    <mergeCell ref="E68:J68"/>
    <mergeCell ref="M68:N68"/>
    <mergeCell ref="E69:J69"/>
    <mergeCell ref="M69:N69"/>
    <mergeCell ref="E67:J67"/>
    <mergeCell ref="M67:N67"/>
    <mergeCell ref="E70:J70"/>
    <mergeCell ref="M70:N70"/>
    <mergeCell ref="M79:N79"/>
    <mergeCell ref="E80:J80"/>
    <mergeCell ref="M80:N80"/>
    <mergeCell ref="E81:J81"/>
    <mergeCell ref="M81:N81"/>
    <mergeCell ref="E76:J76"/>
    <mergeCell ref="M76:N76"/>
    <mergeCell ref="E77:J77"/>
    <mergeCell ref="M77:N77"/>
    <mergeCell ref="E78:J78"/>
    <mergeCell ref="M78:N78"/>
    <mergeCell ref="E88:J88"/>
    <mergeCell ref="M88:N88"/>
    <mergeCell ref="E89:J89"/>
    <mergeCell ref="M89:N89"/>
    <mergeCell ref="M86:N86"/>
    <mergeCell ref="E87:J87"/>
    <mergeCell ref="M87:N87"/>
    <mergeCell ref="D45:D82"/>
    <mergeCell ref="E74:J74"/>
    <mergeCell ref="M74:N74"/>
    <mergeCell ref="E75:J75"/>
    <mergeCell ref="M75:N75"/>
    <mergeCell ref="E73:J73"/>
    <mergeCell ref="M73:N73"/>
    <mergeCell ref="E82:J82"/>
    <mergeCell ref="M82:N82"/>
    <mergeCell ref="E83:J83"/>
    <mergeCell ref="M83:N83"/>
    <mergeCell ref="E84:J84"/>
    <mergeCell ref="M84:N84"/>
    <mergeCell ref="E85:J85"/>
    <mergeCell ref="M85:N85"/>
    <mergeCell ref="E86:J86"/>
    <mergeCell ref="E79:J79"/>
    <mergeCell ref="E90:J90"/>
    <mergeCell ref="M90:N90"/>
    <mergeCell ref="E91:J91"/>
    <mergeCell ref="M91:N91"/>
    <mergeCell ref="D96:D142"/>
    <mergeCell ref="E96:J96"/>
    <mergeCell ref="M96:N96"/>
    <mergeCell ref="E97:J97"/>
    <mergeCell ref="M97:N97"/>
    <mergeCell ref="E98:J98"/>
    <mergeCell ref="E133:J133"/>
    <mergeCell ref="M133:N133"/>
    <mergeCell ref="E127:J127"/>
    <mergeCell ref="M127:N127"/>
    <mergeCell ref="E128:J128"/>
    <mergeCell ref="M128:N128"/>
    <mergeCell ref="E126:J126"/>
    <mergeCell ref="M126:N126"/>
    <mergeCell ref="E121:J121"/>
    <mergeCell ref="M121:N121"/>
    <mergeCell ref="E122:J122"/>
    <mergeCell ref="M122:N122"/>
    <mergeCell ref="E120:J120"/>
    <mergeCell ref="M120:N120"/>
    <mergeCell ref="M98:N98"/>
    <mergeCell ref="E99:J99"/>
    <mergeCell ref="M99:N99"/>
    <mergeCell ref="E100:J100"/>
    <mergeCell ref="M100:N100"/>
    <mergeCell ref="E101:J101"/>
    <mergeCell ref="M101:N101"/>
    <mergeCell ref="E102:J102"/>
    <mergeCell ref="M102:N102"/>
    <mergeCell ref="M116:N116"/>
    <mergeCell ref="E114:J114"/>
    <mergeCell ref="M114:N114"/>
    <mergeCell ref="E130:J130"/>
    <mergeCell ref="M130:N130"/>
    <mergeCell ref="E131:J131"/>
    <mergeCell ref="M131:N131"/>
    <mergeCell ref="E132:J132"/>
    <mergeCell ref="M132:N132"/>
    <mergeCell ref="E123:J123"/>
    <mergeCell ref="M123:N123"/>
    <mergeCell ref="E124:J124"/>
    <mergeCell ref="M124:N124"/>
    <mergeCell ref="E125:J125"/>
    <mergeCell ref="M125:N125"/>
    <mergeCell ref="E146:J146"/>
    <mergeCell ref="M146:N146"/>
    <mergeCell ref="E147:J147"/>
    <mergeCell ref="M147:N147"/>
    <mergeCell ref="E148:J148"/>
    <mergeCell ref="M148:N148"/>
    <mergeCell ref="E149:J149"/>
    <mergeCell ref="M149:N149"/>
    <mergeCell ref="E150:J150"/>
    <mergeCell ref="M150:N150"/>
    <mergeCell ref="E165:J165"/>
    <mergeCell ref="M165:N165"/>
    <mergeCell ref="E166:J166"/>
    <mergeCell ref="M166:N166"/>
    <mergeCell ref="E167:J167"/>
    <mergeCell ref="M167:N167"/>
    <mergeCell ref="E159:J159"/>
    <mergeCell ref="M159:N159"/>
    <mergeCell ref="E160:J160"/>
    <mergeCell ref="M160:N160"/>
    <mergeCell ref="E161:J161"/>
    <mergeCell ref="M161:N161"/>
    <mergeCell ref="E164:J164"/>
    <mergeCell ref="M164:N164"/>
    <mergeCell ref="E162:J162"/>
    <mergeCell ref="M162:N162"/>
    <mergeCell ref="E178:J178"/>
    <mergeCell ref="M178:N178"/>
    <mergeCell ref="E179:J179"/>
    <mergeCell ref="M179:N179"/>
    <mergeCell ref="E180:J180"/>
    <mergeCell ref="M180:N180"/>
    <mergeCell ref="E171:J171"/>
    <mergeCell ref="M171:N171"/>
    <mergeCell ref="E172:J172"/>
    <mergeCell ref="M172:N172"/>
    <mergeCell ref="E173:J173"/>
    <mergeCell ref="M173:N173"/>
    <mergeCell ref="E187:J187"/>
    <mergeCell ref="M187:N187"/>
    <mergeCell ref="E188:J188"/>
    <mergeCell ref="M188:N188"/>
    <mergeCell ref="E189:J189"/>
    <mergeCell ref="M189:N189"/>
    <mergeCell ref="E184:J184"/>
    <mergeCell ref="M184:N184"/>
    <mergeCell ref="E185:J185"/>
    <mergeCell ref="M185:N185"/>
    <mergeCell ref="E186:J186"/>
    <mergeCell ref="M186:N186"/>
    <mergeCell ref="M191:N191"/>
    <mergeCell ref="E192:J192"/>
    <mergeCell ref="M192:N192"/>
    <mergeCell ref="E193:J193"/>
    <mergeCell ref="M193:N193"/>
    <mergeCell ref="E194:J194"/>
    <mergeCell ref="M194:N194"/>
    <mergeCell ref="E191:J191"/>
    <mergeCell ref="E195:J195"/>
    <mergeCell ref="M195:N195"/>
    <mergeCell ref="E210:J210"/>
    <mergeCell ref="M210:N210"/>
    <mergeCell ref="E213:J213"/>
    <mergeCell ref="M213:N213"/>
    <mergeCell ref="E215:J215"/>
    <mergeCell ref="M215:N215"/>
    <mergeCell ref="E204:J204"/>
    <mergeCell ref="M204:N204"/>
    <mergeCell ref="E205:J205"/>
    <mergeCell ref="M205:N205"/>
    <mergeCell ref="E206:J206"/>
    <mergeCell ref="M206:N206"/>
    <mergeCell ref="E208:J208"/>
    <mergeCell ref="M208:N208"/>
    <mergeCell ref="E209:J209"/>
    <mergeCell ref="M209:N209"/>
    <mergeCell ref="E207:J207"/>
    <mergeCell ref="M207:N207"/>
    <mergeCell ref="E223:J223"/>
    <mergeCell ref="M223:N223"/>
    <mergeCell ref="E224:J224"/>
    <mergeCell ref="E225:J225"/>
    <mergeCell ref="E226:J226"/>
    <mergeCell ref="E227:J227"/>
    <mergeCell ref="M227:N227"/>
    <mergeCell ref="E219:J219"/>
    <mergeCell ref="M219:N219"/>
    <mergeCell ref="E220:J220"/>
    <mergeCell ref="M220:N220"/>
    <mergeCell ref="E221:J221"/>
    <mergeCell ref="M221:N221"/>
    <mergeCell ref="E222:J222"/>
    <mergeCell ref="M222:N222"/>
    <mergeCell ref="E228:J228"/>
    <mergeCell ref="E229:J229"/>
    <mergeCell ref="E230:J230"/>
    <mergeCell ref="D231:D244"/>
    <mergeCell ref="E231:J231"/>
    <mergeCell ref="M231:N231"/>
    <mergeCell ref="E232:J232"/>
    <mergeCell ref="M232:N232"/>
    <mergeCell ref="E233:J233"/>
    <mergeCell ref="M233:N233"/>
    <mergeCell ref="E240:J240"/>
    <mergeCell ref="M240:N240"/>
    <mergeCell ref="E234:J234"/>
    <mergeCell ref="M234:N234"/>
    <mergeCell ref="E235:J235"/>
    <mergeCell ref="D190:D230"/>
    <mergeCell ref="E190:J190"/>
    <mergeCell ref="M190:N190"/>
    <mergeCell ref="E217:J217"/>
    <mergeCell ref="M217:N217"/>
    <mergeCell ref="E218:J218"/>
    <mergeCell ref="M218:N218"/>
    <mergeCell ref="E216:J216"/>
    <mergeCell ref="M216:N216"/>
    <mergeCell ref="E242:J242"/>
    <mergeCell ref="M242:N242"/>
    <mergeCell ref="E243:J243"/>
    <mergeCell ref="M243:N243"/>
    <mergeCell ref="E244:J244"/>
    <mergeCell ref="M244:N244"/>
    <mergeCell ref="M235:N235"/>
    <mergeCell ref="E236:J236"/>
    <mergeCell ref="M236:N236"/>
    <mergeCell ref="E237:J237"/>
    <mergeCell ref="M237:N237"/>
    <mergeCell ref="E238:J238"/>
    <mergeCell ref="M238:N238"/>
    <mergeCell ref="M251:N251"/>
    <mergeCell ref="E252:J252"/>
    <mergeCell ref="M252:N252"/>
    <mergeCell ref="E253:J253"/>
    <mergeCell ref="E258:J258"/>
    <mergeCell ref="M258:N258"/>
    <mergeCell ref="D261:D265"/>
    <mergeCell ref="E261:J261"/>
    <mergeCell ref="M261:N261"/>
    <mergeCell ref="E262:J262"/>
    <mergeCell ref="M262:N262"/>
    <mergeCell ref="E263:J263"/>
    <mergeCell ref="M263:N263"/>
    <mergeCell ref="E264:J264"/>
    <mergeCell ref="M264:N264"/>
    <mergeCell ref="E265:J265"/>
    <mergeCell ref="M265:N265"/>
    <mergeCell ref="E276:J276"/>
    <mergeCell ref="E283:J283"/>
    <mergeCell ref="M283:N283"/>
    <mergeCell ref="E266:J266"/>
    <mergeCell ref="M266:N266"/>
    <mergeCell ref="E267:J267"/>
    <mergeCell ref="M267:N267"/>
    <mergeCell ref="E268:J268"/>
    <mergeCell ref="M268:N268"/>
    <mergeCell ref="E269:J269"/>
    <mergeCell ref="E270:J270"/>
    <mergeCell ref="M270:N270"/>
    <mergeCell ref="E271:J271"/>
    <mergeCell ref="O2:R2"/>
    <mergeCell ref="E284:J284"/>
    <mergeCell ref="M284:N284"/>
    <mergeCell ref="M276:N276"/>
    <mergeCell ref="E277:J277"/>
    <mergeCell ref="M277:N277"/>
    <mergeCell ref="D278:D284"/>
    <mergeCell ref="E278:J278"/>
    <mergeCell ref="M278:N278"/>
    <mergeCell ref="E279:J279"/>
    <mergeCell ref="M279:N279"/>
    <mergeCell ref="E280:J280"/>
    <mergeCell ref="M280:N280"/>
    <mergeCell ref="E281:J281"/>
    <mergeCell ref="M281:N281"/>
    <mergeCell ref="E282:J282"/>
    <mergeCell ref="M282:N282"/>
    <mergeCell ref="D273:D277"/>
    <mergeCell ref="E273:J273"/>
    <mergeCell ref="M273:N273"/>
    <mergeCell ref="E274:J274"/>
    <mergeCell ref="M274:N274"/>
    <mergeCell ref="E275:J275"/>
    <mergeCell ref="M275:N275"/>
  </mergeCells>
  <phoneticPr fontId="29" type="noConversion"/>
  <hyperlinks>
    <hyperlink ref="M262:N262" r:id="rId1" display="https://v391.ecoquery.ecoinvent.org/Details/PDF/946ecb91-72e1-412b-933a-ca21c5ca69e4/290c1f85-4cc4-4fa1-b0c8-2cb7f4276dce" xr:uid="{5F82803C-84B0-4EF0-8A55-ABA217D8A9B9}"/>
  </hyperlinks>
  <pageMargins left="0.511811024" right="0.511811024" top="0.78740157499999996" bottom="0.78740157499999996" header="0.31496062000000002" footer="0.31496062000000002"/>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C4114-1FD0-4724-9EC5-D80B55103DD0}">
  <sheetPr>
    <tabColor theme="9"/>
  </sheetPr>
  <dimension ref="A1:Z439"/>
  <sheetViews>
    <sheetView topLeftCell="A380" workbookViewId="0">
      <selection activeCell="J398" sqref="J398"/>
    </sheetView>
  </sheetViews>
  <sheetFormatPr defaultRowHeight="14.4"/>
  <cols>
    <col min="1" max="1" width="9.33203125" bestFit="1" customWidth="1"/>
    <col min="2" max="2" width="11.5546875" bestFit="1" customWidth="1"/>
    <col min="3" max="3" width="17.5546875" bestFit="1" customWidth="1"/>
    <col min="4" max="4" width="29.5546875" customWidth="1"/>
    <col min="5" max="5" width="11.88671875" customWidth="1"/>
    <col min="6" max="6" width="9.33203125" bestFit="1" customWidth="1"/>
  </cols>
  <sheetData>
    <row r="1" spans="1:16" ht="18">
      <c r="D1" s="1148" t="s">
        <v>5764</v>
      </c>
      <c r="E1" s="1148"/>
      <c r="F1" s="1148"/>
      <c r="G1" s="1148"/>
      <c r="H1" s="1148"/>
      <c r="I1" s="1148"/>
      <c r="J1" s="1148"/>
    </row>
    <row r="2" spans="1:16">
      <c r="D2" s="859" t="s">
        <v>5747</v>
      </c>
      <c r="E2" s="860" t="s">
        <v>5604</v>
      </c>
      <c r="F2" s="860"/>
      <c r="G2" s="861"/>
    </row>
    <row r="3" spans="1:16">
      <c r="D3" t="s">
        <v>5765</v>
      </c>
      <c r="E3" t="s">
        <v>5766</v>
      </c>
    </row>
    <row r="4" spans="1:16">
      <c r="D4" t="s">
        <v>5767</v>
      </c>
      <c r="E4" t="s">
        <v>5768</v>
      </c>
    </row>
    <row r="5" spans="1:16">
      <c r="D5" t="s">
        <v>5769</v>
      </c>
      <c r="E5" t="s">
        <v>5770</v>
      </c>
    </row>
    <row r="6" spans="1:16">
      <c r="D6" t="s">
        <v>5771</v>
      </c>
      <c r="E6" t="s">
        <v>5772</v>
      </c>
    </row>
    <row r="7" spans="1:16">
      <c r="D7" t="s">
        <v>5773</v>
      </c>
      <c r="E7" t="s">
        <v>5774</v>
      </c>
    </row>
    <row r="8" spans="1:16">
      <c r="D8" t="s">
        <v>5775</v>
      </c>
      <c r="E8" t="s">
        <v>5776</v>
      </c>
    </row>
    <row r="9" spans="1:16">
      <c r="D9" t="s">
        <v>5777</v>
      </c>
      <c r="E9" t="s">
        <v>5778</v>
      </c>
    </row>
    <row r="10" spans="1:16">
      <c r="D10" t="s">
        <v>5779</v>
      </c>
      <c r="E10" t="s">
        <v>5778</v>
      </c>
    </row>
    <row r="11" spans="1:16">
      <c r="D11" t="s">
        <v>5780</v>
      </c>
      <c r="E11" t="s">
        <v>5781</v>
      </c>
    </row>
    <row r="12" spans="1:16">
      <c r="D12" t="s">
        <v>5782</v>
      </c>
      <c r="E12" t="s">
        <v>5783</v>
      </c>
    </row>
    <row r="13" spans="1:16" ht="15.6">
      <c r="A13" s="951" t="s">
        <v>5868</v>
      </c>
      <c r="B13" s="951" t="s">
        <v>5490</v>
      </c>
      <c r="C13" s="951" t="s">
        <v>5864</v>
      </c>
    </row>
    <row r="14" spans="1:16" ht="15.6">
      <c r="A14" s="850">
        <f>(C14-B14)/C14</f>
        <v>-26.728283227399757</v>
      </c>
      <c r="B14" s="945">
        <f>'FE - Aluminum'!DL11/1000</f>
        <v>0.23705589025000001</v>
      </c>
      <c r="C14" s="945">
        <f>SUM(K18:M18)</f>
        <v>8.5492451265699997E-3</v>
      </c>
      <c r="D14" t="s">
        <v>5781</v>
      </c>
      <c r="E14" t="s">
        <v>5607</v>
      </c>
      <c r="F14" s="862" t="s">
        <v>5784</v>
      </c>
      <c r="G14" t="s">
        <v>5609</v>
      </c>
      <c r="H14" s="956" t="s">
        <v>5619</v>
      </c>
      <c r="I14" s="956" t="s">
        <v>5620</v>
      </c>
      <c r="J14" s="956" t="s">
        <v>5622</v>
      </c>
      <c r="K14" t="s">
        <v>5624</v>
      </c>
      <c r="L14" t="s">
        <v>5626</v>
      </c>
      <c r="M14" t="s">
        <v>5627</v>
      </c>
      <c r="N14" s="956" t="s">
        <v>5635</v>
      </c>
      <c r="O14" s="956" t="s">
        <v>5636</v>
      </c>
      <c r="P14" s="956" t="s">
        <v>5637</v>
      </c>
    </row>
    <row r="15" spans="1:16" ht="15.6">
      <c r="A15" s="951" t="s">
        <v>5868</v>
      </c>
      <c r="B15" s="951" t="s">
        <v>5490</v>
      </c>
      <c r="C15" s="951" t="s">
        <v>5875</v>
      </c>
      <c r="D15" s="860" t="s">
        <v>5749</v>
      </c>
      <c r="E15" t="s">
        <v>5750</v>
      </c>
      <c r="F15" s="502">
        <v>1.2072772000000001E-2</v>
      </c>
      <c r="G15">
        <v>0</v>
      </c>
      <c r="H15">
        <v>8.7679960000000003E-4</v>
      </c>
      <c r="I15">
        <v>2.1369218000000001E-4</v>
      </c>
      <c r="J15">
        <v>2.5087816000000001E-3</v>
      </c>
      <c r="K15">
        <v>1.3317029000000001E-4</v>
      </c>
      <c r="L15">
        <v>1.9265803999999999E-3</v>
      </c>
      <c r="M15">
        <v>6.4131446000000002E-3</v>
      </c>
      <c r="N15" s="425">
        <v>5.9853209E-10</v>
      </c>
      <c r="O15" s="425">
        <v>1.5172326999999999E-7</v>
      </c>
      <c r="P15" s="425">
        <v>4.5083766000000001E-7</v>
      </c>
    </row>
    <row r="16" spans="1:16" ht="15.6">
      <c r="A16" s="850">
        <f>(C16-B16)/C16</f>
        <v>-26.724353231071778</v>
      </c>
      <c r="B16" s="945">
        <f>'FE - Aluminum'!DL11/1000</f>
        <v>0.23705589025000001</v>
      </c>
      <c r="C16" s="945">
        <f>F18-SUM(H18:J18)+SUM(N18:P18)</f>
        <v>8.5504570034233337E-3</v>
      </c>
      <c r="D16" s="860" t="s">
        <v>5751</v>
      </c>
      <c r="E16" t="s">
        <v>5750</v>
      </c>
      <c r="F16" s="863">
        <v>4.8212735999999998E-5</v>
      </c>
      <c r="G16">
        <v>0</v>
      </c>
      <c r="H16" s="425">
        <v>1.7501424000000001E-6</v>
      </c>
      <c r="I16" s="425">
        <v>2.6085531E-6</v>
      </c>
      <c r="J16" s="425">
        <v>3.1598959000000001E-7</v>
      </c>
      <c r="K16" s="425">
        <v>4.2819023999999997E-5</v>
      </c>
      <c r="L16" s="425">
        <v>1.6165960000000001E-7</v>
      </c>
      <c r="M16" s="425">
        <v>5.5568493E-7</v>
      </c>
      <c r="N16" s="425">
        <v>1.9811115000000001E-13</v>
      </c>
      <c r="O16" s="425">
        <v>2.6324985999999999E-10</v>
      </c>
      <c r="P16" s="425">
        <v>1.4192746E-9</v>
      </c>
    </row>
    <row r="17" spans="1:16">
      <c r="A17" s="954" t="s">
        <v>5868</v>
      </c>
      <c r="B17" s="954" t="s">
        <v>5490</v>
      </c>
      <c r="C17" s="954" t="s">
        <v>127</v>
      </c>
      <c r="D17" s="860" t="s">
        <v>5752</v>
      </c>
      <c r="E17" t="s">
        <v>5750</v>
      </c>
      <c r="F17" s="863">
        <v>3.4377785E-5</v>
      </c>
      <c r="G17">
        <v>0</v>
      </c>
      <c r="H17" s="425">
        <v>1.0237146000000001E-6</v>
      </c>
      <c r="I17" s="425">
        <v>2.5724756999999998E-7</v>
      </c>
      <c r="J17" s="425">
        <v>2.8234369000000002E-7</v>
      </c>
      <c r="K17" s="425">
        <v>3.2073300999999999E-5</v>
      </c>
      <c r="L17" s="425">
        <v>1.7001498000000001E-7</v>
      </c>
      <c r="M17" s="425">
        <v>5.7015206000000001E-7</v>
      </c>
      <c r="N17" s="425">
        <v>3.0112405999999998E-13</v>
      </c>
      <c r="O17" s="425">
        <v>1.0451977999999999E-10</v>
      </c>
      <c r="P17" s="425">
        <v>9.0636777000000004E-10</v>
      </c>
    </row>
    <row r="18" spans="1:16" ht="15.6">
      <c r="A18" s="850">
        <f>(C18-B18)/C18</f>
        <v>-18.502165389181489</v>
      </c>
      <c r="B18" s="945">
        <f>'FE - Aluminum'!DL11/1000</f>
        <v>0.23705589025000001</v>
      </c>
      <c r="C18" s="945">
        <f>F18</f>
        <v>1.2155362521E-2</v>
      </c>
      <c r="D18" s="860" t="s">
        <v>5753</v>
      </c>
      <c r="E18" t="s">
        <v>5750</v>
      </c>
      <c r="F18" s="502">
        <f>SUM(F15:F17)</f>
        <v>1.2155362521E-2</v>
      </c>
      <c r="G18">
        <f t="shared" ref="G18:P18" si="0">SUM(G15:G17)</f>
        <v>0</v>
      </c>
      <c r="H18">
        <f t="shared" si="0"/>
        <v>8.7957345700000005E-4</v>
      </c>
      <c r="I18">
        <f t="shared" si="0"/>
        <v>2.1655798066999999E-4</v>
      </c>
      <c r="J18">
        <f t="shared" si="0"/>
        <v>2.5093799332800001E-3</v>
      </c>
      <c r="K18">
        <f t="shared" si="0"/>
        <v>2.08062615E-4</v>
      </c>
      <c r="L18">
        <f t="shared" si="0"/>
        <v>1.92691207458E-3</v>
      </c>
      <c r="M18">
        <f t="shared" si="0"/>
        <v>6.4142704369900003E-3</v>
      </c>
      <c r="N18">
        <f t="shared" si="0"/>
        <v>5.9903132520999992E-10</v>
      </c>
      <c r="O18">
        <f t="shared" si="0"/>
        <v>1.5209103963999998E-7</v>
      </c>
      <c r="P18">
        <f t="shared" si="0"/>
        <v>4.5316330237000001E-7</v>
      </c>
    </row>
    <row r="21" spans="1:16">
      <c r="D21" s="859" t="s">
        <v>5747</v>
      </c>
      <c r="E21" s="859" t="s">
        <v>5638</v>
      </c>
      <c r="F21" s="859"/>
    </row>
    <row r="22" spans="1:16">
      <c r="D22" t="s">
        <v>5765</v>
      </c>
      <c r="E22" t="s">
        <v>5766</v>
      </c>
    </row>
    <row r="23" spans="1:16">
      <c r="D23" t="s">
        <v>5767</v>
      </c>
      <c r="E23" t="s">
        <v>5768</v>
      </c>
    </row>
    <row r="24" spans="1:16">
      <c r="D24" t="s">
        <v>5769</v>
      </c>
      <c r="E24" t="s">
        <v>5785</v>
      </c>
    </row>
    <row r="25" spans="1:16">
      <c r="D25" t="s">
        <v>5771</v>
      </c>
      <c r="E25" t="s">
        <v>5772</v>
      </c>
    </row>
    <row r="26" spans="1:16">
      <c r="D26" t="s">
        <v>5773</v>
      </c>
      <c r="E26" t="s">
        <v>5774</v>
      </c>
    </row>
    <row r="27" spans="1:16">
      <c r="D27" t="s">
        <v>5775</v>
      </c>
      <c r="E27" t="s">
        <v>5776</v>
      </c>
    </row>
    <row r="28" spans="1:16">
      <c r="D28" t="s">
        <v>5777</v>
      </c>
      <c r="E28" t="s">
        <v>5778</v>
      </c>
    </row>
    <row r="29" spans="1:16">
      <c r="D29" t="s">
        <v>5779</v>
      </c>
      <c r="E29" t="s">
        <v>5778</v>
      </c>
    </row>
    <row r="30" spans="1:16">
      <c r="D30" t="s">
        <v>5780</v>
      </c>
      <c r="E30" t="s">
        <v>5781</v>
      </c>
    </row>
    <row r="31" spans="1:16">
      <c r="D31" t="s">
        <v>5782</v>
      </c>
      <c r="E31" t="s">
        <v>5783</v>
      </c>
    </row>
    <row r="33" spans="1:11">
      <c r="D33" t="s">
        <v>5781</v>
      </c>
      <c r="E33" t="s">
        <v>5607</v>
      </c>
      <c r="F33" s="860" t="s">
        <v>5784</v>
      </c>
      <c r="G33" t="s">
        <v>5639</v>
      </c>
      <c r="H33" t="s">
        <v>5609</v>
      </c>
      <c r="I33" t="s">
        <v>5641</v>
      </c>
      <c r="J33" t="s">
        <v>5644</v>
      </c>
      <c r="K33" t="s">
        <v>5645</v>
      </c>
    </row>
    <row r="34" spans="1:11" ht="15.6">
      <c r="A34" s="951" t="s">
        <v>5868</v>
      </c>
      <c r="B34" s="951" t="s">
        <v>5490</v>
      </c>
      <c r="C34" s="951" t="s">
        <v>5866</v>
      </c>
      <c r="D34" s="860" t="s">
        <v>5749</v>
      </c>
      <c r="E34" t="s">
        <v>5750</v>
      </c>
      <c r="F34" s="502">
        <v>0.23144131000000001</v>
      </c>
      <c r="G34">
        <v>0</v>
      </c>
      <c r="H34">
        <v>1.2072772000000001E-2</v>
      </c>
      <c r="I34">
        <v>5.1574007999999998E-2</v>
      </c>
      <c r="J34">
        <v>0.13948967000000001</v>
      </c>
      <c r="K34">
        <v>2.8304850999999999E-2</v>
      </c>
    </row>
    <row r="35" spans="1:11" ht="15.6">
      <c r="A35" s="952">
        <f>(C35-B35)/C35</f>
        <v>1</v>
      </c>
      <c r="B35" s="945">
        <f>SUMPRODUCT('FE - Aluminum'!BO11:BQ11,'FE - Aluminum'!BO5:BQ5)*'FE - Aluminum'!BH11</f>
        <v>0</v>
      </c>
      <c r="C35" s="945">
        <f>SUM(I37:K37)</f>
        <v>0.22490051874510003</v>
      </c>
      <c r="D35" s="860" t="s">
        <v>5751</v>
      </c>
      <c r="E35" t="s">
        <v>5750</v>
      </c>
      <c r="F35" s="502">
        <v>1.5837324999999999E-4</v>
      </c>
      <c r="G35">
        <v>0</v>
      </c>
      <c r="H35" s="425">
        <v>4.8212735999999998E-5</v>
      </c>
      <c r="I35" s="425">
        <v>3.1501153000000001E-5</v>
      </c>
      <c r="J35" s="425">
        <v>7.2694802999999995E-5</v>
      </c>
      <c r="K35" s="425">
        <v>5.9645611000000004E-6</v>
      </c>
    </row>
    <row r="36" spans="1:11" ht="15.6">
      <c r="A36" s="951" t="s">
        <v>5865</v>
      </c>
      <c r="B36" s="951" t="s">
        <v>5490</v>
      </c>
      <c r="C36" s="951" t="s">
        <v>127</v>
      </c>
      <c r="D36" s="860" t="s">
        <v>5752</v>
      </c>
      <c r="E36" t="s">
        <v>5750</v>
      </c>
      <c r="F36" s="502">
        <v>5.4562070000000002E-3</v>
      </c>
      <c r="G36">
        <v>0</v>
      </c>
      <c r="H36" s="425">
        <v>3.4377785E-5</v>
      </c>
      <c r="I36" s="425">
        <v>5.1643732999999998E-5</v>
      </c>
      <c r="J36">
        <v>5.3432330000000002E-3</v>
      </c>
      <c r="K36" s="425">
        <v>2.6952495E-5</v>
      </c>
    </row>
    <row r="37" spans="1:11" ht="15.6">
      <c r="A37" s="952">
        <f>(C37-B37)/C37</f>
        <v>0</v>
      </c>
      <c r="B37" s="945">
        <f>B18+B35</f>
        <v>0.23705589025000001</v>
      </c>
      <c r="C37" s="945">
        <f>F37</f>
        <v>0.23705589025000001</v>
      </c>
      <c r="D37" s="860" t="s">
        <v>5753</v>
      </c>
      <c r="E37" t="s">
        <v>5750</v>
      </c>
      <c r="F37" s="502">
        <f>SUM(F34:F36)</f>
        <v>0.23705589025000001</v>
      </c>
      <c r="G37">
        <f t="shared" ref="G37:K37" si="1">SUM(G34:G36)</f>
        <v>0</v>
      </c>
      <c r="H37">
        <f t="shared" si="1"/>
        <v>1.2155362521E-2</v>
      </c>
      <c r="I37">
        <f t="shared" si="1"/>
        <v>5.1657152885999993E-2</v>
      </c>
      <c r="J37">
        <f t="shared" si="1"/>
        <v>0.14490559780300002</v>
      </c>
      <c r="K37">
        <f t="shared" si="1"/>
        <v>2.8337768056099999E-2</v>
      </c>
    </row>
    <row r="40" spans="1:11">
      <c r="D40" s="859" t="s">
        <v>5786</v>
      </c>
      <c r="E40" s="859" t="s">
        <v>5646</v>
      </c>
      <c r="F40" s="859"/>
    </row>
    <row r="41" spans="1:11">
      <c r="D41" t="s">
        <v>5765</v>
      </c>
      <c r="E41" t="s">
        <v>5766</v>
      </c>
    </row>
    <row r="42" spans="1:11">
      <c r="D42" t="s">
        <v>5767</v>
      </c>
      <c r="E42" t="s">
        <v>5768</v>
      </c>
    </row>
    <row r="43" spans="1:11">
      <c r="D43" t="s">
        <v>5769</v>
      </c>
      <c r="E43" t="s">
        <v>5787</v>
      </c>
    </row>
    <row r="44" spans="1:11">
      <c r="D44" t="s">
        <v>5771</v>
      </c>
      <c r="E44" t="s">
        <v>5772</v>
      </c>
    </row>
    <row r="45" spans="1:11">
      <c r="D45" t="s">
        <v>5773</v>
      </c>
      <c r="E45" t="s">
        <v>5774</v>
      </c>
    </row>
    <row r="46" spans="1:11" ht="15.6">
      <c r="B46" s="945"/>
      <c r="D46" t="s">
        <v>5775</v>
      </c>
      <c r="E46" t="s">
        <v>5776</v>
      </c>
    </row>
    <row r="47" spans="1:11" ht="15.6">
      <c r="A47" s="951" t="s">
        <v>5868</v>
      </c>
      <c r="B47" s="951" t="s">
        <v>5490</v>
      </c>
      <c r="C47" s="951" t="s">
        <v>5864</v>
      </c>
      <c r="D47" t="s">
        <v>5777</v>
      </c>
      <c r="E47" t="s">
        <v>5778</v>
      </c>
    </row>
    <row r="48" spans="1:11" ht="15.6">
      <c r="A48" s="952">
        <f>(C48-B48)/C48</f>
        <v>-2.6468536716506553E-2</v>
      </c>
      <c r="B48" s="945">
        <f>SUM('FE - Aluminum'!BJ21:BJ23)/'FE - Aluminum'!BH23/1000</f>
        <v>0.3688550529318691</v>
      </c>
      <c r="C48" s="945">
        <f>SUM(L56:P56)</f>
        <v>0.35934374969911104</v>
      </c>
      <c r="D48" t="s">
        <v>5779</v>
      </c>
      <c r="E48" t="s">
        <v>5778</v>
      </c>
    </row>
    <row r="49" spans="1:18" ht="15.6">
      <c r="A49" s="951" t="s">
        <v>5868</v>
      </c>
      <c r="B49" s="945" t="s">
        <v>5490</v>
      </c>
      <c r="C49" s="945" t="s">
        <v>6</v>
      </c>
      <c r="D49" t="s">
        <v>5780</v>
      </c>
      <c r="E49" t="s">
        <v>5781</v>
      </c>
    </row>
    <row r="50" spans="1:18" ht="15.6">
      <c r="A50" s="952">
        <f>(C50-B50)/C50</f>
        <v>2.5085657666938986E-5</v>
      </c>
      <c r="B50" s="945">
        <f>B37*'LCI - Comparação'!I6</f>
        <v>0.37098315155019806</v>
      </c>
      <c r="C50" s="945">
        <f>I56</f>
        <v>0.37099245813999998</v>
      </c>
      <c r="D50" t="s">
        <v>5782</v>
      </c>
      <c r="E50" t="s">
        <v>5783</v>
      </c>
    </row>
    <row r="51" spans="1:18">
      <c r="A51" s="954" t="s">
        <v>5868</v>
      </c>
      <c r="B51" s="955" t="s">
        <v>5490</v>
      </c>
      <c r="C51" s="955" t="s">
        <v>5867</v>
      </c>
    </row>
    <row r="52" spans="1:18" ht="15.6">
      <c r="A52" s="952">
        <f>(C52-B52)/C52</f>
        <v>-4.4034166852339688E-3</v>
      </c>
      <c r="B52" s="945">
        <f>'FE - Aluminum'!BJ15/'FE - Aluminum'!BH23/1000</f>
        <v>8.9850539733308699E-2</v>
      </c>
      <c r="C52" s="945">
        <f>SUM(J56:K56)</f>
        <v>8.9456624938450011E-2</v>
      </c>
      <c r="D52" t="s">
        <v>5781</v>
      </c>
      <c r="E52" t="s">
        <v>5607</v>
      </c>
      <c r="F52" s="860" t="s">
        <v>5784</v>
      </c>
      <c r="G52" t="s">
        <v>5647</v>
      </c>
      <c r="H52" t="s">
        <v>5649</v>
      </c>
      <c r="I52" t="s">
        <v>5639</v>
      </c>
      <c r="J52" t="s">
        <v>5650</v>
      </c>
      <c r="K52" t="s">
        <v>5651</v>
      </c>
      <c r="L52" t="s">
        <v>5624</v>
      </c>
      <c r="M52" t="s">
        <v>5652</v>
      </c>
      <c r="N52" t="s">
        <v>5653</v>
      </c>
      <c r="O52" t="s">
        <v>5626</v>
      </c>
      <c r="P52" t="s">
        <v>5627</v>
      </c>
      <c r="Q52" t="s">
        <v>5658</v>
      </c>
      <c r="R52" t="s">
        <v>5659</v>
      </c>
    </row>
    <row r="53" spans="1:18" ht="15.6">
      <c r="A53" s="951" t="s">
        <v>5868</v>
      </c>
      <c r="B53" s="951" t="s">
        <v>5490</v>
      </c>
      <c r="C53" s="951" t="s">
        <v>5875</v>
      </c>
      <c r="D53" s="860" t="s">
        <v>5749</v>
      </c>
      <c r="E53" t="s">
        <v>5750</v>
      </c>
      <c r="F53" s="502">
        <v>0.81471594999999997</v>
      </c>
      <c r="G53">
        <v>0</v>
      </c>
      <c r="H53">
        <v>4.3756858000000001E-4</v>
      </c>
      <c r="I53">
        <v>0.36220564</v>
      </c>
      <c r="J53">
        <v>9.4379514000000001E-3</v>
      </c>
      <c r="K53">
        <v>7.9673932000000003E-2</v>
      </c>
      <c r="L53">
        <v>4.5277898999999998E-3</v>
      </c>
      <c r="M53">
        <v>1.1833807E-2</v>
      </c>
      <c r="N53">
        <v>0.17814337999999999</v>
      </c>
      <c r="O53">
        <v>0.16183275</v>
      </c>
      <c r="P53">
        <v>4.0082152999999999E-4</v>
      </c>
      <c r="Q53" s="425">
        <v>4.4753956999999996E-6</v>
      </c>
      <c r="R53">
        <v>6.2178257000000004E-3</v>
      </c>
    </row>
    <row r="54" spans="1:18" ht="15.6">
      <c r="A54" s="952">
        <f>(C54-B54)/C54</f>
        <v>-1.2071223807302984E-2</v>
      </c>
      <c r="B54" s="945">
        <f>B56</f>
        <v>0.82968874421537586</v>
      </c>
      <c r="C54" s="945">
        <f>F56-H56-SUM(Q56:R56)</f>
        <v>0.81979284135179353</v>
      </c>
      <c r="D54" s="860" t="s">
        <v>5751</v>
      </c>
      <c r="E54" t="s">
        <v>5750</v>
      </c>
      <c r="F54" s="502">
        <v>1.9268827E-3</v>
      </c>
      <c r="G54">
        <v>0</v>
      </c>
      <c r="H54" s="425">
        <v>1.8527063E-6</v>
      </c>
      <c r="I54">
        <v>2.4785414000000003E-4</v>
      </c>
      <c r="J54" s="425">
        <v>9.1362464999999998E-7</v>
      </c>
      <c r="K54">
        <v>1.8960451E-4</v>
      </c>
      <c r="L54">
        <v>1.4558468000000001E-3</v>
      </c>
      <c r="M54" s="425">
        <v>1.2656526E-6</v>
      </c>
      <c r="N54" s="425">
        <v>1.2402835E-5</v>
      </c>
      <c r="O54" s="425">
        <v>1.3579407E-5</v>
      </c>
      <c r="P54" s="425">
        <v>3.4730308E-8</v>
      </c>
      <c r="Q54" s="425">
        <v>1.6930715000000001E-9</v>
      </c>
      <c r="R54" s="425">
        <v>3.5265750000000002E-6</v>
      </c>
    </row>
    <row r="55" spans="1:18" ht="15.6">
      <c r="A55" s="951" t="s">
        <v>5865</v>
      </c>
      <c r="B55" s="945" t="s">
        <v>127</v>
      </c>
      <c r="C55" s="945" t="s">
        <v>127</v>
      </c>
      <c r="D55" s="860" t="s">
        <v>5752</v>
      </c>
      <c r="E55" t="s">
        <v>5750</v>
      </c>
      <c r="F55" s="502">
        <v>9.8242715000000005E-3</v>
      </c>
      <c r="G55">
        <v>0</v>
      </c>
      <c r="H55" s="425">
        <v>5.7180352999999997E-7</v>
      </c>
      <c r="I55">
        <v>8.5389639999999996E-3</v>
      </c>
      <c r="J55" s="425">
        <v>1.0866337999999999E-6</v>
      </c>
      <c r="K55">
        <v>1.5313676999999999E-4</v>
      </c>
      <c r="L55">
        <v>1.0904922E-3</v>
      </c>
      <c r="M55" s="425">
        <v>1.0529497E-6</v>
      </c>
      <c r="N55" s="425">
        <v>1.6209802000000001E-5</v>
      </c>
      <c r="O55" s="425">
        <v>1.4281258E-5</v>
      </c>
      <c r="P55" s="425">
        <v>3.5634502999999998E-8</v>
      </c>
      <c r="Q55" s="425">
        <v>7.2160048999999998E-9</v>
      </c>
      <c r="R55" s="425">
        <v>8.4331786000000003E-6</v>
      </c>
    </row>
    <row r="56" spans="1:18" ht="15.6">
      <c r="A56" s="952">
        <f>(C56-B56)/C56</f>
        <v>-3.8980862021053067E-3</v>
      </c>
      <c r="B56" s="945">
        <f>B48+B50+B52</f>
        <v>0.82968874421537586</v>
      </c>
      <c r="C56" s="945">
        <f>F56</f>
        <v>0.82646710419999991</v>
      </c>
      <c r="D56" s="860" t="s">
        <v>5753</v>
      </c>
      <c r="E56" t="s">
        <v>5750</v>
      </c>
      <c r="F56" s="502">
        <f>SUM(F53:F55)</f>
        <v>0.82646710419999991</v>
      </c>
      <c r="G56">
        <f t="shared" ref="G56:R56" si="2">SUM(G53:G55)</f>
        <v>0</v>
      </c>
      <c r="H56">
        <f t="shared" si="2"/>
        <v>4.3999308983000001E-4</v>
      </c>
      <c r="I56">
        <f t="shared" si="2"/>
        <v>0.37099245813999998</v>
      </c>
      <c r="J56">
        <f t="shared" si="2"/>
        <v>9.4399516584499996E-3</v>
      </c>
      <c r="K56">
        <f t="shared" si="2"/>
        <v>8.0016673280000006E-2</v>
      </c>
      <c r="L56">
        <f t="shared" si="2"/>
        <v>7.0741288999999997E-3</v>
      </c>
      <c r="M56">
        <f t="shared" si="2"/>
        <v>1.1836125602300001E-2</v>
      </c>
      <c r="N56">
        <f t="shared" si="2"/>
        <v>0.17817199263700001</v>
      </c>
      <c r="O56">
        <f t="shared" si="2"/>
        <v>0.16186061066499999</v>
      </c>
      <c r="P56">
        <f t="shared" si="2"/>
        <v>4.0089189481099999E-4</v>
      </c>
      <c r="Q56">
        <f t="shared" si="2"/>
        <v>4.4843047763999994E-6</v>
      </c>
      <c r="R56">
        <f t="shared" si="2"/>
        <v>6.2297854536000003E-3</v>
      </c>
    </row>
    <row r="59" spans="1:18">
      <c r="D59" s="860" t="s">
        <v>5786</v>
      </c>
      <c r="E59" s="860" t="s">
        <v>5788</v>
      </c>
      <c r="F59" s="860"/>
      <c r="G59" s="860"/>
    </row>
    <row r="60" spans="1:18">
      <c r="D60" t="s">
        <v>5765</v>
      </c>
      <c r="E60" t="s">
        <v>5766</v>
      </c>
    </row>
    <row r="61" spans="1:18">
      <c r="D61" t="s">
        <v>5767</v>
      </c>
      <c r="E61" t="s">
        <v>5768</v>
      </c>
    </row>
    <row r="62" spans="1:18">
      <c r="D62" t="s">
        <v>5769</v>
      </c>
      <c r="E62" t="s">
        <v>5789</v>
      </c>
    </row>
    <row r="63" spans="1:18">
      <c r="D63" t="s">
        <v>5771</v>
      </c>
      <c r="E63" t="s">
        <v>5772</v>
      </c>
    </row>
    <row r="64" spans="1:18">
      <c r="D64" t="s">
        <v>5773</v>
      </c>
      <c r="E64" t="s">
        <v>5774</v>
      </c>
    </row>
    <row r="65" spans="1:12">
      <c r="D65" t="s">
        <v>5775</v>
      </c>
      <c r="E65" t="s">
        <v>5776</v>
      </c>
    </row>
    <row r="66" spans="1:12">
      <c r="D66" t="s">
        <v>5777</v>
      </c>
      <c r="E66" t="s">
        <v>5778</v>
      </c>
    </row>
    <row r="67" spans="1:12">
      <c r="D67" t="s">
        <v>5779</v>
      </c>
      <c r="E67" t="s">
        <v>5778</v>
      </c>
    </row>
    <row r="68" spans="1:12">
      <c r="D68" t="s">
        <v>5780</v>
      </c>
      <c r="E68" t="s">
        <v>5781</v>
      </c>
    </row>
    <row r="69" spans="1:12">
      <c r="D69" t="s">
        <v>5782</v>
      </c>
      <c r="E69" t="s">
        <v>5783</v>
      </c>
    </row>
    <row r="70" spans="1:12" ht="15.6">
      <c r="A70" s="951" t="s">
        <v>5868</v>
      </c>
      <c r="B70" s="951" t="s">
        <v>5490</v>
      </c>
      <c r="C70" s="951" t="s">
        <v>5864</v>
      </c>
    </row>
    <row r="71" spans="1:12" ht="15.6">
      <c r="A71" s="952">
        <f>(C71-B71)/C71</f>
        <v>-0.11059815704239878</v>
      </c>
      <c r="B71" s="945">
        <f>'FE - Aluminum'!BJ24/'FE - Aluminum'!BH24/1000</f>
        <v>0.31050065479002675</v>
      </c>
      <c r="C71" s="945">
        <f>SUM(J75:L75)</f>
        <v>0.27957965968259113</v>
      </c>
      <c r="D71" t="s">
        <v>5781</v>
      </c>
      <c r="E71" t="s">
        <v>5607</v>
      </c>
      <c r="F71" s="860" t="s">
        <v>5784</v>
      </c>
      <c r="G71" t="s">
        <v>5661</v>
      </c>
      <c r="H71" t="s">
        <v>5647</v>
      </c>
      <c r="I71" t="s">
        <v>5663</v>
      </c>
      <c r="J71" t="s">
        <v>5652</v>
      </c>
      <c r="K71" t="s">
        <v>5626</v>
      </c>
      <c r="L71" t="s">
        <v>5627</v>
      </c>
    </row>
    <row r="72" spans="1:12" ht="15.6">
      <c r="A72" s="951" t="s">
        <v>5868</v>
      </c>
      <c r="B72" s="951" t="s">
        <v>5490</v>
      </c>
      <c r="C72" s="945" t="s">
        <v>5869</v>
      </c>
      <c r="D72" s="860" t="s">
        <v>5749</v>
      </c>
      <c r="E72" t="s">
        <v>5750</v>
      </c>
      <c r="F72" s="502">
        <v>1.5261263</v>
      </c>
      <c r="G72">
        <v>0</v>
      </c>
      <c r="H72">
        <v>1.2465154000000001</v>
      </c>
      <c r="I72" s="425">
        <v>7.9537029999999996E-5</v>
      </c>
      <c r="J72">
        <v>5.9169034000000004E-3</v>
      </c>
      <c r="K72">
        <v>0.27357440999999999</v>
      </c>
      <c r="L72" s="425">
        <v>4.0082154000000001E-5</v>
      </c>
    </row>
    <row r="73" spans="1:12" ht="15.6">
      <c r="A73" s="952">
        <f>(C73-B73)/C73</f>
        <v>-3.8980893190053724E-3</v>
      </c>
      <c r="B73" s="945">
        <f>B56*'LCI - Comparação'!K19</f>
        <v>1.269423778649525</v>
      </c>
      <c r="C73" s="945">
        <f>H75</f>
        <v>1.2644946655000002</v>
      </c>
      <c r="D73" s="860" t="s">
        <v>5751</v>
      </c>
      <c r="E73" t="s">
        <v>5750</v>
      </c>
      <c r="F73" s="502">
        <v>2.9717823000000002E-3</v>
      </c>
      <c r="G73">
        <v>0</v>
      </c>
      <c r="H73">
        <v>2.9481304999999999E-3</v>
      </c>
      <c r="I73" s="425">
        <v>5.9864935000000003E-8</v>
      </c>
      <c r="J73" s="425">
        <v>6.3282628000000004E-7</v>
      </c>
      <c r="K73" s="425">
        <v>2.2955663999999999E-5</v>
      </c>
      <c r="L73" s="425">
        <v>3.4730308000000002E-9</v>
      </c>
    </row>
    <row r="74" spans="1:12" ht="15.6">
      <c r="A74" s="951" t="s">
        <v>5865</v>
      </c>
      <c r="B74" s="945" t="s">
        <v>127</v>
      </c>
      <c r="C74" s="945" t="s">
        <v>127</v>
      </c>
      <c r="D74" s="860" t="s">
        <v>5752</v>
      </c>
      <c r="E74" t="s">
        <v>5750</v>
      </c>
      <c r="F74" s="502">
        <v>1.5055875E-2</v>
      </c>
      <c r="G74">
        <v>0</v>
      </c>
      <c r="H74">
        <v>1.5031134999999999E-2</v>
      </c>
      <c r="I74" s="425">
        <v>6.7476457000000005E-8</v>
      </c>
      <c r="J74" s="425">
        <v>5.2647483000000003E-7</v>
      </c>
      <c r="K74" s="425">
        <v>2.4142127000000001E-5</v>
      </c>
      <c r="L74" s="425">
        <v>3.5634502999999998E-9</v>
      </c>
    </row>
    <row r="75" spans="1:12" ht="15.6">
      <c r="A75" s="952">
        <f>(C75-B75)/C75</f>
        <v>-2.3165096958400203E-2</v>
      </c>
      <c r="B75" s="945">
        <f>B71+B73</f>
        <v>1.5799244334395519</v>
      </c>
      <c r="C75" s="945">
        <f>F75</f>
        <v>1.5441539573</v>
      </c>
      <c r="D75" s="860" t="s">
        <v>5753</v>
      </c>
      <c r="E75" t="s">
        <v>5750</v>
      </c>
      <c r="F75" s="864">
        <f>SUM(F72:F74)</f>
        <v>1.5441539573</v>
      </c>
      <c r="G75" s="864">
        <f t="shared" ref="G75:L75" si="3">SUM(G72:G74)</f>
        <v>0</v>
      </c>
      <c r="H75" s="864">
        <f t="shared" si="3"/>
        <v>1.2644946655000002</v>
      </c>
      <c r="I75" s="864">
        <f t="shared" si="3"/>
        <v>7.9664371392E-5</v>
      </c>
      <c r="J75" s="864">
        <f t="shared" si="3"/>
        <v>5.9180627011099999E-3</v>
      </c>
      <c r="K75" s="864">
        <f t="shared" si="3"/>
        <v>0.27362150779100003</v>
      </c>
      <c r="L75" s="864">
        <f t="shared" si="3"/>
        <v>4.0089190481100004E-5</v>
      </c>
    </row>
    <row r="76" spans="1:12" ht="15.6">
      <c r="A76" s="959"/>
      <c r="B76" s="960"/>
      <c r="C76" s="960"/>
      <c r="F76" s="864"/>
      <c r="G76" s="864"/>
      <c r="H76" s="864"/>
      <c r="I76" s="864"/>
      <c r="J76" s="864"/>
      <c r="K76" s="864"/>
      <c r="L76" s="864"/>
    </row>
    <row r="77" spans="1:12" ht="15.6">
      <c r="A77" s="959"/>
      <c r="B77" s="960"/>
      <c r="C77" s="960"/>
      <c r="F77" s="864"/>
      <c r="G77" s="864"/>
      <c r="H77" s="864"/>
      <c r="I77" s="864"/>
      <c r="J77" s="864"/>
      <c r="K77" s="864"/>
      <c r="L77" s="864"/>
    </row>
    <row r="78" spans="1:12" ht="15.6">
      <c r="A78" s="951" t="s">
        <v>5868</v>
      </c>
      <c r="B78" s="951" t="s">
        <v>5490</v>
      </c>
      <c r="C78" s="945" t="s">
        <v>5206</v>
      </c>
      <c r="F78" s="864"/>
      <c r="G78" s="864"/>
      <c r="H78" s="864"/>
      <c r="I78" s="864"/>
      <c r="J78" s="864"/>
      <c r="K78" s="864"/>
      <c r="L78" s="864"/>
    </row>
    <row r="79" spans="1:12" ht="15.6">
      <c r="A79" s="952">
        <f>(C79-B79)/C79</f>
        <v>-2.0326345406764706E-16</v>
      </c>
      <c r="B79" s="945">
        <f>'FE - Aluminum'!BJ26/'FE - Aluminum'!BH26/1000</f>
        <v>2.1847961400000004</v>
      </c>
      <c r="C79" s="945">
        <f>T97</f>
        <v>2.18479614</v>
      </c>
    </row>
    <row r="80" spans="1:12">
      <c r="A80" s="954" t="s">
        <v>5868</v>
      </c>
      <c r="B80" s="954" t="s">
        <v>5490</v>
      </c>
      <c r="C80" s="955" t="s">
        <v>143</v>
      </c>
    </row>
    <row r="81" spans="1:26" ht="15.6">
      <c r="A81" s="850">
        <f>(C81-B81)/C81</f>
        <v>0</v>
      </c>
      <c r="B81" s="945">
        <f>'FE - Aluminum'!BJ13/'FE - Aluminum'!BH26/1000*'FE - Aluminum'!AE26/(-'FE - Aluminum'!AE13)</f>
        <v>1.0145387106200001E-3</v>
      </c>
      <c r="C81" s="945">
        <f>Q97</f>
        <v>1.0145387106200001E-3</v>
      </c>
      <c r="D81" s="860" t="s">
        <v>5747</v>
      </c>
      <c r="E81" s="860" t="s">
        <v>5790</v>
      </c>
      <c r="F81" s="860"/>
      <c r="G81" s="860"/>
    </row>
    <row r="82" spans="1:26">
      <c r="A82" s="954" t="s">
        <v>5868</v>
      </c>
      <c r="B82" s="954" t="s">
        <v>5490</v>
      </c>
      <c r="C82" s="955" t="s">
        <v>46</v>
      </c>
      <c r="D82" t="s">
        <v>5765</v>
      </c>
      <c r="E82" t="s">
        <v>5766</v>
      </c>
    </row>
    <row r="83" spans="1:26" ht="15.6">
      <c r="A83" s="952">
        <f>(C83-B83)/C83</f>
        <v>-1.2447413289270014E-16</v>
      </c>
      <c r="B83" s="945">
        <f>'FE - Aluminum'!BJ18/'FE - Aluminum'!BH26/1000*'FE - Aluminum'!AM26/(-'FE - Aluminum'!AM18)</f>
        <v>3.4841043589999999E-3</v>
      </c>
      <c r="C83" s="945">
        <f>P97</f>
        <v>3.4841043589999995E-3</v>
      </c>
      <c r="D83" t="s">
        <v>5767</v>
      </c>
      <c r="E83" t="s">
        <v>5768</v>
      </c>
    </row>
    <row r="84" spans="1:26">
      <c r="A84" s="954" t="s">
        <v>5868</v>
      </c>
      <c r="B84" s="954" t="s">
        <v>5490</v>
      </c>
      <c r="C84" s="955" t="s">
        <v>87</v>
      </c>
      <c r="D84" t="s">
        <v>5769</v>
      </c>
      <c r="E84" t="s">
        <v>5791</v>
      </c>
    </row>
    <row r="85" spans="1:26" ht="15.6">
      <c r="A85" s="850">
        <f>(C85-B85)/C85</f>
        <v>-2.9077398919684662E-16</v>
      </c>
      <c r="B85" s="945">
        <f>'FE - Aluminum'!BJ14/'FE - Aluminum'!BH26/1000*'FE - Aluminum'!AD26/(-'FE - Aluminum'!AD14)</f>
        <v>2.9829412884700007E-3</v>
      </c>
      <c r="C85" s="945">
        <f>O97</f>
        <v>2.9829412884699999E-3</v>
      </c>
      <c r="D85" t="s">
        <v>5771</v>
      </c>
      <c r="E85" t="s">
        <v>5772</v>
      </c>
    </row>
    <row r="86" spans="1:26">
      <c r="A86" s="957" t="s">
        <v>5868</v>
      </c>
      <c r="B86" s="957" t="s">
        <v>5490</v>
      </c>
      <c r="C86" s="958" t="s">
        <v>5871</v>
      </c>
      <c r="D86" t="s">
        <v>5773</v>
      </c>
      <c r="E86" t="s">
        <v>5774</v>
      </c>
    </row>
    <row r="87" spans="1:26" ht="15.6">
      <c r="A87" s="952">
        <f>(C87-B87)/C87</f>
        <v>2.1701378968993986E-16</v>
      </c>
      <c r="B87" s="945">
        <f>'FE - Aluminum'!BJ16/'FE - Aluminum'!BH26/1000</f>
        <v>0.25579550179999994</v>
      </c>
      <c r="C87" s="945">
        <f>K97</f>
        <v>0.25579550179999999</v>
      </c>
      <c r="D87" t="s">
        <v>5775</v>
      </c>
      <c r="E87" t="s">
        <v>5776</v>
      </c>
    </row>
    <row r="88" spans="1:26" ht="15.6">
      <c r="A88" s="951" t="s">
        <v>5868</v>
      </c>
      <c r="B88" s="951" t="s">
        <v>5490</v>
      </c>
      <c r="C88" s="945" t="s">
        <v>5</v>
      </c>
      <c r="D88" t="s">
        <v>5777</v>
      </c>
      <c r="E88" t="s">
        <v>5778</v>
      </c>
    </row>
    <row r="89" spans="1:26" ht="15.6">
      <c r="A89" s="952">
        <f>(C89-B89)/C89</f>
        <v>-2.318850172901538E-2</v>
      </c>
      <c r="B89" s="945">
        <f>B75*'LCI - Comparação'!O11</f>
        <v>2.9971853205263455</v>
      </c>
      <c r="C89" s="945">
        <f>J97</f>
        <v>2.9292601660999997</v>
      </c>
      <c r="D89" t="s">
        <v>5779</v>
      </c>
      <c r="E89" t="s">
        <v>5778</v>
      </c>
    </row>
    <row r="90" spans="1:26">
      <c r="A90" s="954" t="s">
        <v>5868</v>
      </c>
      <c r="B90" s="954" t="s">
        <v>5490</v>
      </c>
      <c r="C90" s="955" t="s">
        <v>5870</v>
      </c>
      <c r="D90" t="s">
        <v>5780</v>
      </c>
      <c r="E90" t="s">
        <v>5781</v>
      </c>
    </row>
    <row r="91" spans="1:26" ht="15.6">
      <c r="A91" s="952">
        <f>(C91-B91)/C91</f>
        <v>-1.2791938006426922E-16</v>
      </c>
      <c r="B91" s="945">
        <f>'FE - Aluminum'!BJ20/'FE - Aluminum'!BH26/1000*'FE - Aluminum'!AN26/(-'FE - Aluminum'!AN20)</f>
        <v>2.7122137007000002E-2</v>
      </c>
      <c r="C91" s="945">
        <f>I97</f>
        <v>2.7122137006999999E-2</v>
      </c>
      <c r="D91" t="s">
        <v>5782</v>
      </c>
      <c r="E91" t="s">
        <v>5783</v>
      </c>
    </row>
    <row r="92" spans="1:26">
      <c r="A92" s="957" t="s">
        <v>5868</v>
      </c>
      <c r="B92" s="957" t="s">
        <v>5490</v>
      </c>
      <c r="C92" s="958" t="s">
        <v>5872</v>
      </c>
    </row>
    <row r="93" spans="1:26" ht="15.6">
      <c r="A93" s="952">
        <f>(C93-B93)/C93</f>
        <v>0</v>
      </c>
      <c r="B93" s="945">
        <f>(-'FE - Aluminum'!BB26-'FE - Aluminum'!BC26*0.7-'FE - Aluminum'!BD26)/'FE - Aluminum'!BH26</f>
        <v>1.9891399999999999</v>
      </c>
      <c r="C93" s="945">
        <f>G97</f>
        <v>1.9891399999999999</v>
      </c>
      <c r="D93" t="s">
        <v>5781</v>
      </c>
      <c r="E93" t="s">
        <v>5607</v>
      </c>
      <c r="F93" s="860" t="s">
        <v>5784</v>
      </c>
      <c r="G93" t="s">
        <v>5691</v>
      </c>
      <c r="H93" t="s">
        <v>5667</v>
      </c>
      <c r="I93" t="s">
        <v>5668</v>
      </c>
      <c r="J93" t="s">
        <v>5661</v>
      </c>
      <c r="K93" t="s">
        <v>5686</v>
      </c>
      <c r="L93" t="s">
        <v>5619</v>
      </c>
      <c r="M93" t="s">
        <v>5671</v>
      </c>
      <c r="N93" t="s">
        <v>5672</v>
      </c>
      <c r="O93" t="s">
        <v>5818</v>
      </c>
      <c r="P93" t="s">
        <v>5674</v>
      </c>
      <c r="Q93" t="s">
        <v>5675</v>
      </c>
      <c r="R93" t="s">
        <v>5676</v>
      </c>
      <c r="S93" t="s">
        <v>5677</v>
      </c>
      <c r="T93" t="s">
        <v>5624</v>
      </c>
      <c r="U93" t="s">
        <v>5679</v>
      </c>
      <c r="V93" t="s">
        <v>5637</v>
      </c>
      <c r="W93" t="s">
        <v>5658</v>
      </c>
      <c r="X93" t="s">
        <v>5680</v>
      </c>
      <c r="Y93" t="s">
        <v>5681</v>
      </c>
      <c r="Z93" t="s">
        <v>5682</v>
      </c>
    </row>
    <row r="94" spans="1:26" ht="15.6">
      <c r="A94" s="951" t="s">
        <v>5868</v>
      </c>
      <c r="B94" s="951" t="s">
        <v>5490</v>
      </c>
      <c r="C94" s="951" t="s">
        <v>5875</v>
      </c>
      <c r="D94" s="860" t="s">
        <v>5749</v>
      </c>
      <c r="E94" t="s">
        <v>5750</v>
      </c>
      <c r="F94" s="502">
        <v>6.6202534000000002</v>
      </c>
      <c r="G94">
        <v>1.9891399999999999</v>
      </c>
      <c r="H94">
        <v>3.4165263000000001E-3</v>
      </c>
      <c r="I94">
        <v>2.7075029E-2</v>
      </c>
      <c r="J94">
        <v>2.8950616999999998</v>
      </c>
      <c r="K94">
        <v>0.25147103999999998</v>
      </c>
      <c r="L94">
        <v>1.8075560999999999E-3</v>
      </c>
      <c r="M94">
        <v>1.4362742E-3</v>
      </c>
      <c r="N94">
        <v>1.3576481E-2</v>
      </c>
      <c r="O94">
        <v>2.9814812999999999E-3</v>
      </c>
      <c r="P94">
        <v>3.4460622999999998E-3</v>
      </c>
      <c r="Q94">
        <v>1.0132456000000001E-3</v>
      </c>
      <c r="R94">
        <v>4.8223831E-3</v>
      </c>
      <c r="S94">
        <v>1.1279305999999999E-2</v>
      </c>
      <c r="T94">
        <v>1.3983768000000001</v>
      </c>
      <c r="U94">
        <v>9.6442444999999995E-3</v>
      </c>
      <c r="V94" s="425">
        <v>9.3060918999999994E-5</v>
      </c>
      <c r="W94" s="425">
        <v>5.8084923E-5</v>
      </c>
      <c r="X94">
        <v>5.1832982999999999E-3</v>
      </c>
      <c r="Y94" s="425">
        <v>7.1718629000000001E-5</v>
      </c>
      <c r="Z94">
        <v>2.9915623000000002E-4</v>
      </c>
    </row>
    <row r="95" spans="1:26" ht="15.6">
      <c r="A95" s="952">
        <f>(C95-B95)/C95</f>
        <v>-9.1870314748267214E-3</v>
      </c>
      <c r="B95" s="945">
        <f>B97</f>
        <v>7.4615206836914352</v>
      </c>
      <c r="C95" s="945">
        <f>F97-H97-SUM(L97:N97)-SUM(R97:S97)-SUM(U97:Z97)</f>
        <v>7.3935954892198357</v>
      </c>
      <c r="D95" s="860" t="s">
        <v>5751</v>
      </c>
      <c r="E95" t="s">
        <v>5750</v>
      </c>
      <c r="F95" s="502">
        <v>0.45787672000000001</v>
      </c>
      <c r="G95">
        <v>0</v>
      </c>
      <c r="H95" s="425">
        <v>2.6139438E-5</v>
      </c>
      <c r="I95" s="425">
        <v>2.4483669999999999E-5</v>
      </c>
      <c r="J95">
        <v>5.6374711000000003E-3</v>
      </c>
      <c r="K95">
        <v>2.4686481E-3</v>
      </c>
      <c r="L95" s="425">
        <v>3.6079859000000001E-6</v>
      </c>
      <c r="M95" s="425">
        <v>9.3072312999999998E-7</v>
      </c>
      <c r="N95" s="425">
        <v>2.0030144E-5</v>
      </c>
      <c r="O95" s="425">
        <v>5.6470760000000001E-7</v>
      </c>
      <c r="P95" s="425">
        <v>2.1815941000000001E-5</v>
      </c>
      <c r="Q95" s="425">
        <v>6.4714142999999996E-7</v>
      </c>
      <c r="R95" s="425">
        <v>2.2815798000000001E-5</v>
      </c>
      <c r="S95" s="425">
        <v>7.0831626000000001E-6</v>
      </c>
      <c r="T95">
        <v>0.44962829999999998</v>
      </c>
      <c r="U95" s="425">
        <v>8.4095407000000004E-6</v>
      </c>
      <c r="V95" s="425">
        <v>2.9296353999999997E-7</v>
      </c>
      <c r="W95" s="425">
        <v>2.1973906999999999E-8</v>
      </c>
      <c r="X95" s="425">
        <v>4.5197256999999997E-6</v>
      </c>
      <c r="Y95" s="425">
        <v>2.7568305E-8</v>
      </c>
      <c r="Z95" s="425">
        <v>9.0664973000000001E-7</v>
      </c>
    </row>
    <row r="96" spans="1:26" ht="15.6">
      <c r="A96" s="951" t="s">
        <v>5865</v>
      </c>
      <c r="B96" s="945" t="s">
        <v>127</v>
      </c>
      <c r="C96" s="945" t="s">
        <v>127</v>
      </c>
      <c r="D96" s="860" t="s">
        <v>5752</v>
      </c>
      <c r="E96" t="s">
        <v>5750</v>
      </c>
      <c r="F96" s="502">
        <v>0.36728261000000001</v>
      </c>
      <c r="G96">
        <v>0</v>
      </c>
      <c r="H96" s="425">
        <v>5.0826815999999998E-6</v>
      </c>
      <c r="I96" s="425">
        <v>2.2624337000000001E-5</v>
      </c>
      <c r="J96">
        <v>2.8560994999999999E-2</v>
      </c>
      <c r="K96">
        <v>1.8558137E-3</v>
      </c>
      <c r="L96" s="425">
        <v>2.1104269999999998E-6</v>
      </c>
      <c r="M96" s="425">
        <v>1.079845E-6</v>
      </c>
      <c r="N96" s="425">
        <v>8.7303141999999999E-6</v>
      </c>
      <c r="O96" s="425">
        <v>8.9528086999999999E-7</v>
      </c>
      <c r="P96" s="425">
        <v>1.6226118E-5</v>
      </c>
      <c r="Q96" s="425">
        <v>6.4596918999999998E-7</v>
      </c>
      <c r="R96" s="425">
        <v>3.4531877000000001E-6</v>
      </c>
      <c r="S96" s="425">
        <v>7.5526087000000001E-6</v>
      </c>
      <c r="T96">
        <v>0.33679103999999999</v>
      </c>
      <c r="U96" s="425">
        <v>3.6911445000000002E-6</v>
      </c>
      <c r="V96" s="425">
        <v>1.8709044E-7</v>
      </c>
      <c r="W96" s="425">
        <v>9.3654531999999997E-8</v>
      </c>
      <c r="X96" s="425">
        <v>1.9837017999999999E-6</v>
      </c>
      <c r="Y96" s="425">
        <v>1.1577253E-7</v>
      </c>
      <c r="Z96" s="425">
        <v>2.8447765000000002E-7</v>
      </c>
    </row>
    <row r="97" spans="1:26" ht="15.6">
      <c r="A97" s="952">
        <f>(C97-B97)/C97</f>
        <v>-2.1634735743434105E-3</v>
      </c>
      <c r="B97" s="945">
        <f>B91+B93+B87+B89+B85+B83+B81+B79</f>
        <v>7.4615206836914352</v>
      </c>
      <c r="C97" s="945">
        <f>F97</f>
        <v>7.4454127300000001</v>
      </c>
      <c r="D97" s="860" t="s">
        <v>5753</v>
      </c>
      <c r="E97" t="s">
        <v>5750</v>
      </c>
      <c r="F97" s="502">
        <f>SUM(F94:F96)</f>
        <v>7.4454127300000001</v>
      </c>
      <c r="G97">
        <f t="shared" ref="G97:Z97" si="4">SUM(G94:G96)</f>
        <v>1.9891399999999999</v>
      </c>
      <c r="H97">
        <f t="shared" si="4"/>
        <v>3.4477484196000002E-3</v>
      </c>
      <c r="I97">
        <f t="shared" si="4"/>
        <v>2.7122137006999999E-2</v>
      </c>
      <c r="J97">
        <f t="shared" si="4"/>
        <v>2.9292601660999997</v>
      </c>
      <c r="K97">
        <f t="shared" si="4"/>
        <v>0.25579550179999999</v>
      </c>
      <c r="L97">
        <f t="shared" si="4"/>
        <v>1.8132745129E-3</v>
      </c>
      <c r="M97">
        <f t="shared" si="4"/>
        <v>1.4382847681300001E-3</v>
      </c>
      <c r="N97">
        <f t="shared" si="4"/>
        <v>1.3605241458199999E-2</v>
      </c>
      <c r="O97">
        <f t="shared" si="4"/>
        <v>2.9829412884699999E-3</v>
      </c>
      <c r="P97">
        <f t="shared" si="4"/>
        <v>3.4841043589999995E-3</v>
      </c>
      <c r="Q97">
        <f t="shared" si="4"/>
        <v>1.0145387106200001E-3</v>
      </c>
      <c r="R97">
        <f t="shared" si="4"/>
        <v>4.8486520857000002E-3</v>
      </c>
      <c r="S97">
        <f t="shared" si="4"/>
        <v>1.1293941771299998E-2</v>
      </c>
      <c r="T97">
        <f t="shared" si="4"/>
        <v>2.18479614</v>
      </c>
      <c r="U97">
        <f t="shared" si="4"/>
        <v>9.6563451851999996E-3</v>
      </c>
      <c r="V97">
        <f t="shared" si="4"/>
        <v>9.3540972979999998E-5</v>
      </c>
      <c r="W97">
        <f t="shared" si="4"/>
        <v>5.8200551438999998E-5</v>
      </c>
      <c r="X97">
        <f t="shared" si="4"/>
        <v>5.1898017274999994E-3</v>
      </c>
      <c r="Y97">
        <f t="shared" si="4"/>
        <v>7.1861969834999996E-5</v>
      </c>
      <c r="Z97">
        <f t="shared" si="4"/>
        <v>3.0034735738000001E-4</v>
      </c>
    </row>
    <row r="98" spans="1:26" ht="15.6">
      <c r="A98" s="959"/>
      <c r="B98" s="960"/>
      <c r="C98" s="960"/>
      <c r="F98" s="502"/>
    </row>
    <row r="99" spans="1:26" ht="15.6">
      <c r="A99" s="959"/>
      <c r="B99" s="960"/>
      <c r="C99" s="960"/>
      <c r="F99" s="502"/>
    </row>
    <row r="100" spans="1:26" ht="15.6">
      <c r="A100" s="951" t="s">
        <v>5868</v>
      </c>
      <c r="B100" s="951" t="s">
        <v>5490</v>
      </c>
      <c r="C100" s="945" t="s">
        <v>5206</v>
      </c>
      <c r="F100" s="502"/>
    </row>
    <row r="101" spans="1:26" ht="15.6">
      <c r="A101" s="952">
        <f>(C101-B101)/C101</f>
        <v>2.9760374202239416E-8</v>
      </c>
      <c r="B101" s="945">
        <f>'FE - Aluminum'!BJ27/'FE - Aluminum'!BH27/1000</f>
        <v>2.3512462300260304</v>
      </c>
      <c r="C101" s="945">
        <f>T119</f>
        <v>2.3512463000000001</v>
      </c>
    </row>
    <row r="102" spans="1:26">
      <c r="A102" s="954" t="s">
        <v>5868</v>
      </c>
      <c r="B102" s="954" t="s">
        <v>5490</v>
      </c>
      <c r="C102" s="955" t="s">
        <v>143</v>
      </c>
    </row>
    <row r="103" spans="1:26" ht="15.6">
      <c r="A103" s="850">
        <f>(C103-B103)/C103</f>
        <v>2.1373303179785657E-16</v>
      </c>
      <c r="B103" s="945">
        <f>'FE - Aluminum'!BJ13/'FE - Aluminum'!BH27/1000*'FE - Aluminum'!AE27/(-'FE - Aluminum'!AE13)</f>
        <v>1.0145387106199999E-3</v>
      </c>
      <c r="C103" s="945">
        <f>Q119</f>
        <v>1.0145387106200001E-3</v>
      </c>
      <c r="D103" s="860" t="s">
        <v>5819</v>
      </c>
      <c r="E103" s="860" t="s">
        <v>5792</v>
      </c>
      <c r="F103" s="860"/>
      <c r="G103" s="860"/>
    </row>
    <row r="104" spans="1:26">
      <c r="A104" s="954" t="s">
        <v>5868</v>
      </c>
      <c r="B104" s="954" t="s">
        <v>5490</v>
      </c>
      <c r="C104" s="955" t="s">
        <v>46</v>
      </c>
      <c r="D104" t="s">
        <v>5765</v>
      </c>
      <c r="E104" t="s">
        <v>5766</v>
      </c>
    </row>
    <row r="105" spans="1:26" ht="15.6">
      <c r="A105" s="952">
        <f>(C105-B105)/C105</f>
        <v>-1.2447413289270014E-16</v>
      </c>
      <c r="B105" s="945">
        <f>SUM('FE - Aluminum'!BJ18:BJ19)/'FE - Aluminum'!BH27/1000*'FE - Aluminum'!AM27/-SUM('FE - Aluminum'!AM18:AM19)</f>
        <v>3.4841043589999999E-3</v>
      </c>
      <c r="C105" s="945">
        <f>P119</f>
        <v>3.4841043589999995E-3</v>
      </c>
      <c r="D105" t="s">
        <v>5767</v>
      </c>
      <c r="E105" t="s">
        <v>5768</v>
      </c>
    </row>
    <row r="106" spans="1:26">
      <c r="A106" s="954" t="s">
        <v>5868</v>
      </c>
      <c r="B106" s="954" t="s">
        <v>5490</v>
      </c>
      <c r="C106" s="955" t="s">
        <v>87</v>
      </c>
      <c r="D106" t="s">
        <v>5769</v>
      </c>
      <c r="E106" t="s">
        <v>5793</v>
      </c>
    </row>
    <row r="107" spans="1:26" ht="15.6">
      <c r="A107" s="850">
        <f>(C107-B107)/C107</f>
        <v>-2.9077398919684662E-16</v>
      </c>
      <c r="B107" s="945">
        <f>'FE - Aluminum'!BJ14/'FE - Aluminum'!BH27/1000*'FE - Aluminum'!AD27/(-'FE - Aluminum'!AD14)</f>
        <v>2.9829412884700007E-3</v>
      </c>
      <c r="C107" s="945">
        <f>O119</f>
        <v>2.9829412884699999E-3</v>
      </c>
      <c r="D107" t="s">
        <v>5771</v>
      </c>
      <c r="E107" t="s">
        <v>5772</v>
      </c>
    </row>
    <row r="108" spans="1:26">
      <c r="A108" s="957" t="s">
        <v>5868</v>
      </c>
      <c r="B108" s="957" t="s">
        <v>5490</v>
      </c>
      <c r="C108" s="958" t="s">
        <v>5871</v>
      </c>
      <c r="D108" t="s">
        <v>5773</v>
      </c>
      <c r="E108" t="s">
        <v>5774</v>
      </c>
    </row>
    <row r="109" spans="1:26" ht="15.6">
      <c r="A109" s="952">
        <f>(C109-B109)/C109</f>
        <v>1.6491841258564502E-16</v>
      </c>
      <c r="B109" s="945">
        <f>'FE - Aluminum'!BJ17/'FE - Aluminum'!BH27/1000</f>
        <v>0.33659765674999997</v>
      </c>
      <c r="C109" s="945">
        <f>K119</f>
        <v>0.33659765675000003</v>
      </c>
      <c r="D109" t="s">
        <v>5775</v>
      </c>
      <c r="E109" t="s">
        <v>5776</v>
      </c>
    </row>
    <row r="110" spans="1:26" ht="15.6">
      <c r="A110" s="951" t="s">
        <v>5868</v>
      </c>
      <c r="B110" s="951" t="s">
        <v>5490</v>
      </c>
      <c r="C110" s="945" t="s">
        <v>5</v>
      </c>
      <c r="D110" t="s">
        <v>5777</v>
      </c>
      <c r="E110" t="s">
        <v>5778</v>
      </c>
    </row>
    <row r="111" spans="1:26" ht="15.6">
      <c r="A111" s="952">
        <f>(C111-B111)/C111</f>
        <v>-2.3161862011432936E-2</v>
      </c>
      <c r="B111" s="945">
        <f>B75*'LCI - Comparação'!M11</f>
        <v>3.3257304569555193</v>
      </c>
      <c r="C111" s="945">
        <f>J119</f>
        <v>3.2504441187999999</v>
      </c>
      <c r="D111" t="s">
        <v>5779</v>
      </c>
      <c r="E111" t="s">
        <v>5778</v>
      </c>
    </row>
    <row r="112" spans="1:26">
      <c r="A112" s="954" t="s">
        <v>5868</v>
      </c>
      <c r="B112" s="954" t="s">
        <v>5490</v>
      </c>
      <c r="C112" s="955" t="s">
        <v>5870</v>
      </c>
      <c r="D112" t="s">
        <v>5780</v>
      </c>
      <c r="E112" t="s">
        <v>5781</v>
      </c>
    </row>
    <row r="113" spans="1:26" ht="15.6">
      <c r="A113" s="952">
        <f>(C113-B113)/C113</f>
        <v>4.791529532928351E-9</v>
      </c>
      <c r="B113" s="945">
        <f>'FE - Aluminum'!BJ20/'FE - Aluminum'!BH27/1000*'FE - Aluminum'!AN27/(-'FE - Aluminum'!AN20)</f>
        <v>2.6734677906900001E-2</v>
      </c>
      <c r="C113" s="945">
        <f>I119</f>
        <v>2.6734678035000001E-2</v>
      </c>
      <c r="D113" t="s">
        <v>5782</v>
      </c>
      <c r="E113" t="s">
        <v>5783</v>
      </c>
    </row>
    <row r="114" spans="1:26">
      <c r="A114" s="957" t="s">
        <v>5868</v>
      </c>
      <c r="B114" s="957" t="s">
        <v>5490</v>
      </c>
      <c r="C114" s="958" t="s">
        <v>5872</v>
      </c>
    </row>
    <row r="115" spans="1:26" ht="15.6">
      <c r="A115" s="952">
        <f>(C115-B115)/C115</f>
        <v>-5.1972968114184452E-7</v>
      </c>
      <c r="B115" s="945">
        <f>-('FE - Aluminum'!BB27+0.7*'FE - Aluminum'!BC27+'FE - Aluminum'!BD27)/'FE - Aluminum'!BH27</f>
        <v>2.6937093999999999</v>
      </c>
      <c r="C115" s="945">
        <f>G119</f>
        <v>2.693708</v>
      </c>
      <c r="D115" t="s">
        <v>5781</v>
      </c>
      <c r="E115" t="s">
        <v>5607</v>
      </c>
      <c r="F115" s="860" t="s">
        <v>5784</v>
      </c>
      <c r="G115" t="s">
        <v>5665</v>
      </c>
      <c r="H115" t="s">
        <v>5667</v>
      </c>
      <c r="I115" t="s">
        <v>5668</v>
      </c>
      <c r="J115" t="s">
        <v>5661</v>
      </c>
      <c r="K115" t="s">
        <v>5670</v>
      </c>
      <c r="L115" t="s">
        <v>5619</v>
      </c>
      <c r="M115" t="s">
        <v>5671</v>
      </c>
      <c r="N115" t="s">
        <v>5672</v>
      </c>
      <c r="O115" t="s">
        <v>5818</v>
      </c>
      <c r="P115" t="s">
        <v>5674</v>
      </c>
      <c r="Q115" t="s">
        <v>5675</v>
      </c>
      <c r="R115" t="s">
        <v>5676</v>
      </c>
      <c r="S115" t="s">
        <v>5677</v>
      </c>
      <c r="T115" t="s">
        <v>5624</v>
      </c>
      <c r="U115" t="s">
        <v>5679</v>
      </c>
      <c r="V115" t="s">
        <v>5637</v>
      </c>
      <c r="W115" t="s">
        <v>5658</v>
      </c>
      <c r="X115" t="s">
        <v>5680</v>
      </c>
      <c r="Y115" t="s">
        <v>5681</v>
      </c>
      <c r="Z115" t="s">
        <v>5682</v>
      </c>
    </row>
    <row r="116" spans="1:26" ht="15.6">
      <c r="A116" s="951" t="s">
        <v>5868</v>
      </c>
      <c r="B116" s="951" t="s">
        <v>5490</v>
      </c>
      <c r="C116" s="951" t="s">
        <v>5875</v>
      </c>
      <c r="D116" s="860" t="s">
        <v>5749</v>
      </c>
      <c r="E116" t="s">
        <v>5750</v>
      </c>
      <c r="F116" s="502">
        <v>7.8343455000000004</v>
      </c>
      <c r="G116">
        <v>2.693708</v>
      </c>
      <c r="H116">
        <v>3.4165263000000001E-3</v>
      </c>
      <c r="I116">
        <v>2.6688243E-2</v>
      </c>
      <c r="J116">
        <v>3.2124959</v>
      </c>
      <c r="K116">
        <v>0.33433874000000002</v>
      </c>
      <c r="L116">
        <v>1.8075560999999999E-3</v>
      </c>
      <c r="M116">
        <v>1.4362742E-3</v>
      </c>
      <c r="N116">
        <v>1.7482696999999998E-2</v>
      </c>
      <c r="O116">
        <v>2.9814812999999999E-3</v>
      </c>
      <c r="P116">
        <v>3.4460622999999998E-3</v>
      </c>
      <c r="Q116">
        <v>1.0132456000000001E-3</v>
      </c>
      <c r="R116">
        <v>3.0318501E-3</v>
      </c>
      <c r="S116">
        <v>1.0507338E-2</v>
      </c>
      <c r="T116">
        <v>1.5049131</v>
      </c>
      <c r="U116">
        <v>6.4294963000000004E-3</v>
      </c>
      <c r="V116">
        <v>1.3436565000000001E-4</v>
      </c>
      <c r="W116" s="425">
        <v>1.7654007999999999E-5</v>
      </c>
      <c r="X116">
        <v>9.4729245000000004E-3</v>
      </c>
      <c r="Y116" s="425">
        <v>5.3932408999999997E-5</v>
      </c>
      <c r="Z116">
        <v>9.7012091000000004E-4</v>
      </c>
    </row>
    <row r="117" spans="1:26" ht="15.6">
      <c r="A117" s="952">
        <f>(C117-B117)/C117</f>
        <v>-8.6874953017947246E-3</v>
      </c>
      <c r="B117" s="945">
        <f>B119</f>
        <v>8.7415000059965386</v>
      </c>
      <c r="C117" s="945">
        <f>F119-H119-SUM(L119:N119)-SUM(R119:S119)-SUM(U119:Z119)</f>
        <v>8.6662123271203253</v>
      </c>
      <c r="D117" s="860" t="s">
        <v>5751</v>
      </c>
      <c r="E117" t="s">
        <v>5750</v>
      </c>
      <c r="F117" s="502">
        <v>0.49156719999999998</v>
      </c>
      <c r="G117">
        <v>0</v>
      </c>
      <c r="H117" s="425">
        <v>2.6139438E-5</v>
      </c>
      <c r="I117" s="425">
        <v>2.4133903000000001E-5</v>
      </c>
      <c r="J117">
        <v>6.2556017999999998E-3</v>
      </c>
      <c r="K117">
        <v>1.2862489999999999E-3</v>
      </c>
      <c r="L117" s="425">
        <v>3.6079859000000001E-6</v>
      </c>
      <c r="M117" s="425">
        <v>9.3072312999999998E-7</v>
      </c>
      <c r="N117" s="425">
        <v>2.5793202000000001E-5</v>
      </c>
      <c r="O117" s="425">
        <v>5.6470760000000001E-7</v>
      </c>
      <c r="P117" s="425">
        <v>2.1815941000000001E-5</v>
      </c>
      <c r="Q117" s="425">
        <v>6.4714142999999996E-7</v>
      </c>
      <c r="R117" s="425">
        <v>1.4344377E-5</v>
      </c>
      <c r="S117" s="425">
        <v>6.5983834000000001E-6</v>
      </c>
      <c r="T117">
        <v>0.48388352000000001</v>
      </c>
      <c r="U117" s="425">
        <v>5.6063604999999997E-6</v>
      </c>
      <c r="V117" s="425">
        <v>4.2299428000000002E-7</v>
      </c>
      <c r="W117" s="425">
        <v>6.6786266999999999E-9</v>
      </c>
      <c r="X117" s="425">
        <v>8.2601882999999996E-6</v>
      </c>
      <c r="Y117" s="425">
        <v>2.0731364999999999E-8</v>
      </c>
      <c r="Z117" s="425">
        <v>2.9401355E-6</v>
      </c>
    </row>
    <row r="118" spans="1:26" ht="15.6">
      <c r="A118" s="951" t="s">
        <v>5865</v>
      </c>
      <c r="B118" s="945" t="s">
        <v>127</v>
      </c>
      <c r="C118" s="945" t="s">
        <v>127</v>
      </c>
      <c r="D118" s="860" t="s">
        <v>5752</v>
      </c>
      <c r="E118" t="s">
        <v>5750</v>
      </c>
      <c r="F118" s="502">
        <v>0.39519114999999999</v>
      </c>
      <c r="G118">
        <v>0</v>
      </c>
      <c r="H118" s="425">
        <v>5.0826815999999998E-6</v>
      </c>
      <c r="I118" s="425">
        <v>2.2301132E-5</v>
      </c>
      <c r="J118">
        <v>3.1692616999999999E-2</v>
      </c>
      <c r="K118">
        <v>9.7266775000000001E-4</v>
      </c>
      <c r="L118" s="425">
        <v>2.1104269999999998E-6</v>
      </c>
      <c r="M118" s="425">
        <v>1.079845E-6</v>
      </c>
      <c r="N118" s="425">
        <v>1.1242194000000001E-5</v>
      </c>
      <c r="O118" s="425">
        <v>8.9528086999999999E-7</v>
      </c>
      <c r="P118" s="425">
        <v>1.6226118E-5</v>
      </c>
      <c r="Q118" s="425">
        <v>6.4596918999999998E-7</v>
      </c>
      <c r="R118" s="425">
        <v>2.1710319000000001E-6</v>
      </c>
      <c r="S118" s="425">
        <v>7.0357001000000002E-6</v>
      </c>
      <c r="T118">
        <v>0.36244968</v>
      </c>
      <c r="U118" s="425">
        <v>2.4607629999999998E-6</v>
      </c>
      <c r="V118" s="425">
        <v>2.7012981999999998E-7</v>
      </c>
      <c r="W118" s="425">
        <v>2.8464837000000001E-8</v>
      </c>
      <c r="X118" s="425">
        <v>3.6253861E-6</v>
      </c>
      <c r="Y118" s="425">
        <v>8.7060945E-8</v>
      </c>
      <c r="Z118" s="425">
        <v>9.2252037000000005E-7</v>
      </c>
    </row>
    <row r="119" spans="1:26" ht="15.6">
      <c r="A119" s="952">
        <f>(C119-B119)/C119</f>
        <v>-2.3387126615328872E-3</v>
      </c>
      <c r="B119" s="945">
        <f>B113+B115+B109+B111+B107+B105+B103+B101</f>
        <v>8.7415000059965386</v>
      </c>
      <c r="C119" s="945">
        <f>F119</f>
        <v>8.7211038500000004</v>
      </c>
      <c r="D119" s="860" t="s">
        <v>5753</v>
      </c>
      <c r="E119" t="s">
        <v>5750</v>
      </c>
      <c r="F119" s="502">
        <f>SUM(F116:F118)</f>
        <v>8.7211038500000004</v>
      </c>
      <c r="G119">
        <f t="shared" ref="G119:Z119" si="5">SUM(G116:G118)</f>
        <v>2.693708</v>
      </c>
      <c r="H119">
        <f t="shared" si="5"/>
        <v>3.4477484196000002E-3</v>
      </c>
      <c r="I119">
        <f t="shared" si="5"/>
        <v>2.6734678035000001E-2</v>
      </c>
      <c r="J119">
        <f t="shared" si="5"/>
        <v>3.2504441187999999</v>
      </c>
      <c r="K119">
        <f t="shared" si="5"/>
        <v>0.33659765675000003</v>
      </c>
      <c r="L119">
        <f t="shared" si="5"/>
        <v>1.8132745129E-3</v>
      </c>
      <c r="M119">
        <f t="shared" si="5"/>
        <v>1.4382847681300001E-3</v>
      </c>
      <c r="N119">
        <f t="shared" si="5"/>
        <v>1.7519732396E-2</v>
      </c>
      <c r="O119">
        <f t="shared" si="5"/>
        <v>2.9829412884699999E-3</v>
      </c>
      <c r="P119">
        <f t="shared" si="5"/>
        <v>3.4841043589999995E-3</v>
      </c>
      <c r="Q119">
        <f t="shared" si="5"/>
        <v>1.0145387106200001E-3</v>
      </c>
      <c r="R119">
        <f t="shared" si="5"/>
        <v>3.0483655089000002E-3</v>
      </c>
      <c r="S119">
        <f t="shared" si="5"/>
        <v>1.0520972083499999E-2</v>
      </c>
      <c r="T119">
        <f t="shared" si="5"/>
        <v>2.3512463000000001</v>
      </c>
      <c r="U119">
        <f t="shared" si="5"/>
        <v>6.4375634235000001E-3</v>
      </c>
      <c r="V119">
        <f t="shared" si="5"/>
        <v>1.350587741E-4</v>
      </c>
      <c r="W119">
        <f t="shared" si="5"/>
        <v>1.7689151463700001E-5</v>
      </c>
      <c r="X119">
        <f t="shared" si="5"/>
        <v>9.4848100743999998E-3</v>
      </c>
      <c r="Y119">
        <f t="shared" si="5"/>
        <v>5.4040201309999992E-5</v>
      </c>
      <c r="Z119">
        <f t="shared" si="5"/>
        <v>9.7398356587000004E-4</v>
      </c>
    </row>
    <row r="120" spans="1:26" ht="15.75" customHeight="1"/>
    <row r="121" spans="1:26">
      <c r="D121" s="860" t="s">
        <v>5747</v>
      </c>
      <c r="E121" s="860" t="s">
        <v>5820</v>
      </c>
      <c r="F121" s="860"/>
      <c r="G121" s="860"/>
      <c r="H121" s="860"/>
      <c r="I121" s="860"/>
      <c r="J121" s="860"/>
    </row>
    <row r="122" spans="1:26">
      <c r="D122" t="s">
        <v>5765</v>
      </c>
      <c r="E122" t="s">
        <v>5766</v>
      </c>
    </row>
    <row r="123" spans="1:26">
      <c r="D123" t="s">
        <v>5767</v>
      </c>
      <c r="E123" t="s">
        <v>5768</v>
      </c>
    </row>
    <row r="124" spans="1:26">
      <c r="D124" t="s">
        <v>5769</v>
      </c>
      <c r="E124" t="s">
        <v>5794</v>
      </c>
    </row>
    <row r="125" spans="1:26">
      <c r="D125" t="s">
        <v>5771</v>
      </c>
      <c r="E125" t="s">
        <v>5772</v>
      </c>
    </row>
    <row r="126" spans="1:26">
      <c r="D126" t="s">
        <v>5773</v>
      </c>
      <c r="E126" t="s">
        <v>5774</v>
      </c>
    </row>
    <row r="127" spans="1:26">
      <c r="D127" t="s">
        <v>5775</v>
      </c>
      <c r="E127" t="s">
        <v>5776</v>
      </c>
    </row>
    <row r="128" spans="1:26">
      <c r="A128" s="954" t="s">
        <v>5868</v>
      </c>
      <c r="B128" s="955" t="s">
        <v>5490</v>
      </c>
      <c r="C128" s="955" t="s">
        <v>5864</v>
      </c>
      <c r="D128" t="s">
        <v>5777</v>
      </c>
      <c r="E128" t="s">
        <v>5778</v>
      </c>
    </row>
    <row r="129" spans="1:25" ht="15.6">
      <c r="A129" s="850">
        <f>(C129-B129)/C129</f>
        <v>-0.52926026177884034</v>
      </c>
      <c r="B129" s="945">
        <f>'FE - Aluminum'!BJ30/'FE - Aluminum'!BH30/1000</f>
        <v>4.6859027344516344E-2</v>
      </c>
      <c r="C129" s="945">
        <f>SUM(T137:V137)</f>
        <v>3.0641630149997996E-2</v>
      </c>
      <c r="D129" t="s">
        <v>5779</v>
      </c>
      <c r="E129" t="s">
        <v>5778</v>
      </c>
    </row>
    <row r="130" spans="1:25" ht="15.6">
      <c r="A130" s="951" t="s">
        <v>5868</v>
      </c>
      <c r="B130" s="945" t="s">
        <v>5490</v>
      </c>
      <c r="C130" s="945" t="s">
        <v>5874</v>
      </c>
      <c r="D130" t="s">
        <v>5780</v>
      </c>
      <c r="E130" t="s">
        <v>5781</v>
      </c>
    </row>
    <row r="131" spans="1:25" ht="15.6">
      <c r="A131" s="952">
        <f>(C131-B131)/C131</f>
        <v>-2.3387215106343254E-3</v>
      </c>
      <c r="B131" s="945">
        <f>B119*(1-'FE - ACV Aluminum'!DO33)</f>
        <v>2.8497290019548713</v>
      </c>
      <c r="C131" s="945">
        <f>J137</f>
        <v>2.8430798299999998</v>
      </c>
      <c r="D131" t="s">
        <v>5782</v>
      </c>
      <c r="E131" t="s">
        <v>5783</v>
      </c>
    </row>
    <row r="132" spans="1:25" ht="15.6">
      <c r="A132" s="951" t="s">
        <v>5868</v>
      </c>
      <c r="B132" s="945" t="s">
        <v>5490</v>
      </c>
      <c r="C132" s="945" t="s">
        <v>5873</v>
      </c>
    </row>
    <row r="133" spans="1:25" ht="15.6">
      <c r="A133" s="952">
        <f>(C133-B133)/C133</f>
        <v>-2.163471581283224E-3</v>
      </c>
      <c r="B133" s="945">
        <f>B97*'FE - ACV Aluminum'!DO33</f>
        <v>5.0290649408080279</v>
      </c>
      <c r="C133" s="945">
        <f>I137</f>
        <v>5.0182081900000002</v>
      </c>
      <c r="D133" t="s">
        <v>5781</v>
      </c>
      <c r="E133" t="s">
        <v>5607</v>
      </c>
      <c r="F133" s="860" t="s">
        <v>5784</v>
      </c>
      <c r="G133" t="s">
        <v>5688</v>
      </c>
      <c r="H133" t="s">
        <v>5690</v>
      </c>
      <c r="I133" t="s">
        <v>5691</v>
      </c>
      <c r="J133" t="s">
        <v>5665</v>
      </c>
      <c r="K133" t="s">
        <v>5693</v>
      </c>
      <c r="L133" t="s">
        <v>5694</v>
      </c>
      <c r="M133" t="s">
        <v>5695</v>
      </c>
      <c r="N133" t="s">
        <v>5674</v>
      </c>
      <c r="O133" t="s">
        <v>5696</v>
      </c>
      <c r="P133" t="s">
        <v>5697</v>
      </c>
      <c r="Q133" t="s">
        <v>5676</v>
      </c>
      <c r="R133" t="s">
        <v>5698</v>
      </c>
      <c r="S133" t="s">
        <v>5699</v>
      </c>
      <c r="T133" t="s">
        <v>5624</v>
      </c>
      <c r="U133" t="s">
        <v>5652</v>
      </c>
      <c r="V133" t="s">
        <v>5626</v>
      </c>
      <c r="W133" t="s">
        <v>5703</v>
      </c>
      <c r="X133" t="s">
        <v>5679</v>
      </c>
      <c r="Y133" t="s">
        <v>5658</v>
      </c>
    </row>
    <row r="134" spans="1:25" ht="15.6">
      <c r="A134" s="951" t="s">
        <v>5868</v>
      </c>
      <c r="B134" s="951" t="s">
        <v>5490</v>
      </c>
      <c r="C134" s="951" t="s">
        <v>5875</v>
      </c>
      <c r="D134" s="860" t="s">
        <v>5749</v>
      </c>
      <c r="E134" t="s">
        <v>5750</v>
      </c>
      <c r="F134" s="502">
        <v>7.1706719999999997</v>
      </c>
      <c r="G134">
        <v>0</v>
      </c>
      <c r="H134">
        <v>2.1583403E-3</v>
      </c>
      <c r="I134">
        <v>4.4620508000000001</v>
      </c>
      <c r="J134">
        <v>2.5539966000000001</v>
      </c>
      <c r="K134">
        <v>3.6533586E-3</v>
      </c>
      <c r="L134" s="425">
        <v>2.033112E-6</v>
      </c>
      <c r="M134">
        <v>2.1078249999999998E-3</v>
      </c>
      <c r="N134">
        <v>8.6151556000000002E-4</v>
      </c>
      <c r="O134">
        <v>2.6120083E-4</v>
      </c>
      <c r="P134" s="425">
        <v>3.2237187999999997E-5</v>
      </c>
      <c r="Q134">
        <v>6.2512373000000001E-4</v>
      </c>
      <c r="R134">
        <v>0.11538329999999999</v>
      </c>
      <c r="S134">
        <v>1.4655952E-4</v>
      </c>
      <c r="T134">
        <v>3.0185265999999999E-3</v>
      </c>
      <c r="U134">
        <v>2.5442685E-2</v>
      </c>
      <c r="V134">
        <v>4.7779193E-4</v>
      </c>
      <c r="W134">
        <v>2.2647880000000001E-4</v>
      </c>
      <c r="X134">
        <v>2.0074316000000001E-4</v>
      </c>
      <c r="Y134" s="425">
        <v>2.6852373999999999E-5</v>
      </c>
    </row>
    <row r="135" spans="1:25" ht="15.6">
      <c r="A135" s="952">
        <f>(C135-B135)/C135</f>
        <v>-4.2731376864201202E-3</v>
      </c>
      <c r="B135" s="945">
        <f>B137</f>
        <v>7.9256529701074152</v>
      </c>
      <c r="C135" s="945">
        <f>F137-H137-SUM(K137:S137)-SUM(W137:Y137)</f>
        <v>7.8919296680244031</v>
      </c>
      <c r="D135" s="860" t="s">
        <v>5751</v>
      </c>
      <c r="E135" t="s">
        <v>5750</v>
      </c>
      <c r="F135" s="502">
        <v>0.47219320999999997</v>
      </c>
      <c r="G135">
        <v>0</v>
      </c>
      <c r="H135" s="425">
        <v>1.7940437999999999E-5</v>
      </c>
      <c r="I135">
        <v>0.30860891000000001</v>
      </c>
      <c r="J135">
        <v>0.16025091</v>
      </c>
      <c r="K135" s="425">
        <v>7.4846960000000004E-6</v>
      </c>
      <c r="L135" s="425">
        <v>4.3609754999999998E-9</v>
      </c>
      <c r="M135">
        <v>1.8645302999999999E-4</v>
      </c>
      <c r="N135" s="425">
        <v>5.4539853000000003E-6</v>
      </c>
      <c r="O135" s="425">
        <v>4.4284973999999998E-7</v>
      </c>
      <c r="P135" s="425">
        <v>4.7002849000000001E-7</v>
      </c>
      <c r="Q135" s="425">
        <v>2.9576033999999999E-6</v>
      </c>
      <c r="R135">
        <v>2.1381668000000002E-3</v>
      </c>
      <c r="S135" s="425">
        <v>3.8297803000000001E-7</v>
      </c>
      <c r="T135">
        <v>9.7056455000000001E-4</v>
      </c>
      <c r="U135" s="425">
        <v>2.7211530000000001E-6</v>
      </c>
      <c r="V135" s="425">
        <v>4.0091581999999998E-8</v>
      </c>
      <c r="W135" s="425">
        <v>1.2845237999999999E-7</v>
      </c>
      <c r="X135" s="425">
        <v>1.7504302999999999E-7</v>
      </c>
      <c r="Y135" s="425">
        <v>1.0158429E-8</v>
      </c>
    </row>
    <row r="136" spans="1:25" ht="15.6">
      <c r="A136" s="951" t="s">
        <v>5865</v>
      </c>
      <c r="B136" s="945" t="s">
        <v>127</v>
      </c>
      <c r="C136" s="945" t="s">
        <v>127</v>
      </c>
      <c r="D136" s="860" t="s">
        <v>5752</v>
      </c>
      <c r="E136" t="s">
        <v>5750</v>
      </c>
      <c r="F136" s="502">
        <v>0.37745087999999999</v>
      </c>
      <c r="G136">
        <v>0</v>
      </c>
      <c r="H136" s="425">
        <v>3.6359827999999999E-6</v>
      </c>
      <c r="I136">
        <v>0.24754847999999999</v>
      </c>
      <c r="J136">
        <v>0.12883232</v>
      </c>
      <c r="K136" s="425">
        <v>7.3141542000000001E-6</v>
      </c>
      <c r="L136" s="425">
        <v>3.7660393999999998E-9</v>
      </c>
      <c r="M136" s="425">
        <v>2.0462516E-5</v>
      </c>
      <c r="N136" s="425">
        <v>4.0565294E-6</v>
      </c>
      <c r="O136" s="425">
        <v>5.1244652999999997E-7</v>
      </c>
      <c r="P136">
        <v>1.6021142E-4</v>
      </c>
      <c r="Q136" s="425">
        <v>4.4763545000000002E-7</v>
      </c>
      <c r="R136">
        <v>1.4362279999999999E-4</v>
      </c>
      <c r="S136" s="425">
        <v>8.8829803999999999E-8</v>
      </c>
      <c r="T136">
        <v>7.2699481999999999E-4</v>
      </c>
      <c r="U136" s="425">
        <v>2.2638416999999999E-6</v>
      </c>
      <c r="V136" s="425">
        <v>4.2163716000000002E-8</v>
      </c>
      <c r="W136" s="425">
        <v>3.0717108000000002E-7</v>
      </c>
      <c r="X136" s="425">
        <v>7.6830488999999994E-8</v>
      </c>
      <c r="Y136" s="425">
        <v>4.3296028999999999E-8</v>
      </c>
    </row>
    <row r="137" spans="1:25" ht="15.6">
      <c r="A137" s="952">
        <f>(C137-B137)/C137</f>
        <v>1.1802916347725201E-2</v>
      </c>
      <c r="B137" s="945">
        <f>B131+B133+B129</f>
        <v>7.9256529701074152</v>
      </c>
      <c r="C137" s="945">
        <f>F137</f>
        <v>8.0203160899999997</v>
      </c>
      <c r="D137" s="860" t="s">
        <v>5753</v>
      </c>
      <c r="E137" t="s">
        <v>5750</v>
      </c>
      <c r="F137" s="502">
        <f>SUM(F134:F136)</f>
        <v>8.0203160899999997</v>
      </c>
      <c r="G137">
        <f t="shared" ref="G137:Y137" si="6">SUM(G134:G136)</f>
        <v>0</v>
      </c>
      <c r="H137">
        <f t="shared" si="6"/>
        <v>2.1799167208E-3</v>
      </c>
      <c r="I137">
        <f t="shared" si="6"/>
        <v>5.0182081900000002</v>
      </c>
      <c r="J137">
        <f t="shared" si="6"/>
        <v>2.8430798299999998</v>
      </c>
      <c r="K137">
        <f t="shared" si="6"/>
        <v>3.6681574502000001E-3</v>
      </c>
      <c r="L137">
        <f t="shared" si="6"/>
        <v>2.0412390148999999E-6</v>
      </c>
      <c r="M137">
        <f t="shared" si="6"/>
        <v>2.3147405459999996E-3</v>
      </c>
      <c r="N137">
        <f t="shared" si="6"/>
        <v>8.7102607469999999E-4</v>
      </c>
      <c r="O137">
        <f t="shared" si="6"/>
        <v>2.6215612627000003E-4</v>
      </c>
      <c r="P137">
        <f t="shared" si="6"/>
        <v>1.9291863649000001E-4</v>
      </c>
      <c r="Q137">
        <f t="shared" si="6"/>
        <v>6.2852896885000006E-4</v>
      </c>
      <c r="R137">
        <f t="shared" si="6"/>
        <v>0.11766508959999999</v>
      </c>
      <c r="S137">
        <f t="shared" si="6"/>
        <v>1.4703132783400001E-4</v>
      </c>
      <c r="T137">
        <f t="shared" si="6"/>
        <v>4.7160859699999997E-3</v>
      </c>
      <c r="U137">
        <f t="shared" si="6"/>
        <v>2.5447669994699999E-2</v>
      </c>
      <c r="V137">
        <f t="shared" si="6"/>
        <v>4.7787418529800002E-4</v>
      </c>
      <c r="W137">
        <f t="shared" si="6"/>
        <v>2.2691442346000002E-4</v>
      </c>
      <c r="X137">
        <f t="shared" si="6"/>
        <v>2.00995033519E-4</v>
      </c>
      <c r="Y137">
        <f t="shared" si="6"/>
        <v>2.6905828458E-5</v>
      </c>
    </row>
    <row r="140" spans="1:25">
      <c r="C140" s="914" t="s">
        <v>5821</v>
      </c>
      <c r="D140" s="860" t="s">
        <v>5747</v>
      </c>
      <c r="E140" s="860" t="s">
        <v>5795</v>
      </c>
      <c r="F140" s="860"/>
      <c r="G140" s="860"/>
    </row>
    <row r="141" spans="1:25">
      <c r="C141" s="259">
        <v>0</v>
      </c>
      <c r="D141" t="s">
        <v>5765</v>
      </c>
      <c r="E141" t="s">
        <v>5766</v>
      </c>
    </row>
    <row r="142" spans="1:25">
      <c r="D142" t="s">
        <v>5767</v>
      </c>
      <c r="E142" t="s">
        <v>5768</v>
      </c>
    </row>
    <row r="143" spans="1:25">
      <c r="D143" t="s">
        <v>5769</v>
      </c>
      <c r="E143" t="s">
        <v>5796</v>
      </c>
    </row>
    <row r="144" spans="1:25">
      <c r="D144" t="s">
        <v>5771</v>
      </c>
      <c r="E144" t="s">
        <v>5772</v>
      </c>
    </row>
    <row r="145" spans="3:11">
      <c r="D145" t="s">
        <v>5773</v>
      </c>
      <c r="E145" t="s">
        <v>5774</v>
      </c>
    </row>
    <row r="146" spans="3:11">
      <c r="D146" t="s">
        <v>5775</v>
      </c>
      <c r="E146" t="s">
        <v>5776</v>
      </c>
    </row>
    <row r="147" spans="3:11">
      <c r="D147" t="s">
        <v>5777</v>
      </c>
      <c r="E147" t="s">
        <v>5778</v>
      </c>
    </row>
    <row r="148" spans="3:11">
      <c r="D148" t="s">
        <v>5779</v>
      </c>
      <c r="E148" t="s">
        <v>5778</v>
      </c>
    </row>
    <row r="149" spans="3:11">
      <c r="D149" t="s">
        <v>5780</v>
      </c>
      <c r="E149" t="s">
        <v>5781</v>
      </c>
    </row>
    <row r="150" spans="3:11">
      <c r="D150" t="s">
        <v>5782</v>
      </c>
      <c r="E150" t="s">
        <v>5783</v>
      </c>
    </row>
    <row r="152" spans="3:11">
      <c r="D152" t="s">
        <v>5781</v>
      </c>
      <c r="E152" t="s">
        <v>5607</v>
      </c>
      <c r="F152" s="860" t="s">
        <v>5784</v>
      </c>
      <c r="G152" t="s">
        <v>5705</v>
      </c>
      <c r="H152" t="s">
        <v>5688</v>
      </c>
      <c r="I152" t="s">
        <v>5624</v>
      </c>
      <c r="J152" t="s">
        <v>5652</v>
      </c>
      <c r="K152" t="s">
        <v>5627</v>
      </c>
    </row>
    <row r="153" spans="3:11">
      <c r="D153" s="860" t="s">
        <v>5749</v>
      </c>
      <c r="E153" t="s">
        <v>5750</v>
      </c>
      <c r="F153" s="502">
        <v>7.21854</v>
      </c>
      <c r="G153">
        <v>0</v>
      </c>
      <c r="H153">
        <v>7.1706719999999997</v>
      </c>
      <c r="I153">
        <v>9.8643672999999994E-3</v>
      </c>
      <c r="J153">
        <v>3.7519319000000002E-2</v>
      </c>
      <c r="K153">
        <v>4.8433697000000001E-4</v>
      </c>
    </row>
    <row r="154" spans="3:11">
      <c r="D154" s="860" t="s">
        <v>5751</v>
      </c>
      <c r="E154" t="s">
        <v>5750</v>
      </c>
      <c r="F154" s="502">
        <v>0.47536900999999998</v>
      </c>
      <c r="G154">
        <v>0</v>
      </c>
      <c r="H154">
        <v>0.47219320999999997</v>
      </c>
      <c r="I154">
        <v>3.1717478000000002E-3</v>
      </c>
      <c r="J154" s="425">
        <v>4.0127764999999998E-6</v>
      </c>
      <c r="K154" s="425">
        <v>4.1966737999999997E-8</v>
      </c>
    </row>
    <row r="155" spans="3:11">
      <c r="D155" s="860" t="s">
        <v>5752</v>
      </c>
      <c r="E155" t="s">
        <v>5750</v>
      </c>
      <c r="F155" s="502">
        <v>0.37983002999999999</v>
      </c>
      <c r="G155">
        <v>0</v>
      </c>
      <c r="H155">
        <v>0.37745087999999999</v>
      </c>
      <c r="I155">
        <v>2.3757763000000001E-3</v>
      </c>
      <c r="J155" s="425">
        <v>3.3383976999999998E-6</v>
      </c>
      <c r="K155" s="425">
        <v>4.3059332000000002E-8</v>
      </c>
    </row>
    <row r="156" spans="3:11">
      <c r="D156" s="860" t="s">
        <v>5753</v>
      </c>
      <c r="E156" t="s">
        <v>5750</v>
      </c>
      <c r="F156" s="502">
        <f>SUM(F153:F155)</f>
        <v>8.0737390399999995</v>
      </c>
      <c r="G156">
        <f t="shared" ref="G156:K156" si="7">SUM(G153:G155)</f>
        <v>0</v>
      </c>
      <c r="H156">
        <f t="shared" si="7"/>
        <v>8.0203160899999997</v>
      </c>
      <c r="I156">
        <f t="shared" si="7"/>
        <v>1.5411891399999999E-2</v>
      </c>
      <c r="J156">
        <f t="shared" si="7"/>
        <v>3.7526670174200007E-2</v>
      </c>
      <c r="K156">
        <f t="shared" si="7"/>
        <v>4.8442199606999999E-4</v>
      </c>
    </row>
    <row r="160" spans="3:11">
      <c r="C160" s="914" t="s">
        <v>5821</v>
      </c>
    </row>
    <row r="161" spans="3:9">
      <c r="C161" t="s">
        <v>5822</v>
      </c>
      <c r="D161" s="860" t="s">
        <v>5747</v>
      </c>
      <c r="E161" s="860" t="s">
        <v>5799</v>
      </c>
      <c r="F161" s="860"/>
      <c r="G161" s="860"/>
    </row>
    <row r="162" spans="3:9">
      <c r="D162" t="s">
        <v>5765</v>
      </c>
      <c r="E162" t="s">
        <v>5766</v>
      </c>
    </row>
    <row r="163" spans="3:9">
      <c r="D163" t="s">
        <v>5767</v>
      </c>
      <c r="E163" t="s">
        <v>5768</v>
      </c>
    </row>
    <row r="164" spans="3:9">
      <c r="D164" t="s">
        <v>5769</v>
      </c>
      <c r="E164" t="s">
        <v>5800</v>
      </c>
    </row>
    <row r="165" spans="3:9">
      <c r="D165" t="s">
        <v>5771</v>
      </c>
      <c r="E165" t="s">
        <v>5772</v>
      </c>
    </row>
    <row r="166" spans="3:9">
      <c r="D166" t="s">
        <v>5773</v>
      </c>
      <c r="E166" t="s">
        <v>5774</v>
      </c>
    </row>
    <row r="167" spans="3:9">
      <c r="D167" t="s">
        <v>5775</v>
      </c>
      <c r="E167" t="s">
        <v>5776</v>
      </c>
    </row>
    <row r="168" spans="3:9">
      <c r="D168" t="s">
        <v>5777</v>
      </c>
      <c r="E168" t="s">
        <v>5778</v>
      </c>
    </row>
    <row r="169" spans="3:9">
      <c r="D169" t="s">
        <v>5779</v>
      </c>
      <c r="E169" t="s">
        <v>5778</v>
      </c>
    </row>
    <row r="170" spans="3:9">
      <c r="D170" t="s">
        <v>5780</v>
      </c>
      <c r="E170" t="s">
        <v>5781</v>
      </c>
    </row>
    <row r="171" spans="3:9">
      <c r="D171" t="s">
        <v>5782</v>
      </c>
      <c r="E171" t="s">
        <v>5783</v>
      </c>
    </row>
    <row r="173" spans="3:9">
      <c r="D173" t="s">
        <v>5781</v>
      </c>
      <c r="E173" t="s">
        <v>5607</v>
      </c>
      <c r="F173" s="860" t="s">
        <v>5784</v>
      </c>
      <c r="G173" t="s">
        <v>5716</v>
      </c>
      <c r="H173" t="s">
        <v>5705</v>
      </c>
      <c r="I173" t="s">
        <v>5720</v>
      </c>
    </row>
    <row r="174" spans="3:9">
      <c r="D174" s="860" t="s">
        <v>5749</v>
      </c>
      <c r="E174" t="s">
        <v>5750</v>
      </c>
      <c r="F174" s="502">
        <v>3.547933</v>
      </c>
      <c r="G174">
        <v>0</v>
      </c>
      <c r="H174">
        <v>3.0823166</v>
      </c>
      <c r="I174">
        <v>0.46561644000000002</v>
      </c>
    </row>
    <row r="175" spans="3:9">
      <c r="D175" s="860" t="s">
        <v>5751</v>
      </c>
      <c r="E175" t="s">
        <v>5750</v>
      </c>
      <c r="F175" s="502">
        <v>0.20719312000000001</v>
      </c>
      <c r="G175">
        <v>0</v>
      </c>
      <c r="H175">
        <v>0.20298257</v>
      </c>
      <c r="I175">
        <v>4.2105535999999999E-3</v>
      </c>
    </row>
    <row r="176" spans="3:9">
      <c r="D176" s="860" t="s">
        <v>5752</v>
      </c>
      <c r="E176" t="s">
        <v>5750</v>
      </c>
      <c r="F176" s="502">
        <v>0.16352041</v>
      </c>
      <c r="G176">
        <v>0</v>
      </c>
      <c r="H176">
        <v>0.16218742</v>
      </c>
      <c r="I176">
        <v>1.3329879E-3</v>
      </c>
    </row>
    <row r="177" spans="3:9">
      <c r="D177" s="860" t="s">
        <v>5753</v>
      </c>
      <c r="E177" t="s">
        <v>5750</v>
      </c>
      <c r="F177" s="502">
        <f>SUM(F174:F176)</f>
        <v>3.9186465299999997</v>
      </c>
      <c r="G177">
        <f t="shared" ref="G177:I177" si="8">SUM(G174:G176)</f>
        <v>0</v>
      </c>
      <c r="H177">
        <f t="shared" si="8"/>
        <v>3.44748659</v>
      </c>
      <c r="I177">
        <f t="shared" si="8"/>
        <v>0.47115998150000005</v>
      </c>
    </row>
    <row r="180" spans="3:9">
      <c r="C180" s="914" t="s">
        <v>5821</v>
      </c>
      <c r="D180" s="860"/>
      <c r="E180" s="860" t="s">
        <v>5823</v>
      </c>
      <c r="F180" s="860"/>
      <c r="G180" s="860"/>
    </row>
    <row r="181" spans="3:9">
      <c r="C181" t="s">
        <v>5824</v>
      </c>
      <c r="D181" t="s">
        <v>5765</v>
      </c>
      <c r="E181" t="s">
        <v>5766</v>
      </c>
    </row>
    <row r="182" spans="3:9">
      <c r="D182" t="s">
        <v>5767</v>
      </c>
      <c r="E182" t="s">
        <v>5768</v>
      </c>
    </row>
    <row r="183" spans="3:9">
      <c r="D183" t="s">
        <v>5769</v>
      </c>
      <c r="E183" t="s">
        <v>5825</v>
      </c>
    </row>
    <row r="184" spans="3:9">
      <c r="D184" t="s">
        <v>5771</v>
      </c>
      <c r="E184" t="s">
        <v>5772</v>
      </c>
    </row>
    <row r="185" spans="3:9">
      <c r="D185" t="s">
        <v>5773</v>
      </c>
      <c r="E185" t="s">
        <v>5774</v>
      </c>
    </row>
    <row r="186" spans="3:9">
      <c r="D186" t="s">
        <v>5775</v>
      </c>
      <c r="E186" t="s">
        <v>5776</v>
      </c>
    </row>
    <row r="187" spans="3:9">
      <c r="D187" t="s">
        <v>5777</v>
      </c>
      <c r="E187" t="s">
        <v>5778</v>
      </c>
    </row>
    <row r="188" spans="3:9">
      <c r="D188" t="s">
        <v>5779</v>
      </c>
      <c r="E188" t="s">
        <v>5778</v>
      </c>
    </row>
    <row r="189" spans="3:9">
      <c r="D189" t="s">
        <v>5780</v>
      </c>
      <c r="E189" t="s">
        <v>5781</v>
      </c>
    </row>
    <row r="190" spans="3:9">
      <c r="D190" t="s">
        <v>5782</v>
      </c>
      <c r="E190" t="s">
        <v>5783</v>
      </c>
    </row>
    <row r="192" spans="3:9">
      <c r="D192" t="s">
        <v>5781</v>
      </c>
      <c r="E192" t="s">
        <v>5607</v>
      </c>
      <c r="F192" s="860" t="s">
        <v>5784</v>
      </c>
      <c r="G192" t="s">
        <v>5826</v>
      </c>
      <c r="H192" t="s">
        <v>5827</v>
      </c>
    </row>
    <row r="193" spans="3:8">
      <c r="D193" s="860" t="s">
        <v>5749</v>
      </c>
      <c r="E193" t="s">
        <v>5750</v>
      </c>
      <c r="F193" s="502">
        <v>0.88348696000000004</v>
      </c>
      <c r="G193">
        <v>0</v>
      </c>
      <c r="H193">
        <v>0.88348696000000004</v>
      </c>
    </row>
    <row r="194" spans="3:8">
      <c r="D194" s="860" t="s">
        <v>5751</v>
      </c>
      <c r="E194" t="s">
        <v>5750</v>
      </c>
      <c r="F194" s="502">
        <v>5.7181263000000001E-3</v>
      </c>
      <c r="G194">
        <v>0</v>
      </c>
      <c r="H194">
        <v>5.7181263000000001E-3</v>
      </c>
    </row>
    <row r="195" spans="3:8">
      <c r="D195" s="860" t="s">
        <v>5752</v>
      </c>
      <c r="E195" t="s">
        <v>5750</v>
      </c>
      <c r="F195" s="502">
        <v>1.0999632000000001E-3</v>
      </c>
      <c r="G195">
        <v>0</v>
      </c>
      <c r="H195">
        <v>1.0999632000000001E-3</v>
      </c>
    </row>
    <row r="196" spans="3:8">
      <c r="D196" s="860" t="s">
        <v>5753</v>
      </c>
      <c r="E196" t="s">
        <v>5750</v>
      </c>
      <c r="F196" s="502">
        <f>SUM(F193:F195)</f>
        <v>0.89030504950000011</v>
      </c>
      <c r="G196">
        <f t="shared" ref="G196:H196" si="9">SUM(G193:G195)</f>
        <v>0</v>
      </c>
      <c r="H196">
        <f t="shared" si="9"/>
        <v>0.89030504950000011</v>
      </c>
    </row>
    <row r="199" spans="3:8">
      <c r="C199" s="914" t="s">
        <v>5821</v>
      </c>
      <c r="D199" s="860" t="s">
        <v>5747</v>
      </c>
      <c r="E199" s="860" t="s">
        <v>5801</v>
      </c>
      <c r="F199" s="860"/>
      <c r="G199" s="860"/>
      <c r="H199" s="860"/>
    </row>
    <row r="200" spans="3:8">
      <c r="C200" s="915" t="s">
        <v>5822</v>
      </c>
      <c r="D200" t="s">
        <v>5765</v>
      </c>
      <c r="E200" t="s">
        <v>5766</v>
      </c>
    </row>
    <row r="201" spans="3:8">
      <c r="D201" t="s">
        <v>5767</v>
      </c>
      <c r="E201" t="s">
        <v>5768</v>
      </c>
    </row>
    <row r="202" spans="3:8">
      <c r="D202" t="s">
        <v>5769</v>
      </c>
      <c r="E202" t="s">
        <v>5802</v>
      </c>
    </row>
    <row r="203" spans="3:8">
      <c r="D203" t="s">
        <v>5771</v>
      </c>
      <c r="E203" t="s">
        <v>5772</v>
      </c>
    </row>
    <row r="204" spans="3:8">
      <c r="D204" t="s">
        <v>5773</v>
      </c>
      <c r="E204" t="s">
        <v>5774</v>
      </c>
    </row>
    <row r="205" spans="3:8">
      <c r="D205" t="s">
        <v>5775</v>
      </c>
      <c r="E205" t="s">
        <v>5776</v>
      </c>
    </row>
    <row r="206" spans="3:8">
      <c r="D206" t="s">
        <v>5777</v>
      </c>
      <c r="E206" t="s">
        <v>5778</v>
      </c>
    </row>
    <row r="207" spans="3:8">
      <c r="D207" t="s">
        <v>5779</v>
      </c>
      <c r="E207" t="s">
        <v>5778</v>
      </c>
    </row>
    <row r="208" spans="3:8">
      <c r="D208" t="s">
        <v>5780</v>
      </c>
      <c r="E208" t="s">
        <v>5781</v>
      </c>
    </row>
    <row r="209" spans="3:9">
      <c r="D209" t="s">
        <v>5782</v>
      </c>
      <c r="E209" t="s">
        <v>5783</v>
      </c>
    </row>
    <row r="211" spans="3:9">
      <c r="D211" t="s">
        <v>5781</v>
      </c>
      <c r="E211" t="s">
        <v>5607</v>
      </c>
      <c r="F211" s="860" t="s">
        <v>5784</v>
      </c>
      <c r="G211" t="s">
        <v>5724</v>
      </c>
      <c r="H211" t="s">
        <v>5716</v>
      </c>
      <c r="I211" t="s">
        <v>5644</v>
      </c>
    </row>
    <row r="212" spans="3:9">
      <c r="D212" s="860" t="s">
        <v>5749</v>
      </c>
      <c r="E212" t="s">
        <v>5750</v>
      </c>
      <c r="F212" s="502">
        <v>3.6037289000000001</v>
      </c>
      <c r="G212">
        <v>0</v>
      </c>
      <c r="H212">
        <v>3.547933</v>
      </c>
      <c r="I212">
        <v>5.5795869999999997E-2</v>
      </c>
    </row>
    <row r="213" spans="3:9">
      <c r="D213" s="860" t="s">
        <v>5751</v>
      </c>
      <c r="E213" t="s">
        <v>5750</v>
      </c>
      <c r="F213" s="502">
        <v>0.2072222</v>
      </c>
      <c r="G213">
        <v>0</v>
      </c>
      <c r="H213">
        <v>0.20719312000000001</v>
      </c>
      <c r="I213" s="425">
        <v>2.9077920999999999E-5</v>
      </c>
    </row>
    <row r="214" spans="3:9">
      <c r="D214" s="860" t="s">
        <v>5752</v>
      </c>
      <c r="E214" t="s">
        <v>5750</v>
      </c>
      <c r="F214" s="502">
        <v>0.16565771000000001</v>
      </c>
      <c r="G214">
        <v>0</v>
      </c>
      <c r="H214">
        <v>0.16352041</v>
      </c>
      <c r="I214">
        <v>2.1372931999999998E-3</v>
      </c>
    </row>
    <row r="215" spans="3:9">
      <c r="D215" s="860" t="s">
        <v>5753</v>
      </c>
      <c r="E215" t="s">
        <v>5750</v>
      </c>
      <c r="F215" s="502">
        <f>SUM(F212:F214)</f>
        <v>3.9766088100000001</v>
      </c>
      <c r="G215">
        <f t="shared" ref="G215:I215" si="10">SUM(G212:G214)</f>
        <v>0</v>
      </c>
      <c r="H215">
        <f t="shared" si="10"/>
        <v>3.9186465299999997</v>
      </c>
      <c r="I215">
        <f t="shared" si="10"/>
        <v>5.7962241120999999E-2</v>
      </c>
    </row>
    <row r="216" spans="3:9">
      <c r="D216" s="502"/>
      <c r="F216" s="502"/>
    </row>
    <row r="217" spans="3:9">
      <c r="D217" s="502"/>
      <c r="F217" s="502"/>
    </row>
    <row r="218" spans="3:9">
      <c r="C218" s="914" t="s">
        <v>5821</v>
      </c>
      <c r="D218" s="860"/>
      <c r="E218" s="860" t="s">
        <v>5828</v>
      </c>
      <c r="F218" s="860"/>
      <c r="G218" s="860"/>
      <c r="H218" s="860"/>
    </row>
    <row r="219" spans="3:9">
      <c r="C219" s="259">
        <v>1</v>
      </c>
      <c r="D219" t="s">
        <v>5765</v>
      </c>
      <c r="E219" t="s">
        <v>5766</v>
      </c>
      <c r="F219" s="502"/>
    </row>
    <row r="220" spans="3:9">
      <c r="D220" t="s">
        <v>5767</v>
      </c>
      <c r="E220" t="s">
        <v>5768</v>
      </c>
      <c r="F220" s="502"/>
    </row>
    <row r="221" spans="3:9">
      <c r="D221" t="s">
        <v>5769</v>
      </c>
      <c r="E221" t="s">
        <v>5802</v>
      </c>
      <c r="F221" s="502"/>
    </row>
    <row r="222" spans="3:9">
      <c r="D222" t="s">
        <v>5771</v>
      </c>
      <c r="E222" t="s">
        <v>5772</v>
      </c>
      <c r="F222" s="502"/>
    </row>
    <row r="223" spans="3:9">
      <c r="D223" t="s">
        <v>5773</v>
      </c>
      <c r="E223" t="s">
        <v>5774</v>
      </c>
      <c r="F223" s="502"/>
    </row>
    <row r="224" spans="3:9">
      <c r="D224" t="s">
        <v>5775</v>
      </c>
      <c r="E224" t="s">
        <v>5776</v>
      </c>
      <c r="F224" s="502"/>
    </row>
    <row r="225" spans="3:12">
      <c r="D225" t="s">
        <v>5777</v>
      </c>
      <c r="E225" t="s">
        <v>5778</v>
      </c>
      <c r="F225" s="502"/>
    </row>
    <row r="226" spans="3:12">
      <c r="D226" t="s">
        <v>5779</v>
      </c>
      <c r="E226" t="s">
        <v>5778</v>
      </c>
      <c r="F226" s="502"/>
    </row>
    <row r="227" spans="3:12">
      <c r="D227" t="s">
        <v>5780</v>
      </c>
      <c r="E227" t="s">
        <v>5781</v>
      </c>
      <c r="F227" s="502"/>
    </row>
    <row r="228" spans="3:12">
      <c r="D228" t="s">
        <v>5782</v>
      </c>
      <c r="E228" t="s">
        <v>5783</v>
      </c>
      <c r="F228" s="502"/>
    </row>
    <row r="229" spans="3:12">
      <c r="F229" s="502"/>
    </row>
    <row r="230" spans="3:12">
      <c r="D230" t="s">
        <v>5781</v>
      </c>
      <c r="E230" t="s">
        <v>5607</v>
      </c>
      <c r="F230" s="860" t="s">
        <v>5784</v>
      </c>
      <c r="G230" t="s">
        <v>5724</v>
      </c>
      <c r="H230" t="s">
        <v>5716</v>
      </c>
      <c r="I230" t="s">
        <v>5644</v>
      </c>
      <c r="J230" t="s">
        <v>5806</v>
      </c>
      <c r="K230" t="s">
        <v>5807</v>
      </c>
      <c r="L230" t="s">
        <v>5808</v>
      </c>
    </row>
    <row r="231" spans="3:12">
      <c r="D231" s="860" t="s">
        <v>5749</v>
      </c>
      <c r="E231" t="s">
        <v>5750</v>
      </c>
      <c r="F231" s="502">
        <v>0.86839001000000005</v>
      </c>
      <c r="G231">
        <v>0</v>
      </c>
      <c r="H231">
        <v>0.81259413999999996</v>
      </c>
      <c r="I231">
        <v>5.5795869999999997E-2</v>
      </c>
      <c r="J231">
        <v>1.8458754E-3</v>
      </c>
      <c r="K231">
        <v>5.3641060999999997E-2</v>
      </c>
      <c r="L231">
        <v>3.6888949000000002E-3</v>
      </c>
    </row>
    <row r="232" spans="3:12">
      <c r="D232" s="860" t="s">
        <v>5751</v>
      </c>
      <c r="E232" t="s">
        <v>5750</v>
      </c>
      <c r="F232" s="502">
        <v>7.3773388999999997E-3</v>
      </c>
      <c r="G232">
        <v>0</v>
      </c>
      <c r="H232">
        <v>7.348261E-3</v>
      </c>
      <c r="I232" s="425">
        <v>2.9077920999999999E-5</v>
      </c>
      <c r="J232" s="425">
        <v>7.4685602000000002E-7</v>
      </c>
      <c r="K232" s="425">
        <v>1.5833147000000001E-5</v>
      </c>
      <c r="L232" s="425">
        <v>6.6201802000000001E-7</v>
      </c>
    </row>
    <row r="233" spans="3:12">
      <c r="D233" s="860" t="s">
        <v>5752</v>
      </c>
      <c r="E233" t="s">
        <v>5750</v>
      </c>
      <c r="F233" s="502">
        <v>4.4636245999999996E-3</v>
      </c>
      <c r="G233">
        <v>0</v>
      </c>
      <c r="H233">
        <v>2.3263314000000002E-3</v>
      </c>
      <c r="I233" s="425">
        <v>2.1372931999999998E-3</v>
      </c>
      <c r="J233" s="425">
        <v>3.8123172E-6</v>
      </c>
      <c r="K233">
        <v>1.9121548000000001E-4</v>
      </c>
      <c r="L233" s="425">
        <v>2.8473264999999998E-6</v>
      </c>
    </row>
    <row r="234" spans="3:12">
      <c r="D234" s="860" t="s">
        <v>5753</v>
      </c>
      <c r="E234" t="s">
        <v>5750</v>
      </c>
      <c r="F234" s="502">
        <f>SUM(F231:F233)</f>
        <v>0.88023097350000012</v>
      </c>
      <c r="G234">
        <f t="shared" ref="G234:I234" si="11">SUM(G231:G233)</f>
        <v>0</v>
      </c>
      <c r="H234">
        <f t="shared" si="11"/>
        <v>0.82226873239999998</v>
      </c>
      <c r="I234">
        <f t="shared" si="11"/>
        <v>5.7962241120999999E-2</v>
      </c>
    </row>
    <row r="235" spans="3:12">
      <c r="D235" s="502"/>
      <c r="F235" s="502"/>
    </row>
    <row r="236" spans="3:12">
      <c r="C236" s="914" t="s">
        <v>5821</v>
      </c>
      <c r="D236" s="860" t="s">
        <v>5747</v>
      </c>
      <c r="E236" s="860" t="s">
        <v>5797</v>
      </c>
      <c r="F236" s="860"/>
      <c r="G236" s="860"/>
    </row>
    <row r="237" spans="3:12">
      <c r="C237" s="916">
        <v>0</v>
      </c>
      <c r="D237" t="s">
        <v>5765</v>
      </c>
      <c r="E237" t="s">
        <v>5766</v>
      </c>
    </row>
    <row r="238" spans="3:12">
      <c r="D238" t="s">
        <v>5767</v>
      </c>
      <c r="E238" t="s">
        <v>5768</v>
      </c>
    </row>
    <row r="239" spans="3:12">
      <c r="D239" t="s">
        <v>5769</v>
      </c>
      <c r="E239" t="s">
        <v>5798</v>
      </c>
    </row>
    <row r="240" spans="3:12">
      <c r="D240" t="s">
        <v>5771</v>
      </c>
      <c r="E240" t="s">
        <v>5772</v>
      </c>
    </row>
    <row r="241" spans="3:8">
      <c r="D241" t="s">
        <v>5773</v>
      </c>
      <c r="E241" t="s">
        <v>5774</v>
      </c>
    </row>
    <row r="242" spans="3:8">
      <c r="D242" t="s">
        <v>5775</v>
      </c>
      <c r="E242" t="s">
        <v>5776</v>
      </c>
    </row>
    <row r="243" spans="3:8">
      <c r="D243" t="s">
        <v>5777</v>
      </c>
      <c r="E243" t="s">
        <v>5778</v>
      </c>
    </row>
    <row r="244" spans="3:8">
      <c r="D244" t="s">
        <v>5779</v>
      </c>
      <c r="E244" t="s">
        <v>5778</v>
      </c>
    </row>
    <row r="245" spans="3:8">
      <c r="D245" t="s">
        <v>5780</v>
      </c>
      <c r="E245" t="s">
        <v>5781</v>
      </c>
    </row>
    <row r="246" spans="3:8">
      <c r="D246" t="s">
        <v>5782</v>
      </c>
      <c r="E246" t="s">
        <v>5783</v>
      </c>
    </row>
    <row r="248" spans="3:8">
      <c r="D248" t="s">
        <v>5781</v>
      </c>
      <c r="E248" t="s">
        <v>5607</v>
      </c>
      <c r="F248" s="860" t="s">
        <v>5784</v>
      </c>
      <c r="G248" t="s">
        <v>5713</v>
      </c>
      <c r="H248" t="s">
        <v>5688</v>
      </c>
    </row>
    <row r="249" spans="3:8">
      <c r="D249" s="860" t="s">
        <v>5749</v>
      </c>
      <c r="E249" t="s">
        <v>5750</v>
      </c>
      <c r="F249" s="502">
        <v>7.1706719999999997</v>
      </c>
      <c r="G249">
        <v>0</v>
      </c>
      <c r="H249">
        <v>7.1706719999999997</v>
      </c>
    </row>
    <row r="250" spans="3:8">
      <c r="D250" s="860" t="s">
        <v>5751</v>
      </c>
      <c r="E250" t="s">
        <v>5750</v>
      </c>
      <c r="F250" s="502">
        <v>0.47219320999999997</v>
      </c>
      <c r="G250">
        <v>0</v>
      </c>
      <c r="H250">
        <v>0.47219320999999997</v>
      </c>
    </row>
    <row r="251" spans="3:8">
      <c r="D251" s="860" t="s">
        <v>5752</v>
      </c>
      <c r="E251" t="s">
        <v>5750</v>
      </c>
      <c r="F251" s="502">
        <v>0.37745087999999999</v>
      </c>
      <c r="G251">
        <v>0</v>
      </c>
      <c r="H251">
        <v>0.37745087999999999</v>
      </c>
    </row>
    <row r="252" spans="3:8">
      <c r="D252" s="860" t="s">
        <v>5753</v>
      </c>
      <c r="E252" t="s">
        <v>5750</v>
      </c>
      <c r="F252" s="502">
        <f>SUM(F249:F251)</f>
        <v>8.0203160899999997</v>
      </c>
      <c r="G252">
        <f t="shared" ref="G252:H252" si="12">SUM(G249:G251)</f>
        <v>0</v>
      </c>
      <c r="H252">
        <f t="shared" si="12"/>
        <v>8.0203160899999997</v>
      </c>
    </row>
    <row r="254" spans="3:8">
      <c r="C254" s="914" t="s">
        <v>5821</v>
      </c>
      <c r="D254" s="860" t="s">
        <v>5747</v>
      </c>
      <c r="E254" s="860" t="s">
        <v>5829</v>
      </c>
      <c r="F254" s="860"/>
      <c r="G254" s="860"/>
    </row>
    <row r="255" spans="3:8">
      <c r="C255" s="915" t="s">
        <v>5822</v>
      </c>
      <c r="D255" t="s">
        <v>5765</v>
      </c>
      <c r="E255" t="s">
        <v>5766</v>
      </c>
    </row>
    <row r="256" spans="3:8">
      <c r="D256" t="s">
        <v>5767</v>
      </c>
      <c r="E256" t="s">
        <v>5768</v>
      </c>
    </row>
    <row r="257" spans="4:9">
      <c r="D257" t="s">
        <v>5769</v>
      </c>
      <c r="E257" t="s">
        <v>5803</v>
      </c>
    </row>
    <row r="258" spans="4:9">
      <c r="D258" t="s">
        <v>5771</v>
      </c>
      <c r="E258" t="s">
        <v>5772</v>
      </c>
    </row>
    <row r="259" spans="4:9">
      <c r="D259" t="s">
        <v>5773</v>
      </c>
      <c r="E259" t="s">
        <v>5774</v>
      </c>
    </row>
    <row r="260" spans="4:9">
      <c r="D260" t="s">
        <v>5775</v>
      </c>
      <c r="E260" t="s">
        <v>5776</v>
      </c>
    </row>
    <row r="261" spans="4:9">
      <c r="D261" t="s">
        <v>5777</v>
      </c>
      <c r="E261" t="s">
        <v>5778</v>
      </c>
    </row>
    <row r="262" spans="4:9">
      <c r="D262" t="s">
        <v>5779</v>
      </c>
      <c r="E262" t="s">
        <v>5778</v>
      </c>
    </row>
    <row r="263" spans="4:9">
      <c r="D263" t="s">
        <v>5780</v>
      </c>
      <c r="E263" t="s">
        <v>5781</v>
      </c>
    </row>
    <row r="264" spans="4:9">
      <c r="D264" t="s">
        <v>5782</v>
      </c>
      <c r="E264" t="s">
        <v>5783</v>
      </c>
    </row>
    <row r="266" spans="4:9">
      <c r="D266" t="s">
        <v>5781</v>
      </c>
      <c r="E266" t="s">
        <v>5607</v>
      </c>
      <c r="F266" s="860" t="s">
        <v>5784</v>
      </c>
      <c r="G266" t="s">
        <v>5727</v>
      </c>
      <c r="H266" t="s">
        <v>5713</v>
      </c>
      <c r="I266" t="s">
        <v>5729</v>
      </c>
    </row>
    <row r="267" spans="4:9">
      <c r="D267" s="860" t="s">
        <v>5749</v>
      </c>
      <c r="E267" t="s">
        <v>5750</v>
      </c>
      <c r="F267" s="502">
        <v>3.4721940999999998</v>
      </c>
      <c r="G267">
        <v>0</v>
      </c>
      <c r="H267">
        <v>3.061877</v>
      </c>
      <c r="I267">
        <v>0.41031712999999997</v>
      </c>
    </row>
    <row r="268" spans="4:9">
      <c r="D268" s="860" t="s">
        <v>5751</v>
      </c>
      <c r="E268" t="s">
        <v>5750</v>
      </c>
      <c r="F268" s="502">
        <v>0.20716127000000001</v>
      </c>
      <c r="G268">
        <v>0</v>
      </c>
      <c r="H268">
        <v>0.20162649999999999</v>
      </c>
      <c r="I268">
        <v>5.5347714999999997E-3</v>
      </c>
    </row>
    <row r="269" spans="4:9">
      <c r="D269" s="860" t="s">
        <v>5752</v>
      </c>
      <c r="E269" t="s">
        <v>5750</v>
      </c>
      <c r="F269" s="502">
        <v>0.16321701999999999</v>
      </c>
      <c r="G269">
        <v>0</v>
      </c>
      <c r="H269">
        <v>0.16117152000000001</v>
      </c>
      <c r="I269">
        <v>2.0454958999999999E-3</v>
      </c>
    </row>
    <row r="270" spans="4:9">
      <c r="D270" s="860" t="s">
        <v>5753</v>
      </c>
      <c r="E270" t="s">
        <v>5750</v>
      </c>
      <c r="F270" s="502">
        <f>SUM(F267:F269)</f>
        <v>3.8425723899999995</v>
      </c>
      <c r="G270">
        <f t="shared" ref="G270:I270" si="13">SUM(G267:G269)</f>
        <v>0</v>
      </c>
      <c r="H270">
        <f t="shared" si="13"/>
        <v>3.42467502</v>
      </c>
      <c r="I270">
        <f t="shared" si="13"/>
        <v>0.41789739739999998</v>
      </c>
    </row>
    <row r="271" spans="4:9">
      <c r="D271" s="502"/>
      <c r="F271" s="502"/>
    </row>
    <row r="272" spans="4:9">
      <c r="D272" s="502"/>
      <c r="F272" s="502"/>
    </row>
    <row r="273" spans="3:8">
      <c r="C273" s="914" t="s">
        <v>5821</v>
      </c>
      <c r="D273" s="860" t="s">
        <v>5747</v>
      </c>
      <c r="E273" s="860" t="s">
        <v>5830</v>
      </c>
      <c r="F273" s="860"/>
      <c r="G273" s="860"/>
    </row>
    <row r="274" spans="3:8">
      <c r="C274" s="259">
        <v>1</v>
      </c>
      <c r="D274" t="s">
        <v>5765</v>
      </c>
      <c r="E274" t="s">
        <v>5766</v>
      </c>
      <c r="F274" s="502"/>
    </row>
    <row r="275" spans="3:8">
      <c r="D275" t="s">
        <v>5767</v>
      </c>
      <c r="E275" t="s">
        <v>5768</v>
      </c>
      <c r="F275" s="502"/>
    </row>
    <row r="276" spans="3:8">
      <c r="D276" t="s">
        <v>5769</v>
      </c>
      <c r="E276" t="s">
        <v>5803</v>
      </c>
      <c r="F276" s="502"/>
    </row>
    <row r="277" spans="3:8">
      <c r="D277" t="s">
        <v>5771</v>
      </c>
      <c r="E277" t="s">
        <v>5772</v>
      </c>
      <c r="F277" s="502"/>
    </row>
    <row r="278" spans="3:8">
      <c r="D278" t="s">
        <v>5773</v>
      </c>
      <c r="E278" t="s">
        <v>5774</v>
      </c>
      <c r="F278" s="502"/>
    </row>
    <row r="279" spans="3:8">
      <c r="D279" t="s">
        <v>5775</v>
      </c>
      <c r="E279" t="s">
        <v>5776</v>
      </c>
      <c r="F279" s="502"/>
    </row>
    <row r="280" spans="3:8">
      <c r="D280" t="s">
        <v>5777</v>
      </c>
      <c r="E280" t="s">
        <v>5778</v>
      </c>
      <c r="F280" s="502"/>
    </row>
    <row r="281" spans="3:8">
      <c r="D281" t="s">
        <v>5779</v>
      </c>
      <c r="E281" t="s">
        <v>5778</v>
      </c>
      <c r="F281" s="502"/>
    </row>
    <row r="282" spans="3:8">
      <c r="D282" t="s">
        <v>5780</v>
      </c>
      <c r="E282" t="s">
        <v>5781</v>
      </c>
      <c r="F282" s="502"/>
    </row>
    <row r="283" spans="3:8">
      <c r="D283" t="s">
        <v>5782</v>
      </c>
      <c r="E283" t="s">
        <v>5783</v>
      </c>
      <c r="F283" s="502"/>
    </row>
    <row r="284" spans="3:8">
      <c r="F284" s="502"/>
    </row>
    <row r="285" spans="3:8">
      <c r="D285" t="s">
        <v>5781</v>
      </c>
      <c r="E285" t="s">
        <v>5607</v>
      </c>
      <c r="F285" s="860" t="s">
        <v>5784</v>
      </c>
      <c r="G285" t="s">
        <v>5727</v>
      </c>
      <c r="H285" t="s">
        <v>5729</v>
      </c>
    </row>
    <row r="286" spans="3:8">
      <c r="D286" s="860" t="s">
        <v>5749</v>
      </c>
      <c r="E286" t="s">
        <v>5750</v>
      </c>
      <c r="F286" s="502">
        <v>0.71608574000000003</v>
      </c>
      <c r="G286">
        <v>0</v>
      </c>
      <c r="H286">
        <v>0.71608574000000003</v>
      </c>
    </row>
    <row r="287" spans="3:8">
      <c r="D287" s="860" t="s">
        <v>5751</v>
      </c>
      <c r="E287" t="s">
        <v>5750</v>
      </c>
      <c r="F287" s="502">
        <v>9.6592871000000004E-3</v>
      </c>
      <c r="G287">
        <v>0</v>
      </c>
      <c r="H287">
        <v>9.6592871000000004E-3</v>
      </c>
    </row>
    <row r="288" spans="3:8">
      <c r="D288" s="860" t="s">
        <v>5752</v>
      </c>
      <c r="E288" t="s">
        <v>5750</v>
      </c>
      <c r="F288" s="502">
        <v>3.5698009E-3</v>
      </c>
      <c r="G288">
        <v>0</v>
      </c>
      <c r="H288">
        <v>3.5698009E-3</v>
      </c>
    </row>
    <row r="289" spans="3:12">
      <c r="D289" s="860" t="s">
        <v>5753</v>
      </c>
      <c r="E289" t="s">
        <v>5750</v>
      </c>
      <c r="F289" s="502">
        <f>SUM(F286:F288)</f>
        <v>0.72931482800000003</v>
      </c>
      <c r="G289" s="502">
        <f t="shared" ref="G289:H289" si="14">SUM(G286:G288)</f>
        <v>0</v>
      </c>
      <c r="H289" s="502">
        <f t="shared" si="14"/>
        <v>0.72931482800000003</v>
      </c>
    </row>
    <row r="292" spans="3:12">
      <c r="C292" s="914" t="s">
        <v>5821</v>
      </c>
      <c r="D292" s="860" t="s">
        <v>5747</v>
      </c>
      <c r="E292" s="860" t="s">
        <v>5804</v>
      </c>
      <c r="F292" s="860"/>
      <c r="G292" s="860"/>
      <c r="H292" s="860"/>
    </row>
    <row r="293" spans="3:12">
      <c r="C293" s="140" t="s">
        <v>5822</v>
      </c>
      <c r="D293" t="s">
        <v>5765</v>
      </c>
      <c r="E293" t="s">
        <v>5766</v>
      </c>
    </row>
    <row r="294" spans="3:12">
      <c r="D294" t="s">
        <v>5767</v>
      </c>
      <c r="E294" t="s">
        <v>5768</v>
      </c>
    </row>
    <row r="295" spans="3:12">
      <c r="D295" t="s">
        <v>5769</v>
      </c>
      <c r="E295" t="s">
        <v>5805</v>
      </c>
    </row>
    <row r="296" spans="3:12">
      <c r="D296" t="s">
        <v>5771</v>
      </c>
      <c r="E296" t="s">
        <v>5772</v>
      </c>
    </row>
    <row r="297" spans="3:12">
      <c r="D297" t="s">
        <v>5773</v>
      </c>
      <c r="E297" t="s">
        <v>5774</v>
      </c>
    </row>
    <row r="298" spans="3:12">
      <c r="D298" t="s">
        <v>5775</v>
      </c>
      <c r="E298" t="s">
        <v>5776</v>
      </c>
    </row>
    <row r="299" spans="3:12">
      <c r="D299" t="s">
        <v>5777</v>
      </c>
      <c r="E299" t="s">
        <v>5778</v>
      </c>
    </row>
    <row r="300" spans="3:12">
      <c r="D300" t="s">
        <v>5779</v>
      </c>
      <c r="E300" t="s">
        <v>5778</v>
      </c>
    </row>
    <row r="301" spans="3:12">
      <c r="D301" t="s">
        <v>5780</v>
      </c>
      <c r="E301" t="s">
        <v>5781</v>
      </c>
    </row>
    <row r="302" spans="3:12">
      <c r="D302" t="s">
        <v>5782</v>
      </c>
      <c r="E302" t="s">
        <v>5783</v>
      </c>
    </row>
    <row r="304" spans="3:12">
      <c r="D304" t="s">
        <v>5781</v>
      </c>
      <c r="E304" t="s">
        <v>5607</v>
      </c>
      <c r="F304" s="860" t="s">
        <v>5784</v>
      </c>
      <c r="G304" t="s">
        <v>5731</v>
      </c>
      <c r="H304" t="s">
        <v>5727</v>
      </c>
      <c r="I304" t="s">
        <v>5644</v>
      </c>
      <c r="J304" t="s">
        <v>5806</v>
      </c>
      <c r="K304" t="s">
        <v>5807</v>
      </c>
      <c r="L304" t="s">
        <v>5808</v>
      </c>
    </row>
    <row r="305" spans="3:12">
      <c r="D305" s="860" t="s">
        <v>5749</v>
      </c>
      <c r="E305" t="s">
        <v>5750</v>
      </c>
      <c r="F305" s="502">
        <v>3.52799</v>
      </c>
      <c r="G305">
        <v>0</v>
      </c>
      <c r="H305">
        <v>3.4721940999999998</v>
      </c>
      <c r="I305">
        <v>5.5795869999999997E-2</v>
      </c>
      <c r="J305">
        <v>1.8458754E-3</v>
      </c>
      <c r="K305">
        <v>5.3641060999999997E-2</v>
      </c>
      <c r="L305">
        <v>3.6888949000000002E-3</v>
      </c>
    </row>
    <row r="306" spans="3:12">
      <c r="D306" s="860" t="s">
        <v>5751</v>
      </c>
      <c r="E306" t="s">
        <v>5750</v>
      </c>
      <c r="F306" s="502">
        <v>0.20719035</v>
      </c>
      <c r="G306">
        <v>0</v>
      </c>
      <c r="H306">
        <v>0.20716127000000001</v>
      </c>
      <c r="I306" s="425">
        <v>2.9077920999999999E-5</v>
      </c>
      <c r="J306" s="425">
        <v>7.4685602000000002E-7</v>
      </c>
      <c r="K306" s="425">
        <v>1.5833148000000001E-5</v>
      </c>
      <c r="L306" s="425">
        <v>6.6201802000000001E-7</v>
      </c>
    </row>
    <row r="307" spans="3:12">
      <c r="D307" s="860" t="s">
        <v>5752</v>
      </c>
      <c r="E307" t="s">
        <v>5750</v>
      </c>
      <c r="F307" s="502">
        <v>0.16535431</v>
      </c>
      <c r="G307">
        <v>0</v>
      </c>
      <c r="H307">
        <v>0.16321701999999999</v>
      </c>
      <c r="I307" s="425">
        <v>2.1372931999999998E-3</v>
      </c>
      <c r="J307" s="425">
        <v>3.8123172E-6</v>
      </c>
      <c r="K307">
        <v>1.9121548000000001E-4</v>
      </c>
      <c r="L307" s="425">
        <v>2.8473264999999998E-6</v>
      </c>
    </row>
    <row r="308" spans="3:12">
      <c r="D308" s="860" t="s">
        <v>5753</v>
      </c>
      <c r="E308" t="s">
        <v>5750</v>
      </c>
      <c r="F308" s="502">
        <f>SUM(F305:F307)</f>
        <v>3.9005346599999999</v>
      </c>
    </row>
    <row r="309" spans="3:12">
      <c r="D309" s="502"/>
      <c r="F309" s="502"/>
    </row>
    <row r="310" spans="3:12">
      <c r="D310" s="502"/>
      <c r="F310" s="502"/>
    </row>
    <row r="311" spans="3:12">
      <c r="C311" s="914" t="s">
        <v>5821</v>
      </c>
      <c r="D311" s="860" t="s">
        <v>5747</v>
      </c>
      <c r="E311" s="860" t="s">
        <v>5831</v>
      </c>
      <c r="F311" s="860"/>
      <c r="G311" s="860"/>
      <c r="H311" s="860"/>
    </row>
    <row r="312" spans="3:12">
      <c r="C312" s="259">
        <v>1</v>
      </c>
      <c r="D312" t="s">
        <v>5765</v>
      </c>
      <c r="E312" t="s">
        <v>5766</v>
      </c>
      <c r="F312" s="502"/>
    </row>
    <row r="313" spans="3:12">
      <c r="D313" t="s">
        <v>5767</v>
      </c>
      <c r="E313" t="s">
        <v>5768</v>
      </c>
      <c r="F313" s="502"/>
    </row>
    <row r="314" spans="3:12">
      <c r="D314" t="s">
        <v>5769</v>
      </c>
      <c r="E314" t="s">
        <v>5805</v>
      </c>
      <c r="F314" s="502"/>
    </row>
    <row r="315" spans="3:12">
      <c r="D315" t="s">
        <v>5771</v>
      </c>
      <c r="E315" t="s">
        <v>5772</v>
      </c>
      <c r="F315" s="502"/>
    </row>
    <row r="316" spans="3:12">
      <c r="D316" t="s">
        <v>5773</v>
      </c>
      <c r="E316" t="s">
        <v>5774</v>
      </c>
      <c r="F316" s="502"/>
    </row>
    <row r="317" spans="3:12">
      <c r="D317" t="s">
        <v>5775</v>
      </c>
      <c r="E317" t="s">
        <v>5776</v>
      </c>
      <c r="F317" s="502"/>
    </row>
    <row r="318" spans="3:12">
      <c r="D318" t="s">
        <v>5777</v>
      </c>
      <c r="E318" t="s">
        <v>5778</v>
      </c>
      <c r="F318" s="502"/>
    </row>
    <row r="319" spans="3:12">
      <c r="D319" t="s">
        <v>5779</v>
      </c>
      <c r="E319" t="s">
        <v>5778</v>
      </c>
      <c r="F319" s="502"/>
    </row>
    <row r="320" spans="3:12">
      <c r="D320" t="s">
        <v>5780</v>
      </c>
      <c r="E320" t="s">
        <v>5781</v>
      </c>
      <c r="F320" s="502"/>
    </row>
    <row r="321" spans="3:9">
      <c r="D321" t="s">
        <v>5782</v>
      </c>
      <c r="E321" t="s">
        <v>5783</v>
      </c>
      <c r="F321" s="502"/>
    </row>
    <row r="322" spans="3:9">
      <c r="D322" s="502"/>
      <c r="F322" s="502"/>
    </row>
    <row r="323" spans="3:9">
      <c r="D323" t="s">
        <v>5781</v>
      </c>
      <c r="E323" t="s">
        <v>5607</v>
      </c>
      <c r="F323" s="860" t="s">
        <v>5784</v>
      </c>
      <c r="G323" t="s">
        <v>5731</v>
      </c>
      <c r="H323" t="s">
        <v>5727</v>
      </c>
      <c r="I323" t="s">
        <v>5644</v>
      </c>
    </row>
    <row r="324" spans="3:9">
      <c r="D324" s="860" t="s">
        <v>5749</v>
      </c>
      <c r="E324" t="s">
        <v>5750</v>
      </c>
      <c r="F324" s="502">
        <v>0.77188161</v>
      </c>
      <c r="G324">
        <v>0</v>
      </c>
      <c r="H324">
        <v>0.71608574000000003</v>
      </c>
      <c r="I324">
        <v>5.5795869999999997E-2</v>
      </c>
    </row>
    <row r="325" spans="3:9">
      <c r="D325" s="860" t="s">
        <v>5751</v>
      </c>
      <c r="E325" t="s">
        <v>5750</v>
      </c>
      <c r="F325" s="502">
        <v>9.6883650000000009E-3</v>
      </c>
      <c r="G325">
        <v>0</v>
      </c>
      <c r="H325">
        <v>9.6592871000000004E-3</v>
      </c>
      <c r="I325" s="425">
        <v>2.9077920999999999E-5</v>
      </c>
    </row>
    <row r="326" spans="3:9">
      <c r="D326" s="860" t="s">
        <v>5752</v>
      </c>
      <c r="E326" t="s">
        <v>5750</v>
      </c>
      <c r="F326" s="502">
        <v>5.7070940999999998E-3</v>
      </c>
      <c r="G326">
        <v>0</v>
      </c>
      <c r="H326">
        <v>3.5698009E-3</v>
      </c>
      <c r="I326">
        <v>2.1372931999999998E-3</v>
      </c>
    </row>
    <row r="327" spans="3:9">
      <c r="D327" s="860" t="s">
        <v>5753</v>
      </c>
      <c r="E327" t="s">
        <v>5750</v>
      </c>
      <c r="F327" s="502">
        <f>SUM(F324:F326)</f>
        <v>0.78727706910000006</v>
      </c>
      <c r="G327">
        <f t="shared" ref="G327:I327" si="15">SUM(G324:G326)</f>
        <v>0</v>
      </c>
      <c r="H327">
        <f t="shared" si="15"/>
        <v>0.72931482800000003</v>
      </c>
      <c r="I327">
        <f t="shared" si="15"/>
        <v>5.7962241120999999E-2</v>
      </c>
    </row>
    <row r="330" spans="3:9">
      <c r="C330" s="914" t="s">
        <v>5821</v>
      </c>
      <c r="D330" s="860"/>
      <c r="E330" s="860" t="s">
        <v>5809</v>
      </c>
      <c r="F330" s="860"/>
      <c r="G330" s="860"/>
    </row>
    <row r="331" spans="3:9">
      <c r="C331" s="915" t="s">
        <v>5822</v>
      </c>
      <c r="D331" t="s">
        <v>5765</v>
      </c>
      <c r="E331" t="s">
        <v>5766</v>
      </c>
    </row>
    <row r="332" spans="3:9">
      <c r="D332" t="s">
        <v>5767</v>
      </c>
      <c r="E332" t="s">
        <v>5768</v>
      </c>
    </row>
    <row r="333" spans="3:9">
      <c r="D333" t="s">
        <v>5769</v>
      </c>
      <c r="E333" t="s">
        <v>5832</v>
      </c>
    </row>
    <row r="334" spans="3:9">
      <c r="D334" t="s">
        <v>5771</v>
      </c>
      <c r="E334" t="s">
        <v>5772</v>
      </c>
    </row>
    <row r="335" spans="3:9">
      <c r="D335" t="s">
        <v>5773</v>
      </c>
      <c r="E335" t="s">
        <v>5774</v>
      </c>
    </row>
    <row r="336" spans="3:9">
      <c r="D336" t="s">
        <v>5775</v>
      </c>
      <c r="E336" t="s">
        <v>5776</v>
      </c>
    </row>
    <row r="337" spans="3:9">
      <c r="D337" t="s">
        <v>5777</v>
      </c>
      <c r="E337" t="s">
        <v>5778</v>
      </c>
    </row>
    <row r="338" spans="3:9">
      <c r="D338" t="s">
        <v>5779</v>
      </c>
      <c r="E338" t="s">
        <v>5778</v>
      </c>
    </row>
    <row r="339" spans="3:9">
      <c r="D339" t="s">
        <v>5780</v>
      </c>
      <c r="E339" t="s">
        <v>5781</v>
      </c>
    </row>
    <row r="340" spans="3:9">
      <c r="D340" t="s">
        <v>5782</v>
      </c>
      <c r="E340" t="s">
        <v>5783</v>
      </c>
    </row>
    <row r="342" spans="3:9">
      <c r="D342" t="s">
        <v>5781</v>
      </c>
      <c r="E342" t="s">
        <v>5607</v>
      </c>
      <c r="F342" s="860" t="s">
        <v>5784</v>
      </c>
      <c r="G342" t="s">
        <v>5745</v>
      </c>
      <c r="H342" t="s">
        <v>5724</v>
      </c>
      <c r="I342" t="s">
        <v>5731</v>
      </c>
    </row>
    <row r="343" spans="3:9">
      <c r="D343" s="860" t="s">
        <v>5749</v>
      </c>
      <c r="E343" t="s">
        <v>5750</v>
      </c>
      <c r="F343" s="502">
        <v>3.5552880999999998</v>
      </c>
      <c r="G343">
        <v>0</v>
      </c>
      <c r="H343">
        <v>1.2988696</v>
      </c>
      <c r="I343">
        <v>2.2564185000000001</v>
      </c>
    </row>
    <row r="344" spans="3:9">
      <c r="D344" s="860" t="s">
        <v>5751</v>
      </c>
      <c r="E344" t="s">
        <v>5750</v>
      </c>
      <c r="F344" s="502">
        <v>0.20720183</v>
      </c>
      <c r="G344">
        <v>0</v>
      </c>
      <c r="H344">
        <v>7.4687806999999995E-2</v>
      </c>
      <c r="I344">
        <v>0.13251402000000001</v>
      </c>
    </row>
    <row r="345" spans="3:9">
      <c r="D345" s="860" t="s">
        <v>5752</v>
      </c>
      <c r="E345" t="s">
        <v>5750</v>
      </c>
      <c r="F345" s="502">
        <v>0.16546366000000001</v>
      </c>
      <c r="G345">
        <v>0</v>
      </c>
      <c r="H345">
        <v>5.9706975000000002E-2</v>
      </c>
      <c r="I345">
        <v>0.10575669</v>
      </c>
    </row>
    <row r="346" spans="3:9">
      <c r="D346" s="860" t="s">
        <v>5753</v>
      </c>
      <c r="E346" t="s">
        <v>5750</v>
      </c>
      <c r="F346" s="502">
        <f>SUM(F343:F345)</f>
        <v>3.9279535899999996</v>
      </c>
      <c r="G346">
        <f t="shared" ref="G346:I346" si="16">SUM(G343:G345)</f>
        <v>0</v>
      </c>
      <c r="H346">
        <f t="shared" si="16"/>
        <v>1.4332643819999999</v>
      </c>
      <c r="I346">
        <f t="shared" si="16"/>
        <v>2.4946892100000002</v>
      </c>
    </row>
    <row r="349" spans="3:9">
      <c r="C349" s="914" t="s">
        <v>5821</v>
      </c>
      <c r="D349" s="860" t="s">
        <v>5747</v>
      </c>
      <c r="E349" s="860" t="s">
        <v>5833</v>
      </c>
      <c r="F349" s="860"/>
      <c r="G349" s="860"/>
      <c r="H349" s="860"/>
      <c r="I349" s="860"/>
    </row>
    <row r="350" spans="3:9">
      <c r="C350" s="259">
        <v>1</v>
      </c>
      <c r="D350" t="s">
        <v>5765</v>
      </c>
      <c r="E350" t="s">
        <v>5766</v>
      </c>
    </row>
    <row r="351" spans="3:9">
      <c r="D351" t="s">
        <v>5767</v>
      </c>
      <c r="E351" t="s">
        <v>5768</v>
      </c>
    </row>
    <row r="352" spans="3:9">
      <c r="D352" t="s">
        <v>5769</v>
      </c>
      <c r="E352" t="s">
        <v>5832</v>
      </c>
    </row>
    <row r="353" spans="3:9">
      <c r="D353" t="s">
        <v>5771</v>
      </c>
      <c r="E353" t="s">
        <v>5772</v>
      </c>
    </row>
    <row r="354" spans="3:9">
      <c r="D354" t="s">
        <v>5773</v>
      </c>
      <c r="E354" t="s">
        <v>5774</v>
      </c>
    </row>
    <row r="355" spans="3:9">
      <c r="D355" t="s">
        <v>5775</v>
      </c>
      <c r="E355" t="s">
        <v>5776</v>
      </c>
    </row>
    <row r="356" spans="3:9">
      <c r="D356" t="s">
        <v>5777</v>
      </c>
      <c r="E356" t="s">
        <v>5778</v>
      </c>
    </row>
    <row r="357" spans="3:9">
      <c r="D357" t="s">
        <v>5779</v>
      </c>
      <c r="E357" t="s">
        <v>5778</v>
      </c>
    </row>
    <row r="358" spans="3:9">
      <c r="D358" t="s">
        <v>5780</v>
      </c>
      <c r="E358" t="s">
        <v>5781</v>
      </c>
    </row>
    <row r="359" spans="3:9">
      <c r="D359" t="s">
        <v>5782</v>
      </c>
      <c r="E359" t="s">
        <v>5783</v>
      </c>
    </row>
    <row r="361" spans="3:9">
      <c r="D361" t="s">
        <v>5781</v>
      </c>
      <c r="E361" t="s">
        <v>5607</v>
      </c>
      <c r="F361" s="860" t="s">
        <v>5784</v>
      </c>
      <c r="G361" t="s">
        <v>5745</v>
      </c>
      <c r="H361" t="s">
        <v>5724</v>
      </c>
      <c r="I361" t="s">
        <v>5731</v>
      </c>
    </row>
    <row r="362" spans="3:9">
      <c r="D362" s="860" t="s">
        <v>5749</v>
      </c>
      <c r="E362" t="s">
        <v>5750</v>
      </c>
      <c r="F362" s="502">
        <v>0.80666552999999996</v>
      </c>
      <c r="G362">
        <v>0</v>
      </c>
      <c r="H362">
        <v>0.3129884</v>
      </c>
      <c r="I362">
        <v>0.49367713000000002</v>
      </c>
    </row>
    <row r="363" spans="3:9">
      <c r="D363" s="860" t="s">
        <v>5751</v>
      </c>
      <c r="E363" t="s">
        <v>5750</v>
      </c>
      <c r="F363" s="502">
        <v>8.8554163000000002E-3</v>
      </c>
      <c r="G363">
        <v>0</v>
      </c>
      <c r="H363">
        <v>2.6589682999999999E-3</v>
      </c>
      <c r="I363">
        <v>6.1964478999999998E-3</v>
      </c>
    </row>
    <row r="364" spans="3:9">
      <c r="D364" s="860" t="s">
        <v>5752</v>
      </c>
      <c r="E364" t="s">
        <v>5750</v>
      </c>
      <c r="F364" s="502">
        <v>5.2589181E-3</v>
      </c>
      <c r="G364">
        <v>0</v>
      </c>
      <c r="H364">
        <v>1.6087963999999999E-3</v>
      </c>
      <c r="I364">
        <v>3.6501216999999999E-3</v>
      </c>
    </row>
    <row r="365" spans="3:9">
      <c r="D365" s="860" t="s">
        <v>5753</v>
      </c>
      <c r="E365" t="s">
        <v>5750</v>
      </c>
      <c r="F365" s="502">
        <f>SUM(F362:F364)</f>
        <v>0.82077986439999995</v>
      </c>
      <c r="G365">
        <f t="shared" ref="G365:I365" si="17">SUM(G362:G364)</f>
        <v>0</v>
      </c>
      <c r="H365">
        <f t="shared" si="17"/>
        <v>0.31725616470000001</v>
      </c>
      <c r="I365">
        <f t="shared" si="17"/>
        <v>0.50352369959999999</v>
      </c>
    </row>
    <row r="367" spans="3:9">
      <c r="C367" s="914" t="s">
        <v>5821</v>
      </c>
      <c r="D367" s="860" t="s">
        <v>5747</v>
      </c>
      <c r="E367" s="860" t="s">
        <v>5834</v>
      </c>
      <c r="F367" s="860"/>
      <c r="G367" s="860"/>
      <c r="H367" s="860"/>
      <c r="I367" s="860"/>
    </row>
    <row r="368" spans="3:9">
      <c r="C368" s="259">
        <v>0</v>
      </c>
      <c r="D368" t="s">
        <v>5765</v>
      </c>
      <c r="E368" t="s">
        <v>5766</v>
      </c>
    </row>
    <row r="369" spans="4:9">
      <c r="D369" t="s">
        <v>5767</v>
      </c>
      <c r="E369" t="s">
        <v>5768</v>
      </c>
    </row>
    <row r="370" spans="4:9">
      <c r="D370" t="s">
        <v>5769</v>
      </c>
      <c r="E370" t="s">
        <v>5832</v>
      </c>
    </row>
    <row r="371" spans="4:9">
      <c r="D371" t="s">
        <v>5771</v>
      </c>
      <c r="E371" t="s">
        <v>5772</v>
      </c>
    </row>
    <row r="372" spans="4:9">
      <c r="D372" t="s">
        <v>5773</v>
      </c>
      <c r="E372" t="s">
        <v>5774</v>
      </c>
    </row>
    <row r="373" spans="4:9">
      <c r="D373" t="s">
        <v>5775</v>
      </c>
      <c r="E373" t="s">
        <v>5776</v>
      </c>
    </row>
    <row r="374" spans="4:9">
      <c r="D374" t="s">
        <v>5777</v>
      </c>
      <c r="E374" t="s">
        <v>5778</v>
      </c>
    </row>
    <row r="375" spans="4:9">
      <c r="D375" t="s">
        <v>5779</v>
      </c>
      <c r="E375" t="s">
        <v>5778</v>
      </c>
    </row>
    <row r="376" spans="4:9">
      <c r="D376" t="s">
        <v>5780</v>
      </c>
      <c r="E376" t="s">
        <v>5781</v>
      </c>
    </row>
    <row r="377" spans="4:9">
      <c r="D377" t="s">
        <v>5782</v>
      </c>
      <c r="E377" t="s">
        <v>5783</v>
      </c>
    </row>
    <row r="379" spans="4:9">
      <c r="D379" t="s">
        <v>5781</v>
      </c>
      <c r="E379" t="s">
        <v>5607</v>
      </c>
      <c r="F379" s="860" t="s">
        <v>5784</v>
      </c>
      <c r="G379" t="s">
        <v>5745</v>
      </c>
      <c r="H379" t="s">
        <v>5724</v>
      </c>
      <c r="I379" t="s">
        <v>5731</v>
      </c>
    </row>
    <row r="380" spans="4:9">
      <c r="D380" s="860" t="s">
        <v>5749</v>
      </c>
      <c r="E380" t="s">
        <v>5750</v>
      </c>
      <c r="F380" s="502">
        <v>7.2437206999999999</v>
      </c>
      <c r="G380">
        <v>0</v>
      </c>
      <c r="H380">
        <v>2.6218436000000001</v>
      </c>
      <c r="I380">
        <v>4.6218770999999998</v>
      </c>
    </row>
    <row r="381" spans="4:9">
      <c r="D381" s="860" t="s">
        <v>5751</v>
      </c>
      <c r="E381" t="s">
        <v>5750</v>
      </c>
      <c r="F381" s="502">
        <v>0.47336692000000002</v>
      </c>
      <c r="G381">
        <v>0</v>
      </c>
      <c r="H381">
        <v>0.17134477000000001</v>
      </c>
      <c r="I381">
        <v>0.30202214999999999</v>
      </c>
    </row>
    <row r="382" spans="4:9">
      <c r="D382" s="860" t="s">
        <v>5752</v>
      </c>
      <c r="E382" t="s">
        <v>5750</v>
      </c>
      <c r="F382" s="502">
        <v>0.38044567000000001</v>
      </c>
      <c r="G382">
        <v>0</v>
      </c>
      <c r="H382">
        <v>0.13767009999999999</v>
      </c>
      <c r="I382">
        <v>0.24277557</v>
      </c>
    </row>
    <row r="383" spans="4:9">
      <c r="D383" s="860" t="s">
        <v>5753</v>
      </c>
      <c r="E383" t="s">
        <v>5750</v>
      </c>
      <c r="F383" s="502">
        <f>SUM(F380:F382)</f>
        <v>8.0975332899999994</v>
      </c>
      <c r="G383">
        <f t="shared" ref="G383:I383" si="18">SUM(G380:G382)</f>
        <v>0</v>
      </c>
      <c r="H383">
        <f t="shared" si="18"/>
        <v>2.93085847</v>
      </c>
      <c r="I383">
        <f t="shared" si="18"/>
        <v>5.1666748199999999</v>
      </c>
    </row>
    <row r="386" spans="3:11">
      <c r="C386" s="914" t="s">
        <v>5821</v>
      </c>
      <c r="D386" s="860" t="s">
        <v>5747</v>
      </c>
      <c r="E386" s="860" t="s">
        <v>5748</v>
      </c>
      <c r="F386" s="860"/>
      <c r="G386" s="860"/>
      <c r="H386" s="860"/>
      <c r="I386" s="502"/>
      <c r="J386" s="502"/>
    </row>
    <row r="387" spans="3:11">
      <c r="C387" s="915" t="s">
        <v>5822</v>
      </c>
      <c r="D387" t="s">
        <v>5765</v>
      </c>
      <c r="E387" t="s">
        <v>5766</v>
      </c>
    </row>
    <row r="388" spans="3:11">
      <c r="D388" t="s">
        <v>5767</v>
      </c>
      <c r="E388" t="s">
        <v>5768</v>
      </c>
    </row>
    <row r="389" spans="3:11">
      <c r="D389" t="s">
        <v>5769</v>
      </c>
      <c r="E389" t="s">
        <v>5810</v>
      </c>
    </row>
    <row r="390" spans="3:11">
      <c r="D390" t="s">
        <v>5771</v>
      </c>
      <c r="E390" t="s">
        <v>5772</v>
      </c>
    </row>
    <row r="391" spans="3:11">
      <c r="D391" t="s">
        <v>5773</v>
      </c>
      <c r="E391" t="s">
        <v>5774</v>
      </c>
    </row>
    <row r="392" spans="3:11">
      <c r="D392" t="s">
        <v>5775</v>
      </c>
      <c r="E392" t="s">
        <v>5776</v>
      </c>
    </row>
    <row r="393" spans="3:11">
      <c r="D393" t="s">
        <v>5777</v>
      </c>
      <c r="E393" t="s">
        <v>5778</v>
      </c>
    </row>
    <row r="394" spans="3:11">
      <c r="D394" t="s">
        <v>5779</v>
      </c>
      <c r="E394" t="s">
        <v>5778</v>
      </c>
    </row>
    <row r="395" spans="3:11">
      <c r="D395" t="s">
        <v>5780</v>
      </c>
      <c r="E395" t="s">
        <v>5781</v>
      </c>
    </row>
    <row r="396" spans="3:11">
      <c r="D396" t="s">
        <v>5782</v>
      </c>
      <c r="E396" t="s">
        <v>5783</v>
      </c>
    </row>
    <row r="398" spans="3:11">
      <c r="D398" t="s">
        <v>5781</v>
      </c>
      <c r="E398" t="s">
        <v>5607</v>
      </c>
      <c r="F398" s="860" t="s">
        <v>5784</v>
      </c>
      <c r="G398" t="s">
        <v>5737</v>
      </c>
      <c r="H398" t="s">
        <v>5739</v>
      </c>
      <c r="I398" t="s">
        <v>5742</v>
      </c>
      <c r="J398" t="s">
        <v>5724</v>
      </c>
      <c r="K398" t="s">
        <v>5745</v>
      </c>
    </row>
    <row r="399" spans="3:11">
      <c r="D399" s="860" t="s">
        <v>5749</v>
      </c>
      <c r="E399" t="s">
        <v>5750</v>
      </c>
      <c r="F399" s="502">
        <v>3.6724765000000001</v>
      </c>
      <c r="G399">
        <v>0</v>
      </c>
      <c r="H399">
        <v>4.8170408999999997E-2</v>
      </c>
      <c r="I399">
        <v>3.9953520999999999E-2</v>
      </c>
      <c r="J399">
        <v>2.1622373000000001</v>
      </c>
      <c r="K399">
        <v>1.4221151999999999</v>
      </c>
    </row>
    <row r="400" spans="3:11">
      <c r="D400" s="860" t="s">
        <v>5751</v>
      </c>
      <c r="E400" t="s">
        <v>5750</v>
      </c>
      <c r="F400" s="502">
        <v>0.22035590999999999</v>
      </c>
      <c r="G400">
        <v>0</v>
      </c>
      <c r="H400">
        <v>6.0833010999999998E-3</v>
      </c>
      <c r="I400">
        <v>7.0585617000000003E-3</v>
      </c>
      <c r="J400">
        <v>0.12433332</v>
      </c>
      <c r="K400">
        <v>8.2880731999999999E-2</v>
      </c>
    </row>
    <row r="401" spans="3:11">
      <c r="D401" s="860" t="s">
        <v>5752</v>
      </c>
      <c r="E401" t="s">
        <v>5750</v>
      </c>
      <c r="F401" s="502">
        <v>0.17280608</v>
      </c>
      <c r="G401">
        <v>0</v>
      </c>
      <c r="H401">
        <v>3.6329094999999999E-3</v>
      </c>
      <c r="I401">
        <v>3.5930778999999999E-3</v>
      </c>
      <c r="J401">
        <v>9.9394623000000001E-2</v>
      </c>
      <c r="K401">
        <v>6.6185464999999999E-2</v>
      </c>
    </row>
    <row r="402" spans="3:11">
      <c r="D402" s="860" t="s">
        <v>5753</v>
      </c>
      <c r="E402" t="s">
        <v>5750</v>
      </c>
      <c r="F402" s="502">
        <f>SUM(F399:F401)</f>
        <v>4.0656384900000004</v>
      </c>
      <c r="G402">
        <f t="shared" ref="G402:K402" si="19">SUM(G399:G401)</f>
        <v>0</v>
      </c>
      <c r="H402">
        <f t="shared" si="19"/>
        <v>5.7886619599999994E-2</v>
      </c>
      <c r="I402">
        <f t="shared" si="19"/>
        <v>5.0605160599999997E-2</v>
      </c>
      <c r="J402">
        <f t="shared" si="19"/>
        <v>2.3859652429999998</v>
      </c>
      <c r="K402">
        <f t="shared" si="19"/>
        <v>1.5711813969999999</v>
      </c>
    </row>
    <row r="405" spans="3:11">
      <c r="C405" s="914" t="s">
        <v>5821</v>
      </c>
      <c r="D405" s="860" t="s">
        <v>5747</v>
      </c>
      <c r="E405" s="860" t="s">
        <v>5835</v>
      </c>
      <c r="F405" s="860"/>
      <c r="G405" s="860"/>
      <c r="H405" s="860"/>
      <c r="I405" s="860"/>
      <c r="J405" s="860"/>
    </row>
    <row r="406" spans="3:11">
      <c r="C406" s="259">
        <v>1</v>
      </c>
      <c r="D406" t="s">
        <v>5765</v>
      </c>
      <c r="E406" t="s">
        <v>5766</v>
      </c>
    </row>
    <row r="407" spans="3:11">
      <c r="D407" t="s">
        <v>5767</v>
      </c>
      <c r="E407" t="s">
        <v>5768</v>
      </c>
    </row>
    <row r="408" spans="3:11">
      <c r="D408" t="s">
        <v>5769</v>
      </c>
      <c r="E408" t="s">
        <v>5810</v>
      </c>
    </row>
    <row r="409" spans="3:11">
      <c r="D409" t="s">
        <v>5771</v>
      </c>
      <c r="E409" t="s">
        <v>5772</v>
      </c>
    </row>
    <row r="410" spans="3:11">
      <c r="D410" t="s">
        <v>5773</v>
      </c>
      <c r="E410" t="s">
        <v>5774</v>
      </c>
    </row>
    <row r="411" spans="3:11">
      <c r="D411" t="s">
        <v>5775</v>
      </c>
      <c r="E411" t="s">
        <v>5776</v>
      </c>
    </row>
    <row r="412" spans="3:11">
      <c r="D412" t="s">
        <v>5777</v>
      </c>
      <c r="E412" t="s">
        <v>5778</v>
      </c>
    </row>
    <row r="413" spans="3:11">
      <c r="D413" t="s">
        <v>5779</v>
      </c>
      <c r="E413" t="s">
        <v>5778</v>
      </c>
    </row>
    <row r="414" spans="3:11">
      <c r="D414" t="s">
        <v>5780</v>
      </c>
      <c r="E414" t="s">
        <v>5781</v>
      </c>
    </row>
    <row r="415" spans="3:11">
      <c r="D415" t="s">
        <v>5782</v>
      </c>
      <c r="E415" t="s">
        <v>5783</v>
      </c>
    </row>
    <row r="417" spans="3:11">
      <c r="D417" t="s">
        <v>5781</v>
      </c>
      <c r="E417" t="s">
        <v>5607</v>
      </c>
      <c r="F417" s="860" t="s">
        <v>5784</v>
      </c>
      <c r="G417" t="s">
        <v>5737</v>
      </c>
      <c r="H417" t="s">
        <v>5739</v>
      </c>
      <c r="I417" t="s">
        <v>5742</v>
      </c>
      <c r="J417" t="s">
        <v>5724</v>
      </c>
      <c r="K417" t="s">
        <v>5745</v>
      </c>
    </row>
    <row r="418" spans="3:11">
      <c r="D418" s="860" t="s">
        <v>5749</v>
      </c>
      <c r="E418" t="s">
        <v>5750</v>
      </c>
      <c r="F418" s="502">
        <v>0.91822276000000003</v>
      </c>
      <c r="G418">
        <v>0</v>
      </c>
      <c r="H418">
        <v>3.9405983999999998E-2</v>
      </c>
      <c r="I418">
        <v>3.5116551000000003E-2</v>
      </c>
      <c r="J418">
        <v>0.52103401000000005</v>
      </c>
      <c r="K418">
        <v>0.32266621000000001</v>
      </c>
    </row>
    <row r="419" spans="3:11">
      <c r="D419" s="860" t="s">
        <v>5751</v>
      </c>
      <c r="E419" t="s">
        <v>5750</v>
      </c>
      <c r="F419" s="502">
        <v>2.0135759999999999E-2</v>
      </c>
      <c r="G419">
        <v>0</v>
      </c>
      <c r="H419">
        <v>5.4552448E-3</v>
      </c>
      <c r="I419">
        <v>6.7119457999999998E-3</v>
      </c>
      <c r="J419">
        <v>4.4264033999999999E-3</v>
      </c>
      <c r="K419">
        <v>3.5421665E-3</v>
      </c>
    </row>
    <row r="420" spans="3:11">
      <c r="D420" s="860" t="s">
        <v>5752</v>
      </c>
      <c r="E420" t="s">
        <v>5750</v>
      </c>
      <c r="F420" s="502">
        <v>1.121987E-2</v>
      </c>
      <c r="G420">
        <v>0</v>
      </c>
      <c r="H420">
        <v>3.1252313000000001E-3</v>
      </c>
      <c r="I420">
        <v>3.312897E-3</v>
      </c>
      <c r="J420">
        <v>2.6781747E-3</v>
      </c>
      <c r="K420">
        <v>2.1035671999999998E-3</v>
      </c>
    </row>
    <row r="421" spans="3:11">
      <c r="D421" s="860" t="s">
        <v>5753</v>
      </c>
      <c r="E421" t="s">
        <v>5750</v>
      </c>
      <c r="F421" s="502">
        <f>SUM(F418:F420)</f>
        <v>0.94957838999999999</v>
      </c>
      <c r="G421">
        <f t="shared" ref="G421:K421" si="20">SUM(G418:G420)</f>
        <v>0</v>
      </c>
      <c r="H421">
        <f t="shared" si="20"/>
        <v>4.7986460100000003E-2</v>
      </c>
      <c r="I421">
        <f t="shared" si="20"/>
        <v>4.5141393800000006E-2</v>
      </c>
      <c r="J421">
        <f t="shared" si="20"/>
        <v>0.52813858810000003</v>
      </c>
      <c r="K421">
        <f t="shared" si="20"/>
        <v>0.3283119437</v>
      </c>
    </row>
    <row r="423" spans="3:11">
      <c r="C423" s="914" t="s">
        <v>5821</v>
      </c>
      <c r="D423" s="860" t="s">
        <v>5747</v>
      </c>
      <c r="E423" s="860" t="s">
        <v>5836</v>
      </c>
      <c r="F423" s="860"/>
      <c r="G423" s="860"/>
      <c r="H423" s="860"/>
      <c r="I423" s="860"/>
      <c r="J423" s="860"/>
    </row>
    <row r="424" spans="3:11">
      <c r="C424" s="259">
        <v>0</v>
      </c>
      <c r="D424" t="s">
        <v>5765</v>
      </c>
      <c r="E424" t="s">
        <v>5766</v>
      </c>
    </row>
    <row r="425" spans="3:11">
      <c r="D425" t="s">
        <v>5767</v>
      </c>
      <c r="E425" t="s">
        <v>5768</v>
      </c>
    </row>
    <row r="426" spans="3:11">
      <c r="D426" t="s">
        <v>5769</v>
      </c>
      <c r="E426" t="s">
        <v>5810</v>
      </c>
    </row>
    <row r="427" spans="3:11">
      <c r="D427" t="s">
        <v>5771</v>
      </c>
      <c r="E427" t="s">
        <v>5772</v>
      </c>
    </row>
    <row r="428" spans="3:11">
      <c r="D428" t="s">
        <v>5773</v>
      </c>
      <c r="E428" t="s">
        <v>5774</v>
      </c>
    </row>
    <row r="429" spans="3:11">
      <c r="D429" t="s">
        <v>5775</v>
      </c>
      <c r="E429" t="s">
        <v>5776</v>
      </c>
    </row>
    <row r="430" spans="3:11">
      <c r="D430" t="s">
        <v>5777</v>
      </c>
      <c r="E430" t="s">
        <v>5778</v>
      </c>
    </row>
    <row r="431" spans="3:11">
      <c r="D431" t="s">
        <v>5779</v>
      </c>
      <c r="E431" t="s">
        <v>5778</v>
      </c>
    </row>
    <row r="432" spans="3:11">
      <c r="D432" t="s">
        <v>5780</v>
      </c>
      <c r="E432" t="s">
        <v>5781</v>
      </c>
    </row>
    <row r="433" spans="4:11">
      <c r="D433" t="s">
        <v>5782</v>
      </c>
      <c r="E433" t="s">
        <v>5783</v>
      </c>
    </row>
    <row r="435" spans="4:11">
      <c r="D435" t="s">
        <v>5781</v>
      </c>
      <c r="E435" t="s">
        <v>5607</v>
      </c>
      <c r="F435" s="860" t="s">
        <v>5784</v>
      </c>
      <c r="G435" t="s">
        <v>5737</v>
      </c>
      <c r="H435" t="s">
        <v>5739</v>
      </c>
      <c r="I435" t="s">
        <v>5742</v>
      </c>
      <c r="J435" t="s">
        <v>5724</v>
      </c>
      <c r="K435" t="s">
        <v>5745</v>
      </c>
    </row>
    <row r="436" spans="4:11">
      <c r="D436" s="860" t="s">
        <v>5749</v>
      </c>
      <c r="E436" t="s">
        <v>5750</v>
      </c>
      <c r="F436" s="502">
        <v>7.3684656999999998</v>
      </c>
      <c r="G436">
        <v>0</v>
      </c>
      <c r="H436">
        <v>5.9931568999999997E-2</v>
      </c>
      <c r="I436">
        <v>4.6444349000000003E-2</v>
      </c>
      <c r="J436">
        <v>4.3646016000000003</v>
      </c>
      <c r="K436">
        <v>2.8974883</v>
      </c>
    </row>
    <row r="437" spans="4:11">
      <c r="D437" s="860" t="s">
        <v>5751</v>
      </c>
      <c r="E437" t="s">
        <v>5750</v>
      </c>
      <c r="F437" s="502">
        <v>0.48903542</v>
      </c>
      <c r="G437">
        <v>0</v>
      </c>
      <c r="H437">
        <v>6.9261026000000002E-3</v>
      </c>
      <c r="I437">
        <v>7.5236927999999996E-3</v>
      </c>
      <c r="J437">
        <v>0.28523884999999999</v>
      </c>
      <c r="K437">
        <v>0.18934677</v>
      </c>
    </row>
    <row r="438" spans="4:11">
      <c r="D438" s="860" t="s">
        <v>5752</v>
      </c>
      <c r="E438" t="s">
        <v>5750</v>
      </c>
      <c r="F438" s="502">
        <v>0.38964189999999999</v>
      </c>
      <c r="G438">
        <v>0</v>
      </c>
      <c r="H438">
        <v>4.3141730999999997E-3</v>
      </c>
      <c r="I438">
        <v>3.9690582999999998E-3</v>
      </c>
      <c r="J438">
        <v>0.22918040000000001</v>
      </c>
      <c r="K438">
        <v>0.15217827</v>
      </c>
    </row>
    <row r="439" spans="4:11">
      <c r="D439" s="860" t="s">
        <v>5753</v>
      </c>
      <c r="E439" t="s">
        <v>5750</v>
      </c>
      <c r="F439" s="502">
        <f>SUM(F436:F438)</f>
        <v>8.2471430199999993</v>
      </c>
      <c r="G439">
        <f t="shared" ref="G439:K439" si="21">SUM(G436:G438)</f>
        <v>0</v>
      </c>
      <c r="H439">
        <f t="shared" si="21"/>
        <v>7.11718447E-2</v>
      </c>
      <c r="I439">
        <f t="shared" si="21"/>
        <v>5.7937100100000007E-2</v>
      </c>
      <c r="J439">
        <f t="shared" si="21"/>
        <v>4.8790208499999999</v>
      </c>
      <c r="K439">
        <f t="shared" si="21"/>
        <v>3.2390133400000001</v>
      </c>
    </row>
  </sheetData>
  <mergeCells count="1">
    <mergeCell ref="D1:J1"/>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2AE1A-4D00-4374-A9EC-EC8B61BE57BA}">
  <sheetPr>
    <tabColor rgb="FF00B050"/>
  </sheetPr>
  <dimension ref="A1:FG85"/>
  <sheetViews>
    <sheetView showGridLines="0" topLeftCell="E25" zoomScale="70" zoomScaleNormal="70" workbookViewId="0">
      <pane xSplit="3" topLeftCell="BC1" activePane="topRight" state="frozen"/>
      <selection activeCell="E7" sqref="E7"/>
      <selection pane="topRight" activeCell="BG29" sqref="BG29"/>
    </sheetView>
  </sheetViews>
  <sheetFormatPr defaultColWidth="8.88671875" defaultRowHeight="13.8" outlineLevelRow="1" outlineLevelCol="2"/>
  <cols>
    <col min="1" max="1" width="11.5546875" style="282" customWidth="1"/>
    <col min="2" max="2" width="64.33203125" style="282" hidden="1" customWidth="1" outlineLevel="1"/>
    <col min="3" max="3" width="39.77734375" style="282" hidden="1" customWidth="1" outlineLevel="1"/>
    <col min="4" max="4" width="55.6640625" style="283" hidden="1" customWidth="1" outlineLevel="1"/>
    <col min="5" max="5" width="56" style="282" bestFit="1" customWidth="1" collapsed="1"/>
    <col min="6" max="6" width="47.6640625" style="282" hidden="1" customWidth="1" outlineLevel="1"/>
    <col min="7" max="7" width="15.109375" style="282" hidden="1" customWidth="1" outlineLevel="1"/>
    <col min="8" max="8" width="4.88671875" style="282" customWidth="1" collapsed="1"/>
    <col min="9" max="12" width="11" style="282" hidden="1" customWidth="1" outlineLevel="1"/>
    <col min="13" max="14" width="12.44140625" style="282" hidden="1" customWidth="1" outlineLevel="1"/>
    <col min="15" max="15" width="9.77734375" style="282" hidden="1" customWidth="1" outlineLevel="1"/>
    <col min="16" max="16" width="12.6640625" style="282" hidden="1" customWidth="1" outlineLevel="1"/>
    <col min="17" max="17" width="10.109375" style="282" hidden="1" customWidth="1" outlineLevel="1"/>
    <col min="18" max="18" width="5.44140625" style="282" customWidth="1" collapsed="1"/>
    <col min="19" max="19" width="13" style="282" customWidth="1"/>
    <col min="20" max="25" width="12.33203125" style="282" hidden="1" customWidth="1" outlineLevel="1"/>
    <col min="26" max="26" width="5.44140625" style="282" customWidth="1" collapsed="1"/>
    <col min="27" max="27" width="12.6640625" style="282" customWidth="1"/>
    <col min="28" max="28" width="17.33203125" style="282" customWidth="1"/>
    <col min="29" max="29" width="19.109375" style="282" customWidth="1" outlineLevel="1"/>
    <col min="30" max="30" width="13.5546875" style="282" customWidth="1" outlineLevel="1"/>
    <col min="31" max="31" width="13.5546875" style="282" customWidth="1" outlineLevel="1" collapsed="1"/>
    <col min="32" max="58" width="13.5546875" style="282" customWidth="1" outlineLevel="1"/>
    <col min="59" max="59" width="21.21875" style="282" bestFit="1" customWidth="1"/>
    <col min="60" max="61" width="13.5546875" style="282" customWidth="1" outlineLevel="1"/>
    <col min="62" max="62" width="16.44140625" style="282" bestFit="1" customWidth="1" outlineLevel="1"/>
    <col min="63" max="63" width="13.5546875" style="282" customWidth="1" outlineLevel="1"/>
    <col min="64" max="64" width="14.6640625" style="282" customWidth="1" outlineLevel="1"/>
    <col min="65" max="65" width="13.88671875" style="282" customWidth="1"/>
    <col min="66" max="66" width="16.109375" style="282" customWidth="1" outlineLevel="1" collapsed="1"/>
    <col min="67" max="69" width="13" style="282" customWidth="1" outlineLevel="1"/>
    <col min="70" max="70" width="5.5546875" style="282" customWidth="1"/>
    <col min="71" max="81" width="19" style="282" customWidth="1" outlineLevel="1"/>
    <col min="82" max="82" width="5.6640625" style="282" customWidth="1"/>
    <col min="83" max="97" width="11.44140625" style="282" customWidth="1" outlineLevel="1"/>
    <col min="98" max="98" width="12.21875" style="282" customWidth="1" outlineLevel="1"/>
    <col min="99" max="110" width="11.44140625" style="282" customWidth="1" outlineLevel="1"/>
    <col min="111" max="111" width="11.6640625" style="282" customWidth="1" outlineLevel="1"/>
    <col min="112" max="112" width="8.77734375" style="282" customWidth="1"/>
    <col min="113" max="115" width="11.109375" style="282" customWidth="1" outlineLevel="1"/>
    <col min="116" max="116" width="11.44140625" style="282" customWidth="1" outlineLevel="2"/>
    <col min="117" max="117" width="12.77734375" style="282" customWidth="1"/>
    <col min="118" max="118" width="4" style="282" customWidth="1" outlineLevel="1"/>
    <col min="119" max="119" width="19.109375" style="282" customWidth="1" outlineLevel="1"/>
    <col min="120" max="120" width="19.21875" style="282" customWidth="1" outlineLevel="1"/>
    <col min="121" max="122" width="15.33203125" style="282" customWidth="1" outlineLevel="1"/>
    <col min="123" max="123" width="16.44140625" style="282" customWidth="1" outlineLevel="1"/>
    <col min="124" max="124" width="18.33203125" style="282" customWidth="1" outlineLevel="1"/>
    <col min="125" max="125" width="16.44140625" style="282" customWidth="1" outlineLevel="1"/>
    <col min="126" max="126" width="15.44140625" style="282" customWidth="1" outlineLevel="1"/>
    <col min="127" max="127" width="16.44140625" style="282" customWidth="1" outlineLevel="1"/>
    <col min="128" max="128" width="15.33203125" style="282" customWidth="1" outlineLevel="1"/>
    <col min="129" max="129" width="23.44140625" style="282" bestFit="1" customWidth="1"/>
    <col min="130" max="139" width="14.77734375" style="282" hidden="1" customWidth="1" outlineLevel="1"/>
    <col min="140" max="140" width="14.77734375" style="282" hidden="1" customWidth="1" collapsed="1"/>
    <col min="141" max="150" width="14.77734375" style="282" customWidth="1"/>
    <col min="151" max="152" width="10.77734375" style="282" customWidth="1"/>
    <col min="153" max="153" width="15.77734375" style="282" bestFit="1" customWidth="1"/>
    <col min="154" max="157" width="10.77734375" style="282" customWidth="1"/>
    <col min="158" max="16384" width="8.88671875" style="282"/>
  </cols>
  <sheetData>
    <row r="1" spans="1:163" ht="27" customHeight="1">
      <c r="DQ1" s="345" t="s">
        <v>87</v>
      </c>
      <c r="DR1" s="345" t="s">
        <v>5338</v>
      </c>
      <c r="DS1" s="345" t="s">
        <v>464</v>
      </c>
      <c r="DT1" s="345" t="s">
        <v>84</v>
      </c>
      <c r="DU1" s="345" t="s">
        <v>85</v>
      </c>
      <c r="DV1" s="346" t="s">
        <v>465</v>
      </c>
      <c r="DW1" s="347" t="s">
        <v>5343</v>
      </c>
      <c r="DX1" s="347" t="s">
        <v>215</v>
      </c>
      <c r="DY1" s="457" t="s">
        <v>450</v>
      </c>
    </row>
    <row r="2" spans="1:163" ht="30" customHeight="1">
      <c r="C2" s="282">
        <v>1</v>
      </c>
      <c r="D2" s="283">
        <v>2</v>
      </c>
      <c r="E2" s="282">
        <v>3</v>
      </c>
      <c r="F2" s="283">
        <v>4</v>
      </c>
      <c r="G2" s="282">
        <v>5</v>
      </c>
      <c r="H2" s="283">
        <v>6</v>
      </c>
      <c r="I2" s="282">
        <v>7</v>
      </c>
      <c r="J2" s="283">
        <v>8</v>
      </c>
      <c r="K2" s="282">
        <v>9</v>
      </c>
      <c r="L2" s="283">
        <v>10</v>
      </c>
      <c r="M2" s="282">
        <v>11</v>
      </c>
      <c r="N2" s="283">
        <v>12</v>
      </c>
      <c r="O2" s="282">
        <v>13</v>
      </c>
      <c r="P2" s="283">
        <v>14</v>
      </c>
      <c r="Q2" s="282">
        <v>15</v>
      </c>
      <c r="R2" s="283">
        <v>16</v>
      </c>
      <c r="S2" s="282">
        <v>17</v>
      </c>
      <c r="T2" s="283">
        <v>18</v>
      </c>
      <c r="U2" s="282">
        <v>19</v>
      </c>
      <c r="V2" s="283">
        <v>20</v>
      </c>
      <c r="W2" s="282">
        <v>21</v>
      </c>
      <c r="X2" s="283">
        <v>22</v>
      </c>
      <c r="Y2" s="282">
        <v>23</v>
      </c>
      <c r="Z2" s="283">
        <v>24</v>
      </c>
      <c r="AA2" s="282">
        <v>25</v>
      </c>
      <c r="AB2" s="283">
        <v>26</v>
      </c>
      <c r="AC2" s="282">
        <v>27</v>
      </c>
      <c r="AD2" s="283">
        <v>28</v>
      </c>
      <c r="AE2" s="282">
        <v>29</v>
      </c>
      <c r="AF2" s="283">
        <v>30</v>
      </c>
      <c r="AG2" s="282">
        <v>31</v>
      </c>
      <c r="AH2" s="283">
        <v>32</v>
      </c>
      <c r="AI2" s="282">
        <v>33</v>
      </c>
      <c r="AJ2" s="283">
        <v>34</v>
      </c>
      <c r="AK2" s="282">
        <v>35</v>
      </c>
      <c r="AL2" s="283">
        <v>36</v>
      </c>
      <c r="AM2" s="282">
        <v>37</v>
      </c>
      <c r="AN2" s="283">
        <v>38</v>
      </c>
      <c r="AO2" s="282">
        <v>39</v>
      </c>
      <c r="AP2" s="283">
        <v>40</v>
      </c>
      <c r="AQ2" s="282">
        <v>41</v>
      </c>
      <c r="AS2" s="283">
        <v>42</v>
      </c>
      <c r="AT2" s="282">
        <v>43</v>
      </c>
      <c r="AU2" s="283">
        <v>44</v>
      </c>
      <c r="AV2" s="282">
        <v>45</v>
      </c>
      <c r="AW2" s="283">
        <v>46</v>
      </c>
      <c r="AX2" s="282">
        <v>47</v>
      </c>
      <c r="AY2" s="283">
        <v>48</v>
      </c>
      <c r="AZ2" s="282">
        <v>49</v>
      </c>
      <c r="BA2" s="283">
        <v>50</v>
      </c>
      <c r="BB2" s="282">
        <v>51</v>
      </c>
      <c r="BC2" s="283">
        <v>52</v>
      </c>
      <c r="BD2" s="283"/>
      <c r="BE2" s="282">
        <v>53</v>
      </c>
      <c r="BF2" s="283">
        <v>54</v>
      </c>
      <c r="BG2" s="282">
        <v>55</v>
      </c>
      <c r="BH2" s="283">
        <v>56</v>
      </c>
      <c r="BI2" s="282">
        <v>57</v>
      </c>
      <c r="BJ2" s="283">
        <v>58</v>
      </c>
      <c r="DO2" s="947" t="s">
        <v>150</v>
      </c>
      <c r="DP2" s="947" t="s">
        <v>454</v>
      </c>
      <c r="DQ2" s="543">
        <v>11.766381766381766</v>
      </c>
      <c r="DR2" s="543">
        <v>16.067961165048544</v>
      </c>
      <c r="DS2" s="544">
        <v>19.205607476635514</v>
      </c>
      <c r="DT2" s="544">
        <v>11.2</v>
      </c>
      <c r="DU2" s="544">
        <v>16.899999999999999</v>
      </c>
      <c r="DV2" s="544">
        <f>DV5</f>
        <v>38.530113431951413</v>
      </c>
      <c r="DW2" s="544">
        <v>21.64835164835165</v>
      </c>
      <c r="DX2" s="544">
        <v>3.7777777777777777</v>
      </c>
      <c r="DY2"/>
      <c r="DZ2"/>
      <c r="EA2"/>
      <c r="EB2"/>
      <c r="EC2"/>
    </row>
    <row r="3" spans="1:163" ht="42" customHeight="1">
      <c r="R3" s="372" t="s">
        <v>536</v>
      </c>
      <c r="Z3" s="373" t="s">
        <v>537</v>
      </c>
      <c r="BG3" s="379" t="s">
        <v>539</v>
      </c>
      <c r="BH3" s="1149" t="s">
        <v>5811</v>
      </c>
      <c r="BI3" s="1149"/>
      <c r="BJ3" s="1149"/>
      <c r="BK3"/>
      <c r="BM3" s="380" t="s">
        <v>541</v>
      </c>
      <c r="BR3" s="373" t="s">
        <v>448</v>
      </c>
      <c r="BS3" s="1150" t="s">
        <v>5486</v>
      </c>
      <c r="BT3" s="1151"/>
      <c r="BU3" s="1151"/>
      <c r="BV3" s="1151"/>
      <c r="BW3" s="1151"/>
      <c r="BX3" s="1151"/>
      <c r="BY3" s="1151"/>
      <c r="BZ3" s="1151"/>
      <c r="CA3" s="1152"/>
      <c r="CB3" s="622" t="s">
        <v>127</v>
      </c>
      <c r="CD3" s="373" t="s">
        <v>449</v>
      </c>
      <c r="DH3" s="373" t="s">
        <v>544</v>
      </c>
      <c r="DM3" s="373" t="s">
        <v>5228</v>
      </c>
      <c r="DO3" s="947" t="s">
        <v>5858</v>
      </c>
      <c r="DP3" s="947" t="s">
        <v>454</v>
      </c>
      <c r="DQ3" s="543">
        <v>97.8</v>
      </c>
      <c r="DR3" s="543">
        <v>77.619866666666681</v>
      </c>
      <c r="DS3" s="544">
        <v>74.31986666666667</v>
      </c>
      <c r="DT3" s="544">
        <v>56.1571</v>
      </c>
      <c r="DU3" s="544">
        <v>104</v>
      </c>
      <c r="DV3" s="544">
        <v>0</v>
      </c>
      <c r="DW3" s="544">
        <v>63.1</v>
      </c>
      <c r="DX3" s="544">
        <v>1.986</v>
      </c>
      <c r="DZ3"/>
      <c r="EA3"/>
      <c r="EB3"/>
      <c r="EC3"/>
      <c r="EJ3" s="668" t="str">
        <f>+DZ8</f>
        <v>Ecoinvent</v>
      </c>
    </row>
    <row r="4" spans="1:163" customFormat="1" ht="34.200000000000003" customHeight="1">
      <c r="A4" s="284"/>
      <c r="D4" s="283"/>
      <c r="E4" s="285"/>
      <c r="S4" s="282"/>
      <c r="AA4" s="286" t="s">
        <v>451</v>
      </c>
      <c r="AB4" s="287">
        <v>7.970809</v>
      </c>
      <c r="AC4" s="288" t="s">
        <v>452</v>
      </c>
      <c r="AD4" s="282"/>
      <c r="AE4" s="282"/>
      <c r="AJ4" s="282"/>
      <c r="BH4" s="867">
        <f>-BB8-0.7*BC8-BD8</f>
        <v>1291.3588414008002</v>
      </c>
      <c r="BK4" s="282"/>
      <c r="BL4" s="282"/>
      <c r="BS4" s="386" t="s">
        <v>545</v>
      </c>
      <c r="BT4" s="386" t="s">
        <v>546</v>
      </c>
      <c r="BU4" s="386" t="s">
        <v>547</v>
      </c>
      <c r="BV4" s="386" t="s">
        <v>548</v>
      </c>
      <c r="BW4" s="386" t="s">
        <v>550</v>
      </c>
      <c r="BX4" s="386" t="s">
        <v>551</v>
      </c>
      <c r="BY4" s="386" t="s">
        <v>5372</v>
      </c>
      <c r="BZ4" s="386" t="s">
        <v>5371</v>
      </c>
      <c r="CA4" s="386" t="s">
        <v>549</v>
      </c>
      <c r="CB4" s="616" t="s">
        <v>5308</v>
      </c>
      <c r="CF4" s="282"/>
      <c r="DO4" s="947" t="s">
        <v>127</v>
      </c>
      <c r="DP4" s="947" t="s">
        <v>454</v>
      </c>
      <c r="DQ4" s="967">
        <f t="shared" ref="DQ4:DX4" si="0">SUM(DQ2:DQ3)</f>
        <v>109.56638176638177</v>
      </c>
      <c r="DR4" s="967">
        <f t="shared" si="0"/>
        <v>93.687827831715225</v>
      </c>
      <c r="DS4" s="967">
        <f t="shared" si="0"/>
        <v>93.525474143302176</v>
      </c>
      <c r="DT4" s="967">
        <f t="shared" si="0"/>
        <v>67.357100000000003</v>
      </c>
      <c r="DU4" s="967">
        <f t="shared" si="0"/>
        <v>120.9</v>
      </c>
      <c r="DV4" s="967">
        <f t="shared" si="0"/>
        <v>38.530113431951413</v>
      </c>
      <c r="DW4" s="967">
        <f t="shared" si="0"/>
        <v>84.748351648351644</v>
      </c>
      <c r="DX4" s="996">
        <f t="shared" si="0"/>
        <v>5.7637777777777774</v>
      </c>
      <c r="DY4" s="997" t="s">
        <v>5900</v>
      </c>
    </row>
    <row r="5" spans="1:163" customFormat="1" ht="34.200000000000003" customHeight="1">
      <c r="A5" s="290"/>
      <c r="D5" s="283"/>
      <c r="E5" s="291"/>
      <c r="S5" s="282"/>
      <c r="AA5" s="286" t="s">
        <v>453</v>
      </c>
      <c r="AB5" s="337" t="e">
        <f>+AB9</f>
        <v>#VALUE!</v>
      </c>
      <c r="AC5" s="282"/>
      <c r="AD5" s="282"/>
      <c r="AE5" s="282"/>
      <c r="BH5" s="506"/>
      <c r="BI5" s="505"/>
      <c r="BN5" s="289" t="s">
        <v>5589</v>
      </c>
      <c r="BO5" s="771">
        <v>0.14490559780300002</v>
      </c>
      <c r="BP5" s="771">
        <v>5.1657152885999993E-2</v>
      </c>
      <c r="BQ5" s="771">
        <v>7.0844420140249997E-3</v>
      </c>
      <c r="BS5" s="553">
        <v>12.54806</v>
      </c>
      <c r="BT5" s="553">
        <v>1.65726</v>
      </c>
      <c r="BU5" s="553">
        <v>5.6306799999999999</v>
      </c>
      <c r="BV5" s="553">
        <v>51.893079999999998</v>
      </c>
      <c r="BW5" s="553">
        <v>6.69299</v>
      </c>
      <c r="BX5" s="553">
        <v>18.1251</v>
      </c>
      <c r="BY5" s="553">
        <v>47.512230000000002</v>
      </c>
      <c r="BZ5" s="621">
        <v>22.863710000000001</v>
      </c>
      <c r="CA5" s="627">
        <v>2.6684199999999998</v>
      </c>
      <c r="CB5" s="471">
        <f>SUMPRODUCT(BS10:CA10,BS5:CA5)</f>
        <v>0</v>
      </c>
      <c r="CF5" s="282"/>
      <c r="DO5" s="348"/>
      <c r="DP5" s="348"/>
      <c r="DQ5" s="998">
        <f>DQ3+DQ2</f>
        <v>109.56638176638177</v>
      </c>
      <c r="DR5" s="999">
        <v>101.45192072663679</v>
      </c>
      <c r="DS5" s="999">
        <v>98.861633052553742</v>
      </c>
      <c r="DT5" s="999">
        <v>38.08654277967819</v>
      </c>
      <c r="DU5" s="999">
        <v>137.61430474311049</v>
      </c>
      <c r="DV5" s="998">
        <f>'FE - ACV Aluminum'!$CN$133</f>
        <v>38.530113431951413</v>
      </c>
      <c r="DW5" s="998">
        <f>DW3+DW2</f>
        <v>84.748351648351644</v>
      </c>
      <c r="DX5" s="998">
        <f>DX3+DX2</f>
        <v>5.7637777777777774</v>
      </c>
      <c r="DY5" s="997" t="s">
        <v>5600</v>
      </c>
    </row>
    <row r="6" spans="1:163" ht="34.200000000000003" customHeight="1">
      <c r="A6" s="293"/>
      <c r="E6" s="489" t="str" cm="1">
        <f t="array" ref="E6:R6">'FE - ACV Aluminum'!C2:P2</f>
        <v>Calibragem Simapro</v>
      </c>
      <c r="F6" s="282">
        <v>0</v>
      </c>
      <c r="G6" s="282">
        <v>0</v>
      </c>
      <c r="H6" s="282">
        <v>0</v>
      </c>
      <c r="I6" s="282">
        <v>0</v>
      </c>
      <c r="J6" s="282">
        <v>0</v>
      </c>
      <c r="K6" s="282">
        <v>0</v>
      </c>
      <c r="L6" s="282">
        <v>0</v>
      </c>
      <c r="M6" s="282">
        <v>0</v>
      </c>
      <c r="N6" s="282">
        <v>0</v>
      </c>
      <c r="O6" s="282">
        <v>0</v>
      </c>
      <c r="P6" s="282">
        <v>0</v>
      </c>
      <c r="Q6" s="282">
        <v>0</v>
      </c>
      <c r="R6" s="282">
        <v>0</v>
      </c>
      <c r="T6"/>
      <c r="U6"/>
      <c r="V6"/>
      <c r="W6"/>
      <c r="X6"/>
      <c r="Y6"/>
      <c r="Z6"/>
      <c r="AA6" s="286" t="s">
        <v>455</v>
      </c>
      <c r="AB6" s="294">
        <f>((BJ8+BN7*(BO6+BP6+BQ6))/AV10/1000)+CB5+BH4/AV10</f>
        <v>5.6865853964078932</v>
      </c>
      <c r="BG6"/>
      <c r="BH6" s="292"/>
      <c r="BJ6" s="505"/>
      <c r="BM6"/>
      <c r="BN6" s="295" t="s">
        <v>456</v>
      </c>
      <c r="BO6" s="296">
        <f>SUMPRODUCT($BH$11:$BH$54,BO11:BO54)*BO5</f>
        <v>0</v>
      </c>
      <c r="BP6" s="296">
        <f>SUMPRODUCT($BH$11:$BH$54,BP11:BP54)*BP5</f>
        <v>0</v>
      </c>
      <c r="BQ6" s="296">
        <f>SUMPRODUCT($BH$11:$BH$54,BQ11:BQ54)*BQ5</f>
        <v>0</v>
      </c>
      <c r="BS6" s="297"/>
      <c r="BT6" s="297"/>
      <c r="BU6" s="297"/>
      <c r="BV6" s="297"/>
      <c r="BW6" s="297"/>
      <c r="BX6" s="297"/>
      <c r="BY6" s="297"/>
      <c r="BZ6" s="297"/>
      <c r="CA6" s="297"/>
      <c r="CB6" s="297"/>
      <c r="CC6" s="297"/>
      <c r="CD6" s="297"/>
      <c r="CE6" s="297"/>
      <c r="DL6" s="298"/>
      <c r="DM6"/>
      <c r="DO6" s="348"/>
      <c r="DP6" s="348"/>
      <c r="DT6" s="999"/>
      <c r="DZ6"/>
      <c r="EA6"/>
      <c r="EB6"/>
      <c r="EC6"/>
    </row>
    <row r="7" spans="1:163" ht="60" customHeight="1">
      <c r="B7" s="359"/>
      <c r="C7" s="360"/>
      <c r="D7" s="490"/>
      <c r="E7" s="492" t="s">
        <v>532</v>
      </c>
      <c r="F7" s="493"/>
      <c r="G7" s="491"/>
      <c r="H7"/>
      <c r="I7" s="365" t="s">
        <v>534</v>
      </c>
      <c r="J7" s="366"/>
      <c r="K7" s="367"/>
      <c r="L7" s="366"/>
      <c r="M7" s="367"/>
      <c r="N7" s="367"/>
      <c r="O7" s="367"/>
      <c r="P7" s="366"/>
      <c r="Q7" s="367"/>
      <c r="R7"/>
      <c r="S7" s="368" t="s">
        <v>535</v>
      </c>
      <c r="T7" s="362"/>
      <c r="U7" s="362"/>
      <c r="V7" s="362"/>
      <c r="W7" s="362"/>
      <c r="X7" s="362"/>
      <c r="Y7" s="363"/>
      <c r="Z7"/>
      <c r="AB7" s="378"/>
      <c r="AC7" s="375" t="s">
        <v>538</v>
      </c>
      <c r="AD7" s="375"/>
      <c r="AE7" s="375"/>
      <c r="AF7" s="375"/>
      <c r="AG7" s="375"/>
      <c r="AH7" s="376"/>
      <c r="AI7" s="376"/>
      <c r="AJ7" s="376"/>
      <c r="AK7" s="376"/>
      <c r="AL7" s="376"/>
      <c r="AM7" s="376"/>
      <c r="AN7" s="376"/>
      <c r="AO7" s="376"/>
      <c r="AP7" s="376"/>
      <c r="AQ7" s="376"/>
      <c r="AR7" s="376"/>
      <c r="AS7" s="376"/>
      <c r="AT7" s="376"/>
      <c r="AU7" s="376"/>
      <c r="AV7" s="376"/>
      <c r="AW7" s="376"/>
      <c r="AX7" s="376"/>
      <c r="AY7" s="376"/>
      <c r="AZ7" s="376"/>
      <c r="BA7" s="376"/>
      <c r="BB7" s="376"/>
      <c r="BC7" s="376"/>
      <c r="BD7" s="376"/>
      <c r="BE7" s="376"/>
      <c r="BF7" s="377"/>
      <c r="BG7" s="300"/>
      <c r="BH7" s="384" t="s">
        <v>540</v>
      </c>
      <c r="BI7" s="301"/>
      <c r="BJ7" s="301"/>
      <c r="BK7" s="301"/>
      <c r="BL7" s="302"/>
      <c r="BM7"/>
      <c r="BN7" s="542">
        <v>1</v>
      </c>
      <c r="BO7" s="383" t="s">
        <v>542</v>
      </c>
      <c r="BP7" s="381"/>
      <c r="BQ7" s="381"/>
      <c r="BR7" s="299"/>
      <c r="BS7" s="303"/>
      <c r="BT7" s="303"/>
      <c r="BU7" s="303"/>
      <c r="BV7" s="303"/>
      <c r="BW7" s="303"/>
      <c r="BX7" s="303"/>
      <c r="BY7" s="303"/>
      <c r="BZ7" s="303"/>
      <c r="CA7" s="303"/>
      <c r="CB7" s="547"/>
      <c r="CC7" s="547"/>
      <c r="CD7"/>
      <c r="CE7" s="453" t="s">
        <v>543</v>
      </c>
      <c r="CF7" s="454"/>
      <c r="CG7" s="454"/>
      <c r="CH7" s="454"/>
      <c r="CI7" s="454"/>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6"/>
      <c r="DI7" s="1156" t="s">
        <v>5227</v>
      </c>
      <c r="DJ7" s="1157"/>
      <c r="DK7" s="1157"/>
      <c r="DL7" s="1158"/>
      <c r="DM7"/>
      <c r="DO7" s="1159" t="str">
        <f>E6</f>
        <v>Calibragem Simapro</v>
      </c>
      <c r="DP7" s="1160"/>
      <c r="DQ7" s="1160"/>
      <c r="DR7" s="1160"/>
      <c r="DS7" s="1160"/>
      <c r="DT7" s="1160"/>
      <c r="DU7" s="1160"/>
      <c r="DV7" s="1160"/>
      <c r="DW7" s="1160"/>
      <c r="DX7" s="1160"/>
      <c r="DY7"/>
      <c r="DZ7" s="348"/>
      <c r="EA7" s="348"/>
      <c r="EB7" s="348"/>
      <c r="EC7" s="348"/>
      <c r="ED7" s="348"/>
      <c r="EE7" s="348"/>
      <c r="EF7" s="348"/>
      <c r="EG7" s="348"/>
      <c r="EH7" s="348"/>
      <c r="EI7" s="348"/>
      <c r="EK7"/>
      <c r="EL7"/>
      <c r="EM7"/>
      <c r="EN7"/>
      <c r="EO7"/>
      <c r="EP7"/>
      <c r="EQ7"/>
      <c r="ER7"/>
      <c r="ES7"/>
      <c r="ET7"/>
    </row>
    <row r="8" spans="1:163" s="297" customFormat="1" ht="75" customHeight="1">
      <c r="B8" s="355" t="s">
        <v>458</v>
      </c>
      <c r="C8" s="355" t="s">
        <v>459</v>
      </c>
      <c r="D8" s="450" t="s">
        <v>125</v>
      </c>
      <c r="E8" s="450" t="s">
        <v>460</v>
      </c>
      <c r="F8" s="451" t="s">
        <v>533</v>
      </c>
      <c r="G8" s="471" t="s">
        <v>5273</v>
      </c>
      <c r="H8"/>
      <c r="I8" s="364" t="s">
        <v>461</v>
      </c>
      <c r="J8" s="364" t="s">
        <v>244</v>
      </c>
      <c r="K8" s="364" t="s">
        <v>501</v>
      </c>
      <c r="L8" s="364" t="s">
        <v>5</v>
      </c>
      <c r="M8" s="364" t="s">
        <v>5373</v>
      </c>
      <c r="N8" s="364" t="s">
        <v>530</v>
      </c>
      <c r="O8" s="364" t="s">
        <v>5470</v>
      </c>
      <c r="P8" s="364" t="s">
        <v>516</v>
      </c>
      <c r="Q8" s="364" t="s">
        <v>514</v>
      </c>
      <c r="R8"/>
      <c r="S8" s="369" t="s">
        <v>520</v>
      </c>
      <c r="T8" s="369"/>
      <c r="U8" s="369"/>
      <c r="V8" s="369"/>
      <c r="W8" s="369"/>
      <c r="X8" s="369"/>
      <c r="Y8" s="369"/>
      <c r="Z8"/>
      <c r="AB8" s="364" t="s">
        <v>531</v>
      </c>
      <c r="AC8" s="374">
        <f>SUM(AC11:AC42)</f>
        <v>0</v>
      </c>
      <c r="AD8" s="374">
        <f t="shared" ref="AD8:BE8" si="1">SUM(AD11:AD54)</f>
        <v>1.1213252548714081E-14</v>
      </c>
      <c r="AE8" s="374">
        <f t="shared" si="1"/>
        <v>1.6653345369377348E-15</v>
      </c>
      <c r="AF8" s="374">
        <f t="shared" si="1"/>
        <v>0</v>
      </c>
      <c r="AG8" s="374">
        <f t="shared" si="1"/>
        <v>9.2331639428571464</v>
      </c>
      <c r="AH8" s="374">
        <f t="shared" si="1"/>
        <v>0</v>
      </c>
      <c r="AI8" s="374">
        <f t="shared" si="1"/>
        <v>0</v>
      </c>
      <c r="AJ8" s="374">
        <f t="shared" si="1"/>
        <v>0</v>
      </c>
      <c r="AK8" s="374">
        <f t="shared" si="1"/>
        <v>0</v>
      </c>
      <c r="AL8" s="374">
        <f t="shared" si="1"/>
        <v>0</v>
      </c>
      <c r="AM8" s="374">
        <f t="shared" si="1"/>
        <v>0</v>
      </c>
      <c r="AN8" s="374">
        <f t="shared" si="1"/>
        <v>0</v>
      </c>
      <c r="AO8" s="374">
        <f t="shared" si="1"/>
        <v>0</v>
      </c>
      <c r="AP8" s="374">
        <f t="shared" si="1"/>
        <v>0</v>
      </c>
      <c r="AQ8" s="374">
        <f t="shared" si="1"/>
        <v>0</v>
      </c>
      <c r="AR8" s="374">
        <f t="shared" si="1"/>
        <v>0</v>
      </c>
      <c r="AS8" s="374">
        <f t="shared" si="1"/>
        <v>0</v>
      </c>
      <c r="AT8" s="374">
        <f t="shared" si="1"/>
        <v>0</v>
      </c>
      <c r="AU8" s="374">
        <f t="shared" si="1"/>
        <v>0</v>
      </c>
      <c r="AV8" s="374">
        <f t="shared" si="1"/>
        <v>0</v>
      </c>
      <c r="AW8" s="374">
        <f t="shared" si="1"/>
        <v>0</v>
      </c>
      <c r="AX8" s="374">
        <f t="shared" si="1"/>
        <v>0</v>
      </c>
      <c r="AY8" s="374">
        <f t="shared" si="1"/>
        <v>0</v>
      </c>
      <c r="AZ8" s="374">
        <f t="shared" si="1"/>
        <v>-1000</v>
      </c>
      <c r="BA8" s="374">
        <f t="shared" si="1"/>
        <v>-514.2487074966175</v>
      </c>
      <c r="BB8" s="374">
        <f t="shared" si="1"/>
        <v>-870.96300000000008</v>
      </c>
      <c r="BC8" s="374">
        <f t="shared" si="1"/>
        <v>-53.375220000000006</v>
      </c>
      <c r="BD8" s="374">
        <f t="shared" si="1"/>
        <v>-383.03318740080005</v>
      </c>
      <c r="BE8" s="374">
        <f t="shared" si="1"/>
        <v>0</v>
      </c>
      <c r="BF8" s="374"/>
      <c r="BG8" s="300"/>
      <c r="BH8" s="307"/>
      <c r="BI8" s="527">
        <f>SUMPRODUCT(BI11:BI54,$BM$11:$BM$54)</f>
        <v>58532.387822750381</v>
      </c>
      <c r="BJ8" s="527">
        <f>SUMPRODUCT(BJ11:BJ54,$BM$11:$BM$54)</f>
        <v>4395226.5550070927</v>
      </c>
      <c r="BK8" s="755">
        <f>SUMPRODUCT(BK11:BK54,$BM$11:$BM$54)</f>
        <v>58.53238782275038</v>
      </c>
      <c r="BL8" s="755">
        <f>SUMPRODUCT(BL11:BL54,$BM$11:$BM$54)</f>
        <v>4.3952265550070919</v>
      </c>
      <c r="BM8"/>
      <c r="BN8" s="204"/>
      <c r="BO8" s="540" t="s">
        <v>468</v>
      </c>
      <c r="BP8" s="382" t="s">
        <v>469</v>
      </c>
      <c r="BQ8" s="382" t="s">
        <v>470</v>
      </c>
      <c r="BR8" s="304"/>
      <c r="BS8" s="385" t="s">
        <v>552</v>
      </c>
      <c r="BT8" s="385"/>
      <c r="BU8" s="385"/>
      <c r="BV8" s="385"/>
      <c r="BW8" s="385"/>
      <c r="BX8" s="385"/>
      <c r="BY8" s="385"/>
      <c r="BZ8" s="385"/>
      <c r="CA8" s="385"/>
      <c r="CB8" s="548"/>
      <c r="CC8" s="548"/>
      <c r="CD8"/>
      <c r="CE8" s="450"/>
      <c r="CF8" s="450"/>
      <c r="CG8" s="450"/>
      <c r="CH8" s="450"/>
      <c r="CI8" s="450"/>
      <c r="CJ8" s="450"/>
      <c r="CK8" s="450"/>
      <c r="CL8" s="450"/>
      <c r="CM8" s="450"/>
      <c r="CN8" s="450"/>
      <c r="CO8" s="450"/>
      <c r="CP8" s="450"/>
      <c r="CQ8" s="450"/>
      <c r="CR8" s="450"/>
      <c r="CS8" s="450"/>
      <c r="CT8" s="450"/>
      <c r="CU8" s="450"/>
      <c r="CV8" s="450"/>
      <c r="CW8" s="450"/>
      <c r="CX8" s="450"/>
      <c r="CY8" s="450"/>
      <c r="CZ8" s="450"/>
      <c r="DA8" s="450"/>
      <c r="DB8" s="450"/>
      <c r="DC8" s="450"/>
      <c r="DD8" s="450"/>
      <c r="DE8" s="451"/>
      <c r="DF8" s="451"/>
      <c r="DG8" s="452"/>
      <c r="DI8" s="452"/>
      <c r="DJ8" s="452"/>
      <c r="DK8" s="471"/>
      <c r="DL8" s="486"/>
      <c r="DM8"/>
      <c r="DN8" s="282"/>
      <c r="DO8" s="449" t="s">
        <v>5224</v>
      </c>
      <c r="DP8" s="449" t="s">
        <v>5225</v>
      </c>
      <c r="DQ8" s="1153" t="s">
        <v>5226</v>
      </c>
      <c r="DR8" s="1154"/>
      <c r="DS8" s="1154"/>
      <c r="DT8" s="1154"/>
      <c r="DU8" s="1154"/>
      <c r="DV8" s="1154"/>
      <c r="DW8" s="1154"/>
      <c r="DX8" s="1155"/>
      <c r="DY8"/>
      <c r="DZ8" s="349" t="s">
        <v>150</v>
      </c>
      <c r="EA8" s="350"/>
      <c r="EB8" s="351" t="s">
        <v>457</v>
      </c>
      <c r="EC8" s="351"/>
      <c r="ED8" s="351"/>
      <c r="EE8" s="351"/>
      <c r="EF8" s="351"/>
      <c r="EG8" s="351"/>
      <c r="EH8" s="351"/>
      <c r="EI8" s="352"/>
      <c r="EK8"/>
      <c r="ET8"/>
      <c r="EU8"/>
      <c r="EV8"/>
      <c r="EW8"/>
    </row>
    <row r="9" spans="1:163" s="308" customFormat="1" ht="58.2" customHeight="1">
      <c r="B9" s="357"/>
      <c r="D9" s="356"/>
      <c r="E9" s="357"/>
      <c r="F9" s="494"/>
      <c r="G9" s="371"/>
      <c r="H9"/>
      <c r="I9" s="361">
        <f t="shared" ref="I9:Q9" si="2">SUM(I11:I55)</f>
        <v>1</v>
      </c>
      <c r="J9" s="361">
        <f t="shared" si="2"/>
        <v>1</v>
      </c>
      <c r="K9" s="361">
        <f t="shared" si="2"/>
        <v>0</v>
      </c>
      <c r="L9" s="361">
        <f t="shared" si="2"/>
        <v>1</v>
      </c>
      <c r="M9" s="361">
        <f t="shared" si="2"/>
        <v>1</v>
      </c>
      <c r="N9" s="361">
        <f t="shared" si="2"/>
        <v>1</v>
      </c>
      <c r="O9" s="361">
        <f t="shared" si="2"/>
        <v>1</v>
      </c>
      <c r="P9" s="361">
        <f t="shared" si="2"/>
        <v>1</v>
      </c>
      <c r="Q9" s="361">
        <f t="shared" si="2"/>
        <v>1</v>
      </c>
      <c r="R9"/>
      <c r="S9" s="371"/>
      <c r="T9" s="371"/>
      <c r="U9" s="371"/>
      <c r="V9" s="371"/>
      <c r="W9" s="371"/>
      <c r="X9" s="371"/>
      <c r="Y9" s="371"/>
      <c r="Z9"/>
      <c r="AB9" s="339" t="e">
        <f>SUM(AB11:AB54)</f>
        <v>#VALUE!</v>
      </c>
      <c r="AC9" s="313" t="s">
        <v>482</v>
      </c>
      <c r="AD9" s="313" t="s">
        <v>87</v>
      </c>
      <c r="AE9" s="313" t="s">
        <v>116</v>
      </c>
      <c r="AF9" s="313" t="s">
        <v>114</v>
      </c>
      <c r="AG9" s="313" t="s">
        <v>112</v>
      </c>
      <c r="AH9" s="313" t="s">
        <v>5</v>
      </c>
      <c r="AI9" s="313" t="s">
        <v>511</v>
      </c>
      <c r="AJ9" s="313" t="s">
        <v>512</v>
      </c>
      <c r="AK9" s="313" t="s">
        <v>504</v>
      </c>
      <c r="AL9" s="313" t="s">
        <v>505</v>
      </c>
      <c r="AM9" s="313" t="s">
        <v>244</v>
      </c>
      <c r="AN9" s="313" t="s">
        <v>109</v>
      </c>
      <c r="AO9" s="313" t="s">
        <v>517</v>
      </c>
      <c r="AP9" s="313" t="s">
        <v>105</v>
      </c>
      <c r="AQ9" s="313" t="s">
        <v>492</v>
      </c>
      <c r="AR9" s="313" t="s">
        <v>5373</v>
      </c>
      <c r="AS9" s="313" t="s">
        <v>5375</v>
      </c>
      <c r="AT9" s="332" t="s">
        <v>203</v>
      </c>
      <c r="AU9" s="332" t="s">
        <v>521</v>
      </c>
      <c r="AV9" s="389" t="s">
        <v>530</v>
      </c>
      <c r="AW9" s="332" t="s">
        <v>5552</v>
      </c>
      <c r="AX9" s="332" t="s">
        <v>515</v>
      </c>
      <c r="AY9" s="332" t="s">
        <v>516</v>
      </c>
      <c r="AZ9" s="332" t="s">
        <v>514</v>
      </c>
      <c r="BA9" s="333" t="s">
        <v>117</v>
      </c>
      <c r="BB9" s="333" t="s">
        <v>3</v>
      </c>
      <c r="BC9" s="333" t="s">
        <v>4</v>
      </c>
      <c r="BD9" s="333" t="s">
        <v>5889</v>
      </c>
      <c r="BE9" s="333" t="s">
        <v>483</v>
      </c>
      <c r="BF9" s="328" t="s">
        <v>471</v>
      </c>
      <c r="BG9" s="300"/>
      <c r="BH9" s="310" t="s">
        <v>472</v>
      </c>
      <c r="BI9" s="310" t="s">
        <v>473</v>
      </c>
      <c r="BJ9" s="310" t="s">
        <v>474</v>
      </c>
      <c r="BK9" s="312" t="s">
        <v>518</v>
      </c>
      <c r="BL9" s="312" t="s">
        <v>519</v>
      </c>
      <c r="BM9"/>
      <c r="BN9" s="204"/>
      <c r="BO9" s="487" t="s">
        <v>475</v>
      </c>
      <c r="BP9" s="340" t="s">
        <v>475</v>
      </c>
      <c r="BQ9" s="340" t="s">
        <v>475</v>
      </c>
      <c r="BR9" s="311"/>
      <c r="BS9" s="386" t="s">
        <v>545</v>
      </c>
      <c r="BT9" s="386" t="s">
        <v>546</v>
      </c>
      <c r="BU9" s="386" t="s">
        <v>547</v>
      </c>
      <c r="BV9" s="386" t="s">
        <v>548</v>
      </c>
      <c r="BW9" s="386" t="s">
        <v>550</v>
      </c>
      <c r="BX9" s="386" t="s">
        <v>551</v>
      </c>
      <c r="BY9" s="386" t="s">
        <v>5372</v>
      </c>
      <c r="BZ9" s="386" t="s">
        <v>5371</v>
      </c>
      <c r="CA9" s="386" t="s">
        <v>549</v>
      </c>
      <c r="CB9" s="386" t="s">
        <v>315</v>
      </c>
      <c r="CC9" s="386" t="s">
        <v>5374</v>
      </c>
      <c r="CD9"/>
      <c r="CE9" s="340" t="s">
        <v>482</v>
      </c>
      <c r="CF9" s="340" t="s">
        <v>87</v>
      </c>
      <c r="CG9" s="340" t="s">
        <v>116</v>
      </c>
      <c r="CH9" s="340" t="s">
        <v>114</v>
      </c>
      <c r="CI9" s="340" t="s">
        <v>112</v>
      </c>
      <c r="CJ9" s="340" t="s">
        <v>5</v>
      </c>
      <c r="CK9" s="340" t="s">
        <v>511</v>
      </c>
      <c r="CL9" s="340" t="s">
        <v>512</v>
      </c>
      <c r="CM9" s="340" t="s">
        <v>504</v>
      </c>
      <c r="CN9" s="340" t="s">
        <v>505</v>
      </c>
      <c r="CO9" s="340" t="s">
        <v>244</v>
      </c>
      <c r="CP9" s="340" t="s">
        <v>109</v>
      </c>
      <c r="CQ9" s="340" t="s">
        <v>517</v>
      </c>
      <c r="CR9" s="340" t="s">
        <v>105</v>
      </c>
      <c r="CS9" s="340" t="s">
        <v>492</v>
      </c>
      <c r="CT9" s="355" t="s">
        <v>203</v>
      </c>
      <c r="CU9" s="355" t="s">
        <v>521</v>
      </c>
      <c r="CV9" s="355" t="s">
        <v>5375</v>
      </c>
      <c r="CW9" s="355" t="s">
        <v>530</v>
      </c>
      <c r="CX9" s="355" t="s">
        <v>5470</v>
      </c>
      <c r="CY9" s="355" t="s">
        <v>515</v>
      </c>
      <c r="CZ9" s="355" t="s">
        <v>516</v>
      </c>
      <c r="DA9" s="355" t="s">
        <v>514</v>
      </c>
      <c r="DB9" s="355" t="s">
        <v>513</v>
      </c>
      <c r="DC9" s="355" t="s">
        <v>117</v>
      </c>
      <c r="DD9" s="340" t="s">
        <v>3</v>
      </c>
      <c r="DE9" s="438" t="s">
        <v>4</v>
      </c>
      <c r="DF9" s="438" t="s">
        <v>5889</v>
      </c>
      <c r="DG9" s="440" t="s">
        <v>483</v>
      </c>
      <c r="DI9" s="440" t="s">
        <v>5217</v>
      </c>
      <c r="DJ9" s="962" t="s">
        <v>5888</v>
      </c>
      <c r="DK9" s="440" t="s">
        <v>5268</v>
      </c>
      <c r="DL9" s="487" t="s">
        <v>476</v>
      </c>
      <c r="DM9"/>
      <c r="DN9" s="297"/>
      <c r="DO9" s="343" t="s">
        <v>528</v>
      </c>
      <c r="DP9" s="344" t="s">
        <v>462</v>
      </c>
      <c r="DQ9" s="345" t="s">
        <v>87</v>
      </c>
      <c r="DR9" s="345" t="s">
        <v>5338</v>
      </c>
      <c r="DS9" s="345" t="s">
        <v>464</v>
      </c>
      <c r="DT9" s="345" t="s">
        <v>84</v>
      </c>
      <c r="DU9" s="345" t="s">
        <v>85</v>
      </c>
      <c r="DV9" s="346" t="s">
        <v>465</v>
      </c>
      <c r="DW9" s="347" t="s">
        <v>5343</v>
      </c>
      <c r="DX9" s="347" t="s">
        <v>215</v>
      </c>
      <c r="DY9" s="140"/>
      <c r="DZ9" s="459" t="s">
        <v>528</v>
      </c>
      <c r="EA9" s="459" t="s">
        <v>462</v>
      </c>
      <c r="EB9" s="345" t="s">
        <v>87</v>
      </c>
      <c r="EC9" s="345" t="s">
        <v>5338</v>
      </c>
      <c r="ED9" s="345" t="s">
        <v>464</v>
      </c>
      <c r="EE9" s="345" t="s">
        <v>84</v>
      </c>
      <c r="EF9" s="345" t="s">
        <v>85</v>
      </c>
      <c r="EG9" s="346" t="s">
        <v>465</v>
      </c>
      <c r="EH9" s="347" t="s">
        <v>5343</v>
      </c>
      <c r="EI9" s="347" t="s">
        <v>215</v>
      </c>
      <c r="EK9"/>
      <c r="EL9" s="603"/>
      <c r="EM9" s="603"/>
      <c r="EN9" s="603"/>
      <c r="EO9" s="603"/>
      <c r="EP9" s="603"/>
      <c r="EQ9" s="603"/>
      <c r="ER9" s="603"/>
      <c r="ES9" s="603"/>
      <c r="ET9"/>
      <c r="EU9"/>
      <c r="EV9"/>
      <c r="EW9"/>
      <c r="EX9"/>
      <c r="EY9"/>
      <c r="EZ9"/>
      <c r="FA9"/>
      <c r="FB9"/>
      <c r="FC9"/>
      <c r="FD9"/>
      <c r="FE9"/>
      <c r="FF9"/>
      <c r="FG9"/>
    </row>
    <row r="10" spans="1:163" s="291" customFormat="1" ht="34.200000000000003" customHeight="1" thickBot="1">
      <c r="B10" s="305"/>
      <c r="C10" s="314"/>
      <c r="D10" s="306"/>
      <c r="E10" s="322"/>
      <c r="F10" s="495"/>
      <c r="G10" s="496"/>
      <c r="H10"/>
      <c r="I10" s="740"/>
      <c r="J10" s="315"/>
      <c r="K10" s="315"/>
      <c r="L10" s="315"/>
      <c r="M10" s="315"/>
      <c r="N10" s="315"/>
      <c r="O10" s="315"/>
      <c r="P10" s="315"/>
      <c r="Q10" s="315"/>
      <c r="R10"/>
      <c r="S10" s="370"/>
      <c r="T10" s="401"/>
      <c r="U10" s="401"/>
      <c r="V10" s="401"/>
      <c r="W10" s="401"/>
      <c r="X10" s="401"/>
      <c r="Y10" s="401"/>
      <c r="Z10"/>
      <c r="AB10" s="315"/>
      <c r="AC10" s="317">
        <f t="shared" ref="AC10:AU10" si="3">SUMIF(AC11:AC54,"&gt;0",AC11:AC54)</f>
        <v>2756.3041165102877</v>
      </c>
      <c r="AD10" s="317">
        <f t="shared" si="3"/>
        <v>196.4405945320286</v>
      </c>
      <c r="AE10" s="317">
        <f t="shared" si="3"/>
        <v>58.200614883</v>
      </c>
      <c r="AF10" s="317">
        <f t="shared" si="3"/>
        <v>0</v>
      </c>
      <c r="AG10" s="317">
        <f t="shared" si="3"/>
        <v>9.2331639428571464</v>
      </c>
      <c r="AH10" s="317">
        <f t="shared" si="3"/>
        <v>1151.1509269334858</v>
      </c>
      <c r="AI10" s="317">
        <f t="shared" si="3"/>
        <v>0</v>
      </c>
      <c r="AJ10" s="317">
        <f t="shared" si="3"/>
        <v>2242.0554090136702</v>
      </c>
      <c r="AK10" s="317">
        <f t="shared" si="3"/>
        <v>186.32730000000004</v>
      </c>
      <c r="AL10" s="317">
        <f t="shared" si="3"/>
        <v>97.711979999999997</v>
      </c>
      <c r="AM10" s="317">
        <f t="shared" si="3"/>
        <v>0.93120000000000025</v>
      </c>
      <c r="AN10" s="317">
        <f t="shared" si="3"/>
        <v>12.165080400000003</v>
      </c>
      <c r="AO10" s="317">
        <f t="shared" si="3"/>
        <v>2664.4716454945069</v>
      </c>
      <c r="AP10" s="317">
        <f t="shared" si="3"/>
        <v>1761.2609182082333</v>
      </c>
      <c r="AQ10" s="317">
        <f t="shared" si="3"/>
        <v>582.00000000000011</v>
      </c>
      <c r="AR10" s="317">
        <f t="shared" si="3"/>
        <v>582.00000000000011</v>
      </c>
      <c r="AS10" s="317">
        <f t="shared" si="3"/>
        <v>0</v>
      </c>
      <c r="AT10" s="317">
        <f t="shared" si="3"/>
        <v>772.64325323475055</v>
      </c>
      <c r="AU10" s="388">
        <f t="shared" si="3"/>
        <v>418</v>
      </c>
      <c r="AV10" s="391">
        <v>1000</v>
      </c>
      <c r="AW10" s="317">
        <f t="shared" ref="AW10:BE10" si="4">SUMIF(AW11:AW54,"&gt;0",AW11:AW54)</f>
        <v>1000</v>
      </c>
      <c r="AX10" s="317">
        <f t="shared" si="4"/>
        <v>1000</v>
      </c>
      <c r="AY10" s="317">
        <f t="shared" si="4"/>
        <v>1000</v>
      </c>
      <c r="AZ10" s="317">
        <f t="shared" si="4"/>
        <v>0</v>
      </c>
      <c r="BA10" s="317">
        <f t="shared" si="4"/>
        <v>0</v>
      </c>
      <c r="BB10" s="317">
        <f t="shared" si="4"/>
        <v>0</v>
      </c>
      <c r="BC10" s="317">
        <f t="shared" si="4"/>
        <v>0</v>
      </c>
      <c r="BD10" s="317">
        <f t="shared" si="4"/>
        <v>0</v>
      </c>
      <c r="BE10" s="317">
        <f t="shared" si="4"/>
        <v>1027.0418811608504</v>
      </c>
      <c r="BF10" s="309"/>
      <c r="BG10" s="300"/>
      <c r="BH10" s="334"/>
      <c r="BI10" s="335"/>
      <c r="BJ10" s="335"/>
      <c r="BK10" s="335"/>
      <c r="BL10" s="335"/>
      <c r="BM10" s="545"/>
      <c r="BN10" s="204"/>
      <c r="BO10" s="397"/>
      <c r="BP10" s="397"/>
      <c r="BQ10" s="398"/>
      <c r="BR10" s="316"/>
      <c r="BS10" s="550">
        <f t="shared" ref="BS10:CA10" si="5">SUMPRODUCT(BS32:BS37,$DO$32:$DO$37)</f>
        <v>0</v>
      </c>
      <c r="BT10" s="550">
        <f t="shared" si="5"/>
        <v>0</v>
      </c>
      <c r="BU10" s="550">
        <f t="shared" si="5"/>
        <v>0</v>
      </c>
      <c r="BV10" s="550">
        <f t="shared" si="5"/>
        <v>0</v>
      </c>
      <c r="BW10" s="550">
        <f t="shared" si="5"/>
        <v>0</v>
      </c>
      <c r="BX10" s="550">
        <f t="shared" si="5"/>
        <v>0</v>
      </c>
      <c r="BY10" s="550">
        <f t="shared" si="5"/>
        <v>0</v>
      </c>
      <c r="BZ10" s="550">
        <f t="shared" si="5"/>
        <v>0</v>
      </c>
      <c r="CA10" s="550">
        <f t="shared" si="5"/>
        <v>0</v>
      </c>
      <c r="CB10" s="567">
        <f>(1-SUM($BS$10:$CA$10))*$DO$11</f>
        <v>0.58200000000000007</v>
      </c>
      <c r="CC10" s="567">
        <f>(1-SUM($BS$10:$CA$10))*$DO$12</f>
        <v>0.41799999999999998</v>
      </c>
      <c r="CD10"/>
      <c r="CE10" s="392"/>
      <c r="CF10" s="392"/>
      <c r="CG10" s="392"/>
      <c r="CH10" s="392"/>
      <c r="CI10" s="392"/>
      <c r="CJ10" s="392"/>
      <c r="CK10" s="392"/>
      <c r="CL10" s="392"/>
      <c r="CM10" s="392"/>
      <c r="CN10" s="392"/>
      <c r="CO10" s="392"/>
      <c r="CP10" s="392"/>
      <c r="CQ10" s="392"/>
      <c r="CR10" s="392"/>
      <c r="CS10" s="392"/>
      <c r="CT10" s="392"/>
      <c r="CU10" s="392"/>
      <c r="CV10" s="392"/>
      <c r="CW10" s="392"/>
      <c r="CX10" s="392"/>
      <c r="CY10" s="392"/>
      <c r="CZ10" s="392"/>
      <c r="DA10" s="392"/>
      <c r="DB10" s="392"/>
      <c r="DC10" s="392"/>
      <c r="DD10" s="392"/>
      <c r="DE10" s="439"/>
      <c r="DF10" s="439"/>
      <c r="DG10" s="371"/>
      <c r="DI10" s="371"/>
      <c r="DJ10" s="963"/>
      <c r="DK10" s="371"/>
      <c r="DL10" s="488"/>
      <c r="DM10"/>
      <c r="DN10" s="291">
        <v>4</v>
      </c>
      <c r="DO10" s="524"/>
      <c r="DP10" s="524"/>
      <c r="DQ10" s="777">
        <f t="shared" ref="DQ10:DX10" si="6">SUMPRODUCT($BI$11:$BI$54,DQ11:DQ54)/$BI$8</f>
        <v>0</v>
      </c>
      <c r="DR10" s="777">
        <f t="shared" si="6"/>
        <v>0.10804796138735498</v>
      </c>
      <c r="DS10" s="777">
        <f t="shared" si="6"/>
        <v>4.9624637922185552E-4</v>
      </c>
      <c r="DT10" s="777">
        <f t="shared" si="6"/>
        <v>2.0605746760707117E-2</v>
      </c>
      <c r="DU10" s="777">
        <f t="shared" si="6"/>
        <v>5.9253864373623691E-2</v>
      </c>
      <c r="DV10" s="777">
        <f t="shared" si="6"/>
        <v>0.70777957601180086</v>
      </c>
      <c r="DW10" s="777">
        <f t="shared" si="6"/>
        <v>0.10381660508729162</v>
      </c>
      <c r="DX10" s="777">
        <f t="shared" si="6"/>
        <v>0</v>
      </c>
      <c r="DY10"/>
      <c r="EB10" s="515">
        <v>2.5493412667224227E-2</v>
      </c>
      <c r="EC10" s="515">
        <v>0</v>
      </c>
      <c r="ED10" s="515">
        <v>0.16643081861620315</v>
      </c>
      <c r="EE10" s="515">
        <v>0.11823695470956007</v>
      </c>
      <c r="EF10" s="515">
        <v>2.8841296301937631E-3</v>
      </c>
      <c r="EG10" s="515">
        <v>0.68695155383992856</v>
      </c>
      <c r="EH10" s="515">
        <v>0</v>
      </c>
      <c r="EI10" s="515">
        <v>2.6515431463994332E-6</v>
      </c>
      <c r="EK10"/>
      <c r="EL10"/>
      <c r="EM10"/>
      <c r="EN10"/>
      <c r="EO10"/>
      <c r="EP10"/>
      <c r="EQ10"/>
      <c r="ER10"/>
      <c r="ES10"/>
      <c r="ET10"/>
      <c r="EU10"/>
      <c r="EV10"/>
      <c r="EW10"/>
      <c r="EX10"/>
      <c r="EY10"/>
      <c r="EZ10"/>
      <c r="FA10"/>
      <c r="FB10"/>
      <c r="FC10"/>
      <c r="FD10"/>
      <c r="FE10"/>
      <c r="FF10"/>
      <c r="FG10"/>
    </row>
    <row r="11" spans="1:163" s="297" customFormat="1" ht="25.05" customHeight="1">
      <c r="B11" s="305" t="s">
        <v>477</v>
      </c>
      <c r="C11" s="305" t="s">
        <v>482</v>
      </c>
      <c r="D11" s="480" t="s">
        <v>566</v>
      </c>
      <c r="E11" s="323" t="s">
        <v>182</v>
      </c>
      <c r="F11" s="319" t="s">
        <v>481</v>
      </c>
      <c r="G11" s="497" t="str">
        <f>VLOOKUP(C11,'Ecoinvent Processes'!$B$1:$N$28,1,FALSE)</f>
        <v>Bauxite</v>
      </c>
      <c r="H11"/>
      <c r="I11" s="737">
        <f>DO11</f>
        <v>0.58200000000000007</v>
      </c>
      <c r="J11" s="354" t="s">
        <v>478</v>
      </c>
      <c r="K11" s="318" t="s">
        <v>478</v>
      </c>
      <c r="L11" s="318" t="s">
        <v>478</v>
      </c>
      <c r="M11" s="318" t="s">
        <v>478</v>
      </c>
      <c r="N11" s="318" t="s">
        <v>478</v>
      </c>
      <c r="O11" s="318" t="s">
        <v>478</v>
      </c>
      <c r="P11" s="318" t="s">
        <v>478</v>
      </c>
      <c r="Q11" s="318" t="s">
        <v>478</v>
      </c>
      <c r="R11" s="330"/>
      <c r="S11" s="400">
        <f t="shared" ref="S11:S54" si="7">BL11</f>
        <v>0.65339812613908599</v>
      </c>
      <c r="T11" s="402"/>
      <c r="U11" s="402"/>
      <c r="V11" s="402"/>
      <c r="W11" s="402"/>
      <c r="X11" s="402"/>
      <c r="Y11" s="402"/>
      <c r="Z11">
        <v>414.6797100125184</v>
      </c>
      <c r="AA11" s="682">
        <f t="shared" ref="AA11:AA24" si="8">+BI11-Z11</f>
        <v>-168.61164160084746</v>
      </c>
      <c r="AB11" s="338">
        <f>S11*I11</f>
        <v>0.38027770941294808</v>
      </c>
      <c r="AC11" s="331">
        <f>-AC21</f>
        <v>-2756.3041165102877</v>
      </c>
      <c r="AD11" s="331"/>
      <c r="AE11" s="331"/>
      <c r="AF11" s="331"/>
      <c r="AG11" s="331"/>
      <c r="AH11" s="331"/>
      <c r="AI11" s="331"/>
      <c r="AJ11" s="331"/>
      <c r="AK11" s="331"/>
      <c r="AL11" s="331"/>
      <c r="AM11" s="331"/>
      <c r="AN11" s="331"/>
      <c r="AO11" s="331"/>
      <c r="AP11" s="331"/>
      <c r="AQ11" s="331"/>
      <c r="AR11" s="331"/>
      <c r="AS11" s="331"/>
      <c r="AT11" s="331"/>
      <c r="AU11" s="331"/>
      <c r="AV11" s="390"/>
      <c r="AW11" s="331"/>
      <c r="AX11" s="331"/>
      <c r="AY11" s="331"/>
      <c r="AZ11" s="331"/>
      <c r="BA11" s="331"/>
      <c r="BB11" s="331"/>
      <c r="BC11" s="331"/>
      <c r="BD11" s="331"/>
      <c r="BE11" s="331"/>
      <c r="BF11" s="331"/>
      <c r="BG11"/>
      <c r="BH11" s="341">
        <f t="shared" ref="BH11:BH14" si="9">-SUMIF(AC11:AZ11,"&lt;0",AC11:AZ11)</f>
        <v>2756.3041165102877</v>
      </c>
      <c r="BI11" s="341">
        <f t="shared" ref="BI11:BI24" si="10">$BH11*DP11</f>
        <v>246.06806841167094</v>
      </c>
      <c r="BJ11" s="341">
        <f t="shared" ref="BJ11:BJ24" si="11">$BH11*DL11</f>
        <v>653398.12613908597</v>
      </c>
      <c r="BK11" s="336">
        <f>IFERROR(+BI11/$AV$10,0)</f>
        <v>0.24606806841167095</v>
      </c>
      <c r="BL11" s="336">
        <f>IFERROR((+BJ11/$AV$10)/1000,0)</f>
        <v>0.65339812613908599</v>
      </c>
      <c r="BM11">
        <v>1</v>
      </c>
      <c r="BN11" s="204"/>
      <c r="BO11" s="541"/>
      <c r="BP11" s="399"/>
      <c r="BQ11" s="399"/>
      <c r="BR11" s="304"/>
      <c r="BS11" s="387"/>
      <c r="BT11" s="387"/>
      <c r="BU11" s="387"/>
      <c r="BV11" s="387"/>
      <c r="BW11" s="387"/>
      <c r="BX11" s="387"/>
      <c r="BY11" s="387"/>
      <c r="BZ11" s="387"/>
      <c r="CA11" s="387"/>
      <c r="CB11" s="566"/>
      <c r="CC11" s="565"/>
      <c r="CD11"/>
      <c r="CE11" s="670">
        <v>-1</v>
      </c>
      <c r="CF11" s="670"/>
      <c r="CG11" s="670"/>
      <c r="CH11" s="670"/>
      <c r="CI11" s="670"/>
      <c r="CJ11" s="670"/>
      <c r="CK11" s="670"/>
      <c r="CL11" s="670"/>
      <c r="CM11" s="670"/>
      <c r="CN11" s="670"/>
      <c r="CO11" s="670"/>
      <c r="CP11" s="670"/>
      <c r="CQ11" s="670"/>
      <c r="CR11" s="670"/>
      <c r="CS11" s="670"/>
      <c r="CT11" s="670"/>
      <c r="CU11" s="670"/>
      <c r="CV11" s="670"/>
      <c r="CW11" s="670"/>
      <c r="CX11" s="670"/>
      <c r="CY11" s="670"/>
      <c r="CZ11" s="670"/>
      <c r="DA11" s="670"/>
      <c r="DB11" s="670"/>
      <c r="DC11" s="670"/>
      <c r="DD11" s="670"/>
      <c r="DE11" s="671"/>
      <c r="DF11" s="671"/>
      <c r="DG11" s="670"/>
      <c r="DI11" s="393"/>
      <c r="DJ11" s="964">
        <f>'Emissão - Simapro'!F37*1000</f>
        <v>237.05589025</v>
      </c>
      <c r="DK11" s="500">
        <f>VLOOKUP(C11,'Ecoinvent Processes'!$B$1:$N$28,8,FALSE)*1000</f>
        <v>12.1125897399889</v>
      </c>
      <c r="DL11" s="394" cm="1">
        <f t="array" ref="DL11">_xlfn.IFS(DM11=1,DK11,DM11=2,DJ11,DM11=0,DP11*SUMPRODUCT($DQ$5:$DX$5,DQ11:DX11))</f>
        <v>237.05589025</v>
      </c>
      <c r="DM11">
        <v>2</v>
      </c>
      <c r="DN11" s="291">
        <v>5</v>
      </c>
      <c r="DO11" s="525">
        <f>1-DO12</f>
        <v>0.58200000000000007</v>
      </c>
      <c r="DP11" s="526">
        <f>'FE - ACV Aluminum'!CN55</f>
        <v>8.92746438746439E-2</v>
      </c>
      <c r="DQ11" s="525">
        <f>'FE - ACV Aluminum'!$CN$72</f>
        <v>0</v>
      </c>
      <c r="DR11" s="525">
        <f>'FE - ACV Aluminum'!$CN$73</f>
        <v>0.19500000000000001</v>
      </c>
      <c r="DS11" s="525">
        <f>'FE - ACV Aluminum'!$CN$74</f>
        <v>1.4999999999999999E-2</v>
      </c>
      <c r="DT11" s="525">
        <f>'FE - ACV Aluminum'!$CN$75</f>
        <v>0</v>
      </c>
      <c r="DU11" s="525">
        <f>'FE - ACV Aluminum'!$CN$76</f>
        <v>0</v>
      </c>
      <c r="DV11" s="525">
        <f>'FE - ACV Aluminum'!$CN$77</f>
        <v>0.69299999999999995</v>
      </c>
      <c r="DW11" s="525">
        <f>'FE - ACV Aluminum'!$CN$78</f>
        <v>9.7000000000000003E-2</v>
      </c>
      <c r="DX11" s="525">
        <f>'FE - ACV Aluminum'!$CN$79</f>
        <v>0</v>
      </c>
      <c r="DY11"/>
      <c r="DZ11" s="461">
        <v>0.55691027999999998</v>
      </c>
      <c r="EA11" s="446">
        <f>'Bauxite Mining'!C41</f>
        <v>8.9274643817145879E-2</v>
      </c>
      <c r="EB11" s="447">
        <v>0.212725</v>
      </c>
      <c r="EC11" s="447">
        <v>0</v>
      </c>
      <c r="ED11" s="447">
        <v>0.72678399999999999</v>
      </c>
      <c r="EE11" s="447">
        <v>0</v>
      </c>
      <c r="EF11" s="447">
        <v>0</v>
      </c>
      <c r="EG11" s="447">
        <v>6.0490646353758261E-2</v>
      </c>
      <c r="EH11" s="447">
        <v>0</v>
      </c>
      <c r="EI11" s="447">
        <v>0</v>
      </c>
      <c r="EJ11" s="330"/>
      <c r="EK11"/>
      <c r="EL11"/>
      <c r="EM11"/>
      <c r="EN11"/>
      <c r="EO11"/>
      <c r="EP11"/>
      <c r="EQ11"/>
      <c r="ER11"/>
      <c r="ES11"/>
      <c r="ET11"/>
      <c r="EU11"/>
      <c r="EV11"/>
      <c r="EW11"/>
      <c r="EX11"/>
      <c r="EY11"/>
      <c r="EZ11"/>
      <c r="FA11"/>
      <c r="FB11"/>
      <c r="FC11"/>
      <c r="FD11"/>
      <c r="FE11"/>
      <c r="FF11"/>
      <c r="FG11"/>
    </row>
    <row r="12" spans="1:163" s="297" customFormat="1" ht="25.05" customHeight="1" thickBot="1">
      <c r="A12" s="297" t="s">
        <v>645</v>
      </c>
      <c r="B12" s="305"/>
      <c r="C12" s="476" t="s">
        <v>203</v>
      </c>
      <c r="D12" s="482"/>
      <c r="E12" s="479" t="s">
        <v>556</v>
      </c>
      <c r="F12" s="319"/>
      <c r="G12" s="497" t="e">
        <f>VLOOKUP(C12,'Ecoinvent Processes'!$B$1:$N$28,1,FALSE)</f>
        <v>#N/A</v>
      </c>
      <c r="H12"/>
      <c r="I12" s="738">
        <f>DO12</f>
        <v>0.41799999999999998</v>
      </c>
      <c r="J12" s="354" t="s">
        <v>478</v>
      </c>
      <c r="K12" s="318" t="s">
        <v>478</v>
      </c>
      <c r="L12" s="318" t="s">
        <v>478</v>
      </c>
      <c r="M12" s="318" t="s">
        <v>478</v>
      </c>
      <c r="N12" s="318" t="s">
        <v>478</v>
      </c>
      <c r="O12" s="318" t="s">
        <v>478</v>
      </c>
      <c r="P12" s="318" t="s">
        <v>478</v>
      </c>
      <c r="Q12" s="318" t="s">
        <v>478</v>
      </c>
      <c r="R12" s="330"/>
      <c r="S12" s="400">
        <f t="shared" si="7"/>
        <v>0</v>
      </c>
      <c r="T12" s="402"/>
      <c r="U12" s="402"/>
      <c r="V12" s="402"/>
      <c r="W12" s="402"/>
      <c r="X12" s="402"/>
      <c r="Y12" s="402"/>
      <c r="Z12">
        <v>0</v>
      </c>
      <c r="AA12" s="682">
        <f t="shared" si="8"/>
        <v>0</v>
      </c>
      <c r="AB12" s="338">
        <f>S12*I12</f>
        <v>0</v>
      </c>
      <c r="AC12" s="331"/>
      <c r="AD12" s="331"/>
      <c r="AE12" s="331"/>
      <c r="AF12" s="331"/>
      <c r="AG12" s="331"/>
      <c r="AH12" s="331"/>
      <c r="AI12" s="331"/>
      <c r="AJ12" s="331"/>
      <c r="AK12" s="331"/>
      <c r="AL12" s="331"/>
      <c r="AM12" s="331"/>
      <c r="AN12" s="331"/>
      <c r="AO12" s="331"/>
      <c r="AP12" s="331"/>
      <c r="AQ12" s="331"/>
      <c r="AR12" s="331"/>
      <c r="AS12" s="331"/>
      <c r="AT12" s="331">
        <f>-AT29</f>
        <v>-772.64325323475055</v>
      </c>
      <c r="AU12" s="331"/>
      <c r="AV12" s="331"/>
      <c r="AW12" s="331"/>
      <c r="AX12" s="331"/>
      <c r="AY12" s="331"/>
      <c r="AZ12" s="331"/>
      <c r="BA12" s="331"/>
      <c r="BB12" s="331"/>
      <c r="BC12" s="331"/>
      <c r="BD12" s="331"/>
      <c r="BE12" s="331"/>
      <c r="BF12" s="331"/>
      <c r="BG12"/>
      <c r="BH12" s="341">
        <f t="shared" si="9"/>
        <v>772.64325323475055</v>
      </c>
      <c r="BI12" s="341">
        <f t="shared" si="10"/>
        <v>0</v>
      </c>
      <c r="BJ12" s="341">
        <f t="shared" si="11"/>
        <v>0</v>
      </c>
      <c r="BK12" s="336">
        <f t="shared" ref="BK12:BK54" si="12">IFERROR(+BI12/$AV$10,0)</f>
        <v>0</v>
      </c>
      <c r="BL12" s="336">
        <f t="shared" ref="BL12:BL54" si="13">IFERROR((+BJ12/$AV$10)/1000,0)</f>
        <v>0</v>
      </c>
      <c r="BM12">
        <v>1</v>
      </c>
      <c r="BN12" s="204"/>
      <c r="BO12" s="541"/>
      <c r="BP12" s="399"/>
      <c r="BQ12" s="399"/>
      <c r="BR12" s="304"/>
      <c r="BS12" s="387"/>
      <c r="BT12" s="387"/>
      <c r="BU12" s="387"/>
      <c r="BV12" s="387"/>
      <c r="BW12" s="387"/>
      <c r="BX12" s="387"/>
      <c r="BY12" s="387"/>
      <c r="BZ12" s="387"/>
      <c r="CA12" s="387"/>
      <c r="CB12" s="387"/>
      <c r="CC12" s="387"/>
      <c r="CD12"/>
      <c r="CE12" s="670"/>
      <c r="CF12" s="670"/>
      <c r="CG12" s="670"/>
      <c r="CH12" s="670"/>
      <c r="CI12" s="670"/>
      <c r="CJ12" s="670"/>
      <c r="CK12" s="670"/>
      <c r="CL12" s="670"/>
      <c r="CM12" s="670"/>
      <c r="CN12" s="670"/>
      <c r="CO12" s="670"/>
      <c r="CP12" s="670"/>
      <c r="CQ12" s="670"/>
      <c r="CR12" s="670"/>
      <c r="CS12" s="670"/>
      <c r="CT12" s="670"/>
      <c r="CU12" s="670"/>
      <c r="CV12" s="670"/>
      <c r="CW12" s="670"/>
      <c r="CX12" s="670"/>
      <c r="CY12" s="670"/>
      <c r="CZ12" s="670"/>
      <c r="DA12" s="670"/>
      <c r="DB12" s="670"/>
      <c r="DC12" s="670"/>
      <c r="DD12" s="670"/>
      <c r="DE12" s="671"/>
      <c r="DF12" s="671"/>
      <c r="DG12" s="670"/>
      <c r="DI12" s="393"/>
      <c r="DJ12" s="964"/>
      <c r="DK12" s="500">
        <v>0</v>
      </c>
      <c r="DL12" s="394" cm="1">
        <f t="array" ref="DL12">_xlfn.IFS(DM12=1,DK12,DM12=2,DJ12,DM12=0,DP12*SUMPRODUCT($DQ$5:$DX$5,DQ12:DX12))</f>
        <v>0</v>
      </c>
      <c r="DM12">
        <v>0</v>
      </c>
      <c r="DN12" s="291">
        <v>6</v>
      </c>
      <c r="DO12" s="525">
        <f>'FE - ACV Aluminum'!CN30</f>
        <v>0.41799999999999998</v>
      </c>
      <c r="DP12" s="526">
        <v>0</v>
      </c>
      <c r="DQ12" s="525">
        <v>0</v>
      </c>
      <c r="DR12" s="525">
        <v>0</v>
      </c>
      <c r="DS12" s="525">
        <v>0</v>
      </c>
      <c r="DT12" s="525">
        <v>0</v>
      </c>
      <c r="DU12" s="525">
        <v>0</v>
      </c>
      <c r="DV12" s="525">
        <v>0</v>
      </c>
      <c r="DW12" s="525">
        <v>0</v>
      </c>
      <c r="DX12" s="525">
        <v>0</v>
      </c>
      <c r="DY12"/>
      <c r="DZ12" s="435">
        <f>1-DZ11</f>
        <v>0.44308972000000002</v>
      </c>
      <c r="EA12" s="446">
        <v>0</v>
      </c>
      <c r="EB12" s="447">
        <v>0</v>
      </c>
      <c r="EC12" s="447">
        <v>0</v>
      </c>
      <c r="ED12" s="447">
        <v>0</v>
      </c>
      <c r="EE12" s="447">
        <v>0</v>
      </c>
      <c r="EF12" s="447">
        <v>0</v>
      </c>
      <c r="EG12" s="447">
        <v>0</v>
      </c>
      <c r="EH12" s="447">
        <v>0</v>
      </c>
      <c r="EI12" s="447">
        <v>0</v>
      </c>
      <c r="EJ12"/>
      <c r="EK12"/>
      <c r="EL12"/>
      <c r="EM12"/>
      <c r="EN12"/>
      <c r="EO12"/>
      <c r="EP12"/>
      <c r="EQ12"/>
      <c r="ER12"/>
      <c r="ES12"/>
      <c r="ET12"/>
      <c r="EU12"/>
      <c r="EV12"/>
      <c r="EW12"/>
      <c r="EX12"/>
      <c r="EY12"/>
      <c r="EZ12"/>
      <c r="FA12"/>
      <c r="FB12"/>
      <c r="FC12"/>
      <c r="FD12"/>
      <c r="FE12"/>
      <c r="FF12"/>
      <c r="FG12"/>
    </row>
    <row r="13" spans="1:163" s="297" customFormat="1" ht="25.05" customHeight="1">
      <c r="A13" s="297" t="s">
        <v>645</v>
      </c>
      <c r="B13" s="305" t="s">
        <v>213</v>
      </c>
      <c r="C13" s="476" t="s">
        <v>116</v>
      </c>
      <c r="D13" s="482" t="s">
        <v>5250</v>
      </c>
      <c r="E13" s="468" t="s">
        <v>5203</v>
      </c>
      <c r="F13" s="319"/>
      <c r="G13" s="497" t="str">
        <f>VLOOKUP(C13,'Ecoinvent Processes'!$B$1:$N$28,1,FALSE)</f>
        <v>Pitch</v>
      </c>
      <c r="H13"/>
      <c r="I13" s="320" t="s">
        <v>478</v>
      </c>
      <c r="J13" s="318" t="s">
        <v>478</v>
      </c>
      <c r="K13" s="318" t="s">
        <v>478</v>
      </c>
      <c r="L13" s="318" t="s">
        <v>478</v>
      </c>
      <c r="M13" s="318" t="s">
        <v>478</v>
      </c>
      <c r="N13" s="318" t="s">
        <v>478</v>
      </c>
      <c r="O13" s="318" t="s">
        <v>478</v>
      </c>
      <c r="P13" s="318" t="s">
        <v>478</v>
      </c>
      <c r="Q13" s="318" t="s">
        <v>478</v>
      </c>
      <c r="R13" s="330"/>
      <c r="S13" s="400">
        <f t="shared" si="7"/>
        <v>3.0914542817115184E-2</v>
      </c>
      <c r="T13" s="402"/>
      <c r="U13" s="402"/>
      <c r="V13" s="402"/>
      <c r="W13" s="402"/>
      <c r="X13" s="402"/>
      <c r="Y13" s="402"/>
      <c r="Z13">
        <v>4955.763695783995</v>
      </c>
      <c r="AA13" s="682">
        <f t="shared" si="8"/>
        <v>-1375.088059378837</v>
      </c>
      <c r="AB13" s="338">
        <f t="shared" ref="AB13:AB17" si="14">S13</f>
        <v>3.0914542817115184E-2</v>
      </c>
      <c r="AC13" s="331"/>
      <c r="AD13" s="331"/>
      <c r="AE13" s="331">
        <f>-SUM(AE16:AE27)</f>
        <v>-58.200614883</v>
      </c>
      <c r="AF13" s="331"/>
      <c r="AG13" s="331"/>
      <c r="AH13" s="331"/>
      <c r="AI13" s="331"/>
      <c r="AJ13" s="331"/>
      <c r="AK13" s="331"/>
      <c r="AL13" s="331"/>
      <c r="AM13" s="331"/>
      <c r="AN13" s="331"/>
      <c r="AO13" s="331"/>
      <c r="AP13" s="331"/>
      <c r="AQ13" s="331"/>
      <c r="AR13" s="331"/>
      <c r="AS13" s="331"/>
      <c r="AT13" s="331"/>
      <c r="AU13" s="331"/>
      <c r="AV13" s="331"/>
      <c r="AW13" s="331"/>
      <c r="AX13" s="331"/>
      <c r="AY13" s="331"/>
      <c r="AZ13" s="331"/>
      <c r="BA13" s="331"/>
      <c r="BB13" s="331"/>
      <c r="BC13" s="331"/>
      <c r="BD13" s="331"/>
      <c r="BE13" s="331"/>
      <c r="BF13" s="331"/>
      <c r="BG13"/>
      <c r="BH13" s="341">
        <f t="shared" si="9"/>
        <v>58.200614883</v>
      </c>
      <c r="BI13" s="341">
        <f t="shared" si="10"/>
        <v>3580.675636405158</v>
      </c>
      <c r="BJ13" s="341">
        <f t="shared" si="11"/>
        <v>30914.542817115183</v>
      </c>
      <c r="BK13" s="336">
        <f t="shared" si="12"/>
        <v>3.5806756364051582</v>
      </c>
      <c r="BL13" s="336">
        <f t="shared" si="13"/>
        <v>3.0914542817115184E-2</v>
      </c>
      <c r="BM13">
        <v>1</v>
      </c>
      <c r="BN13" s="204"/>
      <c r="BO13" s="541"/>
      <c r="BP13" s="399"/>
      <c r="BQ13" s="399"/>
      <c r="BR13" s="304"/>
      <c r="BS13" s="387"/>
      <c r="BT13" s="387"/>
      <c r="BU13" s="387"/>
      <c r="BV13" s="387"/>
      <c r="BW13" s="387"/>
      <c r="BX13" s="387"/>
      <c r="BY13" s="387"/>
      <c r="BZ13" s="387"/>
      <c r="CA13" s="387"/>
      <c r="CB13" s="387"/>
      <c r="CC13" s="387"/>
      <c r="CD13"/>
      <c r="CE13" s="670"/>
      <c r="CF13" s="670"/>
      <c r="CG13" s="670">
        <v>-1</v>
      </c>
      <c r="CH13" s="670"/>
      <c r="CI13" s="670"/>
      <c r="CJ13" s="670"/>
      <c r="CK13" s="670"/>
      <c r="CL13" s="670"/>
      <c r="CM13" s="670"/>
      <c r="CN13" s="670"/>
      <c r="CO13" s="670"/>
      <c r="CP13" s="670"/>
      <c r="CQ13" s="670"/>
      <c r="CR13" s="670"/>
      <c r="CS13" s="670"/>
      <c r="CT13" s="670"/>
      <c r="CU13" s="670"/>
      <c r="CV13" s="670"/>
      <c r="CW13" s="670"/>
      <c r="CX13" s="670"/>
      <c r="CY13" s="670"/>
      <c r="CZ13" s="670"/>
      <c r="DA13" s="670"/>
      <c r="DB13" s="670"/>
      <c r="DC13" s="670"/>
      <c r="DD13" s="670"/>
      <c r="DE13" s="671"/>
      <c r="DF13" s="671"/>
      <c r="DG13" s="670"/>
      <c r="DI13" s="393"/>
      <c r="DJ13" s="964">
        <f>'Emissão - Simapro'!Q97/'LCI - Simapro'!K157*1000</f>
        <v>531.17209980104712</v>
      </c>
      <c r="DK13" s="500">
        <f>VLOOKUP(C13,'Ecoinvent Processes'!$B$1:$N$28,8,FALSE)*1000</f>
        <v>316.02999999999997</v>
      </c>
      <c r="DL13" s="394" cm="1">
        <f t="array" ref="DL13">_xlfn.IFS(DM13=1,DK13,DM13=2,DJ13,DM13=0,DP13*SUMPRODUCT($DQ$5:$DX$5,DQ13:DX13))</f>
        <v>531.17209980104712</v>
      </c>
      <c r="DM13">
        <v>2</v>
      </c>
      <c r="DN13" s="291">
        <v>7</v>
      </c>
      <c r="DO13" s="525">
        <v>0</v>
      </c>
      <c r="DP13" s="526">
        <v>61.522986373998755</v>
      </c>
      <c r="DQ13" s="525">
        <f>'FE - ACV Aluminum'!$CN$102</f>
        <v>0</v>
      </c>
      <c r="DR13" s="525">
        <f>'FE - ACV Aluminum'!$CN$103</f>
        <v>0.29699999999999999</v>
      </c>
      <c r="DS13" s="525">
        <f>'FE - ACV Aluminum'!$CN$104</f>
        <v>0</v>
      </c>
      <c r="DT13" s="525">
        <f>'FE - ACV Aluminum'!$CN$105</f>
        <v>3.7000000000000033E-2</v>
      </c>
      <c r="DU13" s="525">
        <f>'FE - ACV Aluminum'!$CN$106</f>
        <v>0</v>
      </c>
      <c r="DV13" s="525">
        <f>'FE - ACV Aluminum'!$CN$107</f>
        <v>0.66600000000000004</v>
      </c>
      <c r="DW13" s="525">
        <f>'FE - ACV Aluminum'!$CN$108</f>
        <v>0</v>
      </c>
      <c r="DX13" s="525">
        <f>'FE - ACV Aluminum'!$CN$109</f>
        <v>0</v>
      </c>
      <c r="DY13"/>
      <c r="DZ13" s="435">
        <v>0</v>
      </c>
      <c r="EA13" s="446">
        <f>'Pitch Production'!C127</f>
        <v>53.757300842173414</v>
      </c>
      <c r="EB13" s="447">
        <v>0</v>
      </c>
      <c r="EC13" s="447">
        <v>0</v>
      </c>
      <c r="ED13" s="447">
        <v>0</v>
      </c>
      <c r="EE13" s="447">
        <v>1</v>
      </c>
      <c r="EF13" s="447">
        <v>0</v>
      </c>
      <c r="EG13" s="447">
        <v>0</v>
      </c>
      <c r="EH13" s="447">
        <v>0</v>
      </c>
      <c r="EI13" s="447">
        <v>0</v>
      </c>
      <c r="EK13"/>
      <c r="EL13"/>
      <c r="EM13"/>
      <c r="EN13"/>
      <c r="EO13"/>
      <c r="EP13"/>
      <c r="EQ13"/>
      <c r="ER13"/>
      <c r="ES13"/>
      <c r="ET13"/>
      <c r="EU13"/>
      <c r="EV13"/>
      <c r="EW13"/>
      <c r="EX13"/>
      <c r="EY13"/>
      <c r="EZ13"/>
      <c r="FA13"/>
      <c r="FB13"/>
      <c r="FC13"/>
      <c r="FD13"/>
      <c r="FE13"/>
      <c r="FF13"/>
      <c r="FG13"/>
    </row>
    <row r="14" spans="1:163" s="297" customFormat="1" ht="25.05" customHeight="1">
      <c r="B14" s="305" t="s">
        <v>213</v>
      </c>
      <c r="C14" s="476" t="s">
        <v>87</v>
      </c>
      <c r="D14" s="482" t="s">
        <v>793</v>
      </c>
      <c r="E14" s="464" t="s">
        <v>5204</v>
      </c>
      <c r="F14" s="319"/>
      <c r="G14" s="497" t="str">
        <f>VLOOKUP(C14,'Ecoinvent Processes'!$B$1:$N$28,1,FALSE)</f>
        <v>Coke</v>
      </c>
      <c r="H14"/>
      <c r="I14" s="318" t="s">
        <v>478</v>
      </c>
      <c r="J14" s="318" t="s">
        <v>478</v>
      </c>
      <c r="K14" s="318" t="s">
        <v>478</v>
      </c>
      <c r="L14" s="318" t="s">
        <v>478</v>
      </c>
      <c r="M14" s="318" t="s">
        <v>478</v>
      </c>
      <c r="N14" s="318" t="s">
        <v>478</v>
      </c>
      <c r="O14" s="318" t="s">
        <v>478</v>
      </c>
      <c r="P14" s="318" t="s">
        <v>478</v>
      </c>
      <c r="Q14" s="318" t="s">
        <v>478</v>
      </c>
      <c r="R14" s="330"/>
      <c r="S14" s="400">
        <f t="shared" si="7"/>
        <v>0.16148800476882977</v>
      </c>
      <c r="T14" s="402"/>
      <c r="U14" s="402"/>
      <c r="V14" s="402"/>
      <c r="W14" s="402"/>
      <c r="X14" s="402"/>
      <c r="Y14" s="402"/>
      <c r="Z14">
        <v>208.80541494502816</v>
      </c>
      <c r="AA14" s="682">
        <f t="shared" si="8"/>
        <v>-59.230901912453163</v>
      </c>
      <c r="AB14" s="338">
        <f t="shared" si="14"/>
        <v>0.16148800476882977</v>
      </c>
      <c r="AC14" s="331"/>
      <c r="AD14" s="331">
        <f>-SUM(AD16:AD27)</f>
        <v>-196.4405945320286</v>
      </c>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c r="BH14" s="341">
        <f t="shared" si="9"/>
        <v>196.4405945320286</v>
      </c>
      <c r="BI14" s="341">
        <f t="shared" si="10"/>
        <v>149.574513032575</v>
      </c>
      <c r="BJ14" s="341">
        <f t="shared" si="11"/>
        <v>161488.00476882976</v>
      </c>
      <c r="BK14" s="336">
        <f t="shared" si="12"/>
        <v>0.14957451303257499</v>
      </c>
      <c r="BL14" s="336">
        <f t="shared" si="13"/>
        <v>0.16148800476882977</v>
      </c>
      <c r="BM14">
        <v>1</v>
      </c>
      <c r="BN14" s="204"/>
      <c r="BO14" s="541"/>
      <c r="BP14" s="399"/>
      <c r="BQ14" s="399"/>
      <c r="BR14" s="304"/>
      <c r="BS14" s="387"/>
      <c r="BT14" s="387"/>
      <c r="BU14" s="387"/>
      <c r="BV14" s="387"/>
      <c r="BW14" s="387"/>
      <c r="BX14" s="387"/>
      <c r="BY14" s="387"/>
      <c r="BZ14" s="387"/>
      <c r="CA14" s="387"/>
      <c r="CB14" s="387"/>
      <c r="CC14" s="387"/>
      <c r="CD14"/>
      <c r="CE14" s="670"/>
      <c r="CF14" s="670">
        <v>-1</v>
      </c>
      <c r="CG14" s="670"/>
      <c r="CH14" s="670"/>
      <c r="CI14" s="670"/>
      <c r="CJ14" s="670"/>
      <c r="CK14" s="670"/>
      <c r="CL14" s="670"/>
      <c r="CM14" s="670"/>
      <c r="CN14" s="670"/>
      <c r="CO14" s="670"/>
      <c r="CP14" s="670"/>
      <c r="CQ14" s="670"/>
      <c r="CR14" s="670"/>
      <c r="CS14" s="670"/>
      <c r="CT14" s="670"/>
      <c r="CU14" s="670"/>
      <c r="CV14" s="670"/>
      <c r="CW14" s="670"/>
      <c r="CX14" s="670"/>
      <c r="CY14" s="670"/>
      <c r="CZ14" s="670"/>
      <c r="DA14" s="670"/>
      <c r="DB14" s="670"/>
      <c r="DC14" s="670"/>
      <c r="DD14" s="670"/>
      <c r="DE14" s="671"/>
      <c r="DF14" s="671"/>
      <c r="DG14" s="670"/>
      <c r="DI14" s="393"/>
      <c r="DJ14" s="964">
        <f>'Emissão - Simapro'!O97/('LCI - Simapro'!K155/35)*1000</f>
        <v>822.07043383031498</v>
      </c>
      <c r="DK14" s="500">
        <f>VLOOKUP(C14,'Ecoinvent Processes'!$B$1:$N$28,8,FALSE)*1000</f>
        <v>28.060000000000002</v>
      </c>
      <c r="DL14" s="394" cm="1">
        <f t="array" ref="DL14">_xlfn.IFS(DM14=1,DK14,DM14=2,DJ14,DM14=0,DP14*SUMPRODUCT($DQ$5:$DX$5,DQ14:DX14))</f>
        <v>822.07043383031498</v>
      </c>
      <c r="DM14">
        <v>2</v>
      </c>
      <c r="DN14" s="291">
        <v>8</v>
      </c>
      <c r="DO14" s="525">
        <v>0</v>
      </c>
      <c r="DP14" s="526">
        <v>0.76142364254648831</v>
      </c>
      <c r="DQ14" s="525">
        <f>'FE - ACV Aluminum'!$CN$102</f>
        <v>0</v>
      </c>
      <c r="DR14" s="525">
        <f>'FE - ACV Aluminum'!$CN$103</f>
        <v>0.29699999999999999</v>
      </c>
      <c r="DS14" s="525">
        <f>'FE - ACV Aluminum'!$CN$104</f>
        <v>0</v>
      </c>
      <c r="DT14" s="525">
        <f>'FE - ACV Aluminum'!$CN$105</f>
        <v>3.7000000000000033E-2</v>
      </c>
      <c r="DU14" s="525">
        <f>'FE - ACV Aluminum'!$CN$106</f>
        <v>0</v>
      </c>
      <c r="DV14" s="525">
        <f>'FE - ACV Aluminum'!$CN$107</f>
        <v>0.66600000000000004</v>
      </c>
      <c r="DW14" s="525">
        <f>'FE - ACV Aluminum'!$CN$108</f>
        <v>0</v>
      </c>
      <c r="DX14" s="525">
        <f>'FE - ACV Aluminum'!$CN$109</f>
        <v>0</v>
      </c>
      <c r="DY14"/>
      <c r="DZ14" s="435">
        <v>0</v>
      </c>
      <c r="EA14" s="446">
        <f>'Coke Production'!C141</f>
        <v>0.66531360444515208</v>
      </c>
      <c r="EB14" s="447">
        <v>0</v>
      </c>
      <c r="EC14" s="447">
        <v>0</v>
      </c>
      <c r="ED14" s="447">
        <v>0</v>
      </c>
      <c r="EE14" s="447">
        <v>0</v>
      </c>
      <c r="EF14" s="447">
        <v>0.99468299999999998</v>
      </c>
      <c r="EG14" s="447">
        <v>5.3169999999999997E-3</v>
      </c>
      <c r="EH14" s="447">
        <v>0</v>
      </c>
      <c r="EI14" s="447">
        <v>0</v>
      </c>
      <c r="EK14"/>
      <c r="EL14"/>
      <c r="EM14"/>
      <c r="EN14"/>
      <c r="EO14"/>
      <c r="EP14"/>
      <c r="EQ14"/>
      <c r="ER14"/>
      <c r="ES14"/>
      <c r="ET14"/>
      <c r="EU14"/>
      <c r="EV14"/>
      <c r="EW14"/>
      <c r="EX14"/>
      <c r="EY14"/>
      <c r="EZ14"/>
      <c r="FA14"/>
      <c r="FB14"/>
      <c r="FC14"/>
      <c r="FD14"/>
      <c r="FE14"/>
      <c r="FF14"/>
      <c r="FG14"/>
    </row>
    <row r="15" spans="1:163" s="297" customFormat="1" ht="25.05" customHeight="1" thickBot="1">
      <c r="B15" s="305"/>
      <c r="C15" s="476" t="s">
        <v>483</v>
      </c>
      <c r="D15" s="482" t="s">
        <v>916</v>
      </c>
      <c r="E15" s="465" t="s">
        <v>5205</v>
      </c>
      <c r="F15" s="319"/>
      <c r="G15" s="497" t="str">
        <f>VLOOKUP(C15,'Ecoinvent Processes'!$B$1:$N$28,1,FALSE)</f>
        <v>NaOH</v>
      </c>
      <c r="H15"/>
      <c r="I15" s="318" t="s">
        <v>478</v>
      </c>
      <c r="J15" s="318" t="s">
        <v>478</v>
      </c>
      <c r="K15" s="318" t="s">
        <v>478</v>
      </c>
      <c r="L15" s="318" t="s">
        <v>478</v>
      </c>
      <c r="M15" s="318" t="s">
        <v>478</v>
      </c>
      <c r="N15" s="318" t="s">
        <v>478</v>
      </c>
      <c r="O15" s="318" t="s">
        <v>478</v>
      </c>
      <c r="P15" s="318" t="s">
        <v>478</v>
      </c>
      <c r="Q15" s="318" t="s">
        <v>478</v>
      </c>
      <c r="R15" s="330"/>
      <c r="S15" s="400">
        <f t="shared" si="7"/>
        <v>0.15825024411219263</v>
      </c>
      <c r="T15" s="403"/>
      <c r="U15" s="403"/>
      <c r="V15" s="403"/>
      <c r="W15" s="402"/>
      <c r="X15" s="402"/>
      <c r="Y15" s="402"/>
      <c r="Z15">
        <v>546.32728204749196</v>
      </c>
      <c r="AA15" s="682">
        <f t="shared" si="8"/>
        <v>-425.59386740626854</v>
      </c>
      <c r="AB15" s="338">
        <f t="shared" si="14"/>
        <v>0.15825024411219263</v>
      </c>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f>-SUM(BE16:BE23)</f>
        <v>-123.83115387457656</v>
      </c>
      <c r="BF15" s="331"/>
      <c r="BG15"/>
      <c r="BH15" s="341">
        <f>-SUMIF(AC15:BE15,"&lt;0",AC15:BE15)</f>
        <v>123.83115387457656</v>
      </c>
      <c r="BI15" s="341">
        <f t="shared" si="10"/>
        <v>120.73341464122343</v>
      </c>
      <c r="BJ15" s="341">
        <f t="shared" si="11"/>
        <v>158250.24411219262</v>
      </c>
      <c r="BK15" s="336">
        <f t="shared" si="12"/>
        <v>0.12073341464122343</v>
      </c>
      <c r="BL15" s="336">
        <f t="shared" si="13"/>
        <v>0.15825024411219263</v>
      </c>
      <c r="BM15">
        <v>1</v>
      </c>
      <c r="BN15" s="204"/>
      <c r="BO15" s="541"/>
      <c r="BP15" s="399"/>
      <c r="BQ15" s="399"/>
      <c r="BR15" s="304"/>
      <c r="BS15" s="387"/>
      <c r="BT15" s="387"/>
      <c r="BU15" s="387"/>
      <c r="BV15" s="387"/>
      <c r="BW15" s="387"/>
      <c r="BX15" s="387"/>
      <c r="BY15" s="387"/>
      <c r="BZ15" s="387"/>
      <c r="CA15" s="387"/>
      <c r="CB15" s="387"/>
      <c r="CC15" s="387"/>
      <c r="CD15"/>
      <c r="CE15" s="670"/>
      <c r="CF15" s="670"/>
      <c r="CG15" s="670"/>
      <c r="CH15" s="670"/>
      <c r="CI15" s="670"/>
      <c r="CJ15" s="670"/>
      <c r="CK15" s="670"/>
      <c r="CL15" s="670"/>
      <c r="CM15" s="670"/>
      <c r="CN15" s="670"/>
      <c r="CO15" s="670"/>
      <c r="CP15" s="670"/>
      <c r="CQ15" s="670"/>
      <c r="CR15" s="670"/>
      <c r="CS15" s="670"/>
      <c r="CT15" s="670"/>
      <c r="CU15" s="670"/>
      <c r="CV15" s="670"/>
      <c r="CW15" s="670"/>
      <c r="CX15" s="670"/>
      <c r="CY15" s="670"/>
      <c r="CZ15" s="670"/>
      <c r="DA15" s="670"/>
      <c r="DB15" s="670"/>
      <c r="DC15" s="670"/>
      <c r="DD15" s="670"/>
      <c r="DE15" s="671"/>
      <c r="DF15" s="671"/>
      <c r="DG15" s="670">
        <v>-1</v>
      </c>
      <c r="DI15" s="393"/>
      <c r="DJ15" s="968">
        <f>SUM('Emissão - Simapro'!J56:K56)/SUM('LCI - Simapro'!K53:K54)*1000</f>
        <v>1277.9517848349999</v>
      </c>
      <c r="DK15" s="500">
        <f>VLOOKUP(C15,'Ecoinvent Processes'!$B$1:$N$28,8,FALSE)*1000</f>
        <v>315.5</v>
      </c>
      <c r="DL15" s="394" cm="1">
        <f t="array" ref="DL15">_xlfn.IFS(DM15=1,DK15,DM15=2,DJ15,DM15=0,DP15*SUMPRODUCT($DQ$5:$DX$5,DQ15:DX15))</f>
        <v>1277.9517848349999</v>
      </c>
      <c r="DM15">
        <v>2</v>
      </c>
      <c r="DN15" s="291">
        <v>11</v>
      </c>
      <c r="DO15" s="525">
        <v>0</v>
      </c>
      <c r="DP15" s="526">
        <v>0.97498416887489636</v>
      </c>
      <c r="DQ15" s="525">
        <f>'FE - ACV Aluminum'!$CN$82</f>
        <v>0</v>
      </c>
      <c r="DR15" s="525">
        <f>'FE - ACV Aluminum'!$CN$83</f>
        <v>0.53500000000000003</v>
      </c>
      <c r="DS15" s="525">
        <f>'FE - ACV Aluminum'!$CN$84</f>
        <v>0</v>
      </c>
      <c r="DT15" s="525">
        <f>'FE - ACV Aluminum'!$CN$85</f>
        <v>3.5000000000000003E-2</v>
      </c>
      <c r="DU15" s="525">
        <f>'FE - ACV Aluminum'!$CN$86</f>
        <v>0.37</v>
      </c>
      <c r="DV15" s="525">
        <f>'FE - ACV Aluminum'!$CN$87</f>
        <v>0.06</v>
      </c>
      <c r="DW15" s="525">
        <f>'FE - ACV Aluminum'!$CN$88</f>
        <v>0</v>
      </c>
      <c r="DX15" s="525">
        <f>'FE - ACV Aluminum'!$CN$89</f>
        <v>0</v>
      </c>
      <c r="DY15"/>
      <c r="DZ15" s="435">
        <v>0</v>
      </c>
      <c r="EA15" s="446">
        <f>'Caustic Soda Production'!C57</f>
        <v>4.7286713013762096</v>
      </c>
      <c r="EB15" s="447">
        <v>0</v>
      </c>
      <c r="EC15" s="447">
        <v>0</v>
      </c>
      <c r="ED15" s="447">
        <v>0</v>
      </c>
      <c r="EE15" s="447">
        <v>0</v>
      </c>
      <c r="EF15" s="447">
        <v>0</v>
      </c>
      <c r="EG15" s="447">
        <v>1</v>
      </c>
      <c r="EH15" s="447">
        <v>0</v>
      </c>
      <c r="EI15" s="447">
        <v>0</v>
      </c>
      <c r="EK15"/>
      <c r="EL15"/>
      <c r="EM15"/>
      <c r="EN15"/>
      <c r="EO15"/>
      <c r="EP15"/>
      <c r="EQ15"/>
      <c r="ER15"/>
      <c r="ES15"/>
      <c r="ET15"/>
      <c r="EU15"/>
      <c r="EV15"/>
      <c r="EW15"/>
      <c r="EX15"/>
      <c r="EY15"/>
      <c r="EZ15"/>
      <c r="FA15"/>
      <c r="FB15"/>
      <c r="FC15"/>
      <c r="FD15"/>
      <c r="FE15"/>
      <c r="FF15"/>
      <c r="FG15"/>
    </row>
    <row r="16" spans="1:163" s="297" customFormat="1" ht="25.05" customHeight="1">
      <c r="B16" s="305" t="s">
        <v>493</v>
      </c>
      <c r="C16" s="476" t="s">
        <v>504</v>
      </c>
      <c r="D16" s="744" t="s">
        <v>947</v>
      </c>
      <c r="E16" s="323" t="s">
        <v>555</v>
      </c>
      <c r="F16" s="319"/>
      <c r="G16" s="497" t="str">
        <f>VLOOKUP(C16,'Ecoinvent Processes'!$B$1:$N$28,1,FALSE)</f>
        <v>Carbon Anode Prebaked</v>
      </c>
      <c r="H16"/>
      <c r="I16" s="318" t="s">
        <v>478</v>
      </c>
      <c r="J16" s="318" t="s">
        <v>478</v>
      </c>
      <c r="K16" s="318" t="s">
        <v>478</v>
      </c>
      <c r="L16" s="318" t="s">
        <v>478</v>
      </c>
      <c r="M16" s="318" t="s">
        <v>478</v>
      </c>
      <c r="N16" s="318" t="s">
        <v>478</v>
      </c>
      <c r="O16" s="318" t="s">
        <v>478</v>
      </c>
      <c r="P16" s="318" t="s">
        <v>478</v>
      </c>
      <c r="Q16" s="318" t="s">
        <v>478</v>
      </c>
      <c r="R16" s="330"/>
      <c r="S16" s="400">
        <f t="shared" si="7"/>
        <v>0.1003403899000824</v>
      </c>
      <c r="T16" s="402"/>
      <c r="U16" s="402"/>
      <c r="V16" s="402"/>
      <c r="W16" s="402"/>
      <c r="X16" s="402"/>
      <c r="Y16" s="402"/>
      <c r="Z16">
        <v>863.53768484183172</v>
      </c>
      <c r="AA16" s="682">
        <f t="shared" si="8"/>
        <v>-455.95512116946776</v>
      </c>
      <c r="AB16" s="338">
        <f t="shared" si="14"/>
        <v>0.1003403899000824</v>
      </c>
      <c r="AC16" s="331"/>
      <c r="AD16" s="331">
        <f>-$AK16*CF16</f>
        <v>125.76720095400003</v>
      </c>
      <c r="AE16" s="331">
        <f>-$AK16*CG16</f>
        <v>27.203785800000002</v>
      </c>
      <c r="AF16" s="331"/>
      <c r="AG16" s="331"/>
      <c r="AH16" s="331"/>
      <c r="AI16" s="331"/>
      <c r="AJ16" s="331"/>
      <c r="AK16" s="331">
        <f>-AK26</f>
        <v>-186.32730000000004</v>
      </c>
      <c r="AL16" s="331"/>
      <c r="AM16" s="331"/>
      <c r="AN16" s="331"/>
      <c r="AO16" s="331"/>
      <c r="AP16" s="331"/>
      <c r="AQ16" s="331"/>
      <c r="AR16" s="331"/>
      <c r="AS16" s="331"/>
      <c r="AT16" s="331"/>
      <c r="AU16" s="331"/>
      <c r="AV16" s="331"/>
      <c r="AW16" s="331"/>
      <c r="AX16" s="331"/>
      <c r="AY16" s="331"/>
      <c r="AZ16" s="331"/>
      <c r="BA16" s="331"/>
      <c r="BB16" s="331"/>
      <c r="BC16" s="331"/>
      <c r="BD16" s="331"/>
      <c r="BE16" s="331"/>
      <c r="BF16" s="331"/>
      <c r="BG16"/>
      <c r="BH16" s="341">
        <f t="shared" ref="BH16:BH24" si="15">-SUMIF(AC16:AZ16,"&lt;0",AC16:AZ16)</f>
        <v>186.32730000000004</v>
      </c>
      <c r="BI16" s="341">
        <f t="shared" si="10"/>
        <v>407.58256367236396</v>
      </c>
      <c r="BJ16" s="341">
        <f t="shared" si="11"/>
        <v>100340.3899000824</v>
      </c>
      <c r="BK16" s="336">
        <f t="shared" si="12"/>
        <v>0.40758256367236395</v>
      </c>
      <c r="BL16" s="336">
        <f t="shared" si="13"/>
        <v>0.1003403899000824</v>
      </c>
      <c r="BM16">
        <v>1</v>
      </c>
      <c r="BN16" s="204"/>
      <c r="BO16" s="541"/>
      <c r="BP16" s="399"/>
      <c r="BQ16" s="399"/>
      <c r="BR16" s="304"/>
      <c r="BS16" s="387"/>
      <c r="BT16" s="387"/>
      <c r="BU16" s="387"/>
      <c r="BV16" s="387"/>
      <c r="BW16" s="387"/>
      <c r="BX16" s="387"/>
      <c r="BY16" s="387"/>
      <c r="BZ16" s="387"/>
      <c r="CA16" s="387"/>
      <c r="CB16" s="387"/>
      <c r="CC16" s="387"/>
      <c r="CD16"/>
      <c r="CE16" s="670"/>
      <c r="CF16" s="670">
        <v>0.67498000000000002</v>
      </c>
      <c r="CG16" s="670">
        <v>0.14599999999999999</v>
      </c>
      <c r="CH16" s="670"/>
      <c r="CI16" s="670"/>
      <c r="CJ16" s="670"/>
      <c r="CK16" s="670"/>
      <c r="CL16" s="670"/>
      <c r="CM16" s="670">
        <v>-1</v>
      </c>
      <c r="CN16" s="670"/>
      <c r="CO16" s="670"/>
      <c r="CP16" s="670"/>
      <c r="CQ16" s="670"/>
      <c r="CR16" s="670"/>
      <c r="CS16" s="670"/>
      <c r="CT16" s="670"/>
      <c r="CU16" s="670"/>
      <c r="CV16" s="670"/>
      <c r="CW16" s="670"/>
      <c r="CX16" s="670"/>
      <c r="CY16" s="670"/>
      <c r="CZ16" s="670"/>
      <c r="DA16" s="670"/>
      <c r="DB16" s="670"/>
      <c r="DC16" s="670"/>
      <c r="DD16" s="670"/>
      <c r="DE16" s="671"/>
      <c r="DF16" s="671"/>
      <c r="DG16" s="670"/>
      <c r="DI16" s="393"/>
      <c r="DJ16" s="964">
        <f>'Emissão - Simapro'!K97/'LCI - Simapro'!K151*1000</f>
        <v>538.51684589473678</v>
      </c>
      <c r="DK16" s="500">
        <f>VLOOKUP(C16,'Ecoinvent Processes'!$B$1:$N$28,8,FALSE)*1000</f>
        <v>585.04</v>
      </c>
      <c r="DL16" s="394" cm="1">
        <f t="array" ref="DL16">_xlfn.IFS(DM16=1,DK16,DM16=2,DJ16,DM16=0,DP16*SUMPRODUCT($DQ$5:$DX$5,DQ16:DX16))</f>
        <v>538.51684589473678</v>
      </c>
      <c r="DM16">
        <v>2</v>
      </c>
      <c r="DN16" s="291">
        <v>12</v>
      </c>
      <c r="DO16" s="525">
        <v>0</v>
      </c>
      <c r="DP16" s="526">
        <f>'FE - ACV Aluminum'!CN64</f>
        <v>2.1874548907882199</v>
      </c>
      <c r="DQ16" s="525">
        <f>'FE - ACV Aluminum'!$CN$102</f>
        <v>0</v>
      </c>
      <c r="DR16" s="525">
        <f>'FE - ACV Aluminum'!$CN$103</f>
        <v>0.29699999999999999</v>
      </c>
      <c r="DS16" s="525">
        <f>'FE - ACV Aluminum'!$CN$104</f>
        <v>0</v>
      </c>
      <c r="DT16" s="525">
        <f>'FE - ACV Aluminum'!$CN$105</f>
        <v>3.7000000000000033E-2</v>
      </c>
      <c r="DU16" s="525">
        <f>'FE - ACV Aluminum'!$CN$106</f>
        <v>0</v>
      </c>
      <c r="DV16" s="525">
        <f>'FE - ACV Aluminum'!$CN$107</f>
        <v>0.66600000000000004</v>
      </c>
      <c r="DW16" s="525">
        <f>'FE - ACV Aluminum'!$CN$108</f>
        <v>0</v>
      </c>
      <c r="DX16" s="525">
        <f>'FE - ACV Aluminum'!$CN$109</f>
        <v>0</v>
      </c>
      <c r="DY16"/>
      <c r="DZ16" s="435">
        <v>0</v>
      </c>
      <c r="EA16" s="446">
        <f>'Anode Production (Prebaked)'!C51</f>
        <v>2.8688487996113379</v>
      </c>
      <c r="EB16" s="447">
        <v>0.220369338</v>
      </c>
      <c r="EC16" s="447">
        <v>0</v>
      </c>
      <c r="ED16" s="447">
        <v>1.8362369000000001E-3</v>
      </c>
      <c r="EE16" s="447">
        <v>0.63842118466347209</v>
      </c>
      <c r="EF16" s="447">
        <v>0</v>
      </c>
      <c r="EG16" s="447">
        <v>0.1392845823877786</v>
      </c>
      <c r="EH16" s="447">
        <v>0</v>
      </c>
      <c r="EI16" s="447">
        <v>0</v>
      </c>
      <c r="EK16"/>
      <c r="EL16"/>
      <c r="EM16"/>
      <c r="EN16"/>
      <c r="EO16"/>
      <c r="EP16"/>
      <c r="EQ16"/>
      <c r="ER16"/>
      <c r="ES16"/>
      <c r="ET16"/>
      <c r="EU16"/>
      <c r="EV16"/>
      <c r="EW16"/>
      <c r="EX16"/>
      <c r="EY16"/>
      <c r="EZ16"/>
      <c r="FA16"/>
      <c r="FB16"/>
      <c r="FC16"/>
      <c r="FD16"/>
      <c r="FE16"/>
      <c r="FF16"/>
      <c r="FG16"/>
    </row>
    <row r="17" spans="1:163" s="297" customFormat="1" ht="25.05" customHeight="1" thickBot="1">
      <c r="B17" s="305" t="s">
        <v>493</v>
      </c>
      <c r="C17" s="476" t="s">
        <v>505</v>
      </c>
      <c r="D17" s="744" t="s">
        <v>991</v>
      </c>
      <c r="E17" s="324" t="s">
        <v>554</v>
      </c>
      <c r="F17" s="319"/>
      <c r="G17" s="497" t="str">
        <f>VLOOKUP(C17,'Ecoinvent Processes'!$B$1:$N$28,1,FALSE)</f>
        <v>Carbon Anode Paste</v>
      </c>
      <c r="H17"/>
      <c r="I17" s="318" t="s">
        <v>478</v>
      </c>
      <c r="J17" s="731" t="s">
        <v>478</v>
      </c>
      <c r="K17" s="318" t="s">
        <v>478</v>
      </c>
      <c r="L17" s="318" t="s">
        <v>478</v>
      </c>
      <c r="M17" s="318" t="s">
        <v>478</v>
      </c>
      <c r="N17" s="318" t="s">
        <v>478</v>
      </c>
      <c r="O17" s="318" t="s">
        <v>478</v>
      </c>
      <c r="P17" s="318" t="s">
        <v>478</v>
      </c>
      <c r="Q17" s="318" t="s">
        <v>478</v>
      </c>
      <c r="R17" s="330"/>
      <c r="S17" s="400">
        <f t="shared" si="7"/>
        <v>6.3863346610491006E-2</v>
      </c>
      <c r="T17" s="403"/>
      <c r="U17" s="403"/>
      <c r="V17" s="403"/>
      <c r="W17" s="402"/>
      <c r="X17" s="402"/>
      <c r="Y17" s="402"/>
      <c r="Z17">
        <v>98.952475957005248</v>
      </c>
      <c r="AA17" s="682">
        <f t="shared" si="8"/>
        <v>-37.622486435997253</v>
      </c>
      <c r="AB17" s="338">
        <f t="shared" si="14"/>
        <v>6.3863346610491006E-2</v>
      </c>
      <c r="AC17" s="331"/>
      <c r="AD17" s="331">
        <f>-$AL17*CF17</f>
        <v>68.561565006600006</v>
      </c>
      <c r="AE17" s="331">
        <f>-$AL17*CG17</f>
        <v>29.885209082999999</v>
      </c>
      <c r="AF17" s="331"/>
      <c r="AG17" s="331"/>
      <c r="AH17" s="331"/>
      <c r="AI17" s="331"/>
      <c r="AJ17" s="331"/>
      <c r="AK17" s="331"/>
      <c r="AL17" s="331">
        <f>-AL27</f>
        <v>-97.711979999999997</v>
      </c>
      <c r="AM17" s="331"/>
      <c r="AN17" s="331"/>
      <c r="AO17" s="331"/>
      <c r="AP17" s="331"/>
      <c r="AQ17" s="331"/>
      <c r="AR17" s="331"/>
      <c r="AS17" s="331"/>
      <c r="AT17" s="331"/>
      <c r="AU17" s="331"/>
      <c r="AV17" s="331"/>
      <c r="AW17" s="331"/>
      <c r="AX17" s="331"/>
      <c r="AY17" s="331"/>
      <c r="AZ17" s="331"/>
      <c r="BA17" s="331"/>
      <c r="BB17" s="331"/>
      <c r="BC17" s="331"/>
      <c r="BD17" s="331"/>
      <c r="BE17" s="331"/>
      <c r="BF17" s="331"/>
      <c r="BG17"/>
      <c r="BH17" s="341">
        <f t="shared" si="15"/>
        <v>97.711979999999997</v>
      </c>
      <c r="BI17" s="341">
        <f t="shared" si="10"/>
        <v>61.329989521007995</v>
      </c>
      <c r="BJ17" s="341">
        <f t="shared" si="11"/>
        <v>63863.346610491004</v>
      </c>
      <c r="BK17" s="336">
        <f t="shared" si="12"/>
        <v>6.1329989521007995E-2</v>
      </c>
      <c r="BL17" s="336">
        <f t="shared" si="13"/>
        <v>6.3863346610491006E-2</v>
      </c>
      <c r="BM17">
        <v>1</v>
      </c>
      <c r="BN17" s="204"/>
      <c r="BO17" s="541"/>
      <c r="BP17" s="399"/>
      <c r="BQ17" s="399"/>
      <c r="BR17" s="304"/>
      <c r="BS17" s="387"/>
      <c r="BT17" s="387"/>
      <c r="BU17" s="387"/>
      <c r="BV17" s="387"/>
      <c r="BW17" s="387"/>
      <c r="BX17" s="387"/>
      <c r="BY17" s="387"/>
      <c r="BZ17" s="387"/>
      <c r="CA17" s="387"/>
      <c r="CB17" s="387"/>
      <c r="CC17" s="387"/>
      <c r="CD17"/>
      <c r="CE17" s="670"/>
      <c r="CF17" s="670">
        <v>0.70167000000000002</v>
      </c>
      <c r="CG17" s="670">
        <v>0.30585000000000001</v>
      </c>
      <c r="CH17" s="670"/>
      <c r="CI17" s="670"/>
      <c r="CJ17" s="670"/>
      <c r="CK17" s="670"/>
      <c r="CL17" s="670"/>
      <c r="CM17" s="670"/>
      <c r="CN17" s="670">
        <v>-1</v>
      </c>
      <c r="CO17" s="670"/>
      <c r="CP17" s="670"/>
      <c r="CQ17" s="670"/>
      <c r="CR17" s="670"/>
      <c r="CS17" s="670"/>
      <c r="CT17" s="670"/>
      <c r="CU17" s="670"/>
      <c r="CV17" s="670"/>
      <c r="CW17" s="670"/>
      <c r="CX17" s="670"/>
      <c r="CY17" s="670"/>
      <c r="CZ17" s="670"/>
      <c r="DA17" s="670"/>
      <c r="DB17" s="670"/>
      <c r="DC17" s="670"/>
      <c r="DD17" s="670"/>
      <c r="DE17" s="671"/>
      <c r="DF17" s="671"/>
      <c r="DG17" s="670"/>
      <c r="DI17" s="393"/>
      <c r="DJ17" s="964">
        <f>'Emissão - Simapro'!K119/'LCI - Simapro'!K104*1000</f>
        <v>653.58768300970883</v>
      </c>
      <c r="DK17" s="500">
        <f>VLOOKUP(C17,'Ecoinvent Processes'!$B$1:$N$28,8,FALSE)*1000</f>
        <v>423.63</v>
      </c>
      <c r="DL17" s="394" cm="1">
        <f t="array" ref="DL17">_xlfn.IFS(DM17=1,DK17,DM17=2,DJ17,DM17=0,DP17*SUMPRODUCT($DQ$5:$DX$5,DQ17:DX17))</f>
        <v>653.58768300970883</v>
      </c>
      <c r="DM17">
        <v>2</v>
      </c>
      <c r="DN17" s="291">
        <v>13</v>
      </c>
      <c r="DO17" s="525">
        <v>0</v>
      </c>
      <c r="DP17" s="526">
        <f>'FE - ACV Aluminum'!CN65</f>
        <v>0.62766090218423576</v>
      </c>
      <c r="DQ17" s="525">
        <f>'FE - ACV Aluminum'!$CN$102</f>
        <v>0</v>
      </c>
      <c r="DR17" s="525">
        <f>'FE - ACV Aluminum'!$CN$103</f>
        <v>0.29699999999999999</v>
      </c>
      <c r="DS17" s="525">
        <f>'FE - ACV Aluminum'!$CN$104</f>
        <v>0</v>
      </c>
      <c r="DT17" s="525">
        <f>'FE - ACV Aluminum'!$CN$105</f>
        <v>3.7000000000000033E-2</v>
      </c>
      <c r="DU17" s="525">
        <f>'FE - ACV Aluminum'!$CN$106</f>
        <v>0</v>
      </c>
      <c r="DV17" s="525">
        <f>'FE - ACV Aluminum'!$CN$107</f>
        <v>0.66600000000000004</v>
      </c>
      <c r="DW17" s="525">
        <f>'FE - ACV Aluminum'!$CN$108</f>
        <v>0</v>
      </c>
      <c r="DX17" s="525">
        <f>'FE - ACV Aluminum'!$CN$109</f>
        <v>0</v>
      </c>
      <c r="DY17"/>
      <c r="DZ17" s="435">
        <v>0</v>
      </c>
      <c r="EA17" s="446">
        <f>'Anode Production (Paste)'!C43</f>
        <v>0.62736278629577247</v>
      </c>
      <c r="EB17" s="447">
        <v>0.53863745573205857</v>
      </c>
      <c r="EC17" s="447">
        <v>0</v>
      </c>
      <c r="ED17" s="447">
        <v>0</v>
      </c>
      <c r="EE17" s="447">
        <v>1.3987219434378301E-2</v>
      </c>
      <c r="EF17" s="447">
        <v>0</v>
      </c>
      <c r="EG17" s="447">
        <v>0.44737532483356313</v>
      </c>
      <c r="EH17" s="447">
        <v>0</v>
      </c>
      <c r="EI17" s="447">
        <v>0</v>
      </c>
      <c r="EK17"/>
      <c r="EL17"/>
      <c r="EM17"/>
      <c r="EN17"/>
      <c r="EO17"/>
      <c r="EP17"/>
      <c r="EQ17"/>
      <c r="ER17"/>
      <c r="ES17"/>
      <c r="ET17"/>
      <c r="EU17"/>
      <c r="EV17"/>
      <c r="EW17"/>
      <c r="EX17"/>
      <c r="EY17"/>
      <c r="EZ17"/>
      <c r="FA17"/>
      <c r="FB17"/>
      <c r="FC17"/>
      <c r="FD17"/>
      <c r="FE17"/>
      <c r="FF17"/>
      <c r="FG17"/>
    </row>
    <row r="18" spans="1:163" s="297" customFormat="1" ht="25.05" customHeight="1">
      <c r="B18" s="326"/>
      <c r="C18" s="477" t="s">
        <v>5270</v>
      </c>
      <c r="D18" s="482" t="s">
        <v>1007</v>
      </c>
      <c r="E18" s="466" t="s">
        <v>502</v>
      </c>
      <c r="F18" s="319"/>
      <c r="G18" s="497" t="str">
        <f>VLOOKUP(C18,'Ecoinvent Processes'!$B$1:$N$28,1,FALSE)</f>
        <v>Cryolite (HF)</v>
      </c>
      <c r="H18"/>
      <c r="I18" s="353" t="s">
        <v>478</v>
      </c>
      <c r="J18" s="739">
        <f>DO18</f>
        <v>1</v>
      </c>
      <c r="K18" s="354" t="s">
        <v>478</v>
      </c>
      <c r="L18" s="318" t="s">
        <v>478</v>
      </c>
      <c r="M18" s="318" t="s">
        <v>478</v>
      </c>
      <c r="N18" s="318" t="s">
        <v>478</v>
      </c>
      <c r="O18" s="318" t="s">
        <v>478</v>
      </c>
      <c r="P18" s="318" t="s">
        <v>478</v>
      </c>
      <c r="Q18" s="318" t="s">
        <v>478</v>
      </c>
      <c r="R18" s="330"/>
      <c r="S18" s="400">
        <f t="shared" si="7"/>
        <v>2.0277487369380004E-3</v>
      </c>
      <c r="T18" s="403"/>
      <c r="U18" s="403"/>
      <c r="V18" s="403"/>
      <c r="W18" s="402"/>
      <c r="X18" s="402"/>
      <c r="Y18" s="402"/>
      <c r="Z18">
        <v>3.6081004017762335</v>
      </c>
      <c r="AA18" s="682">
        <f t="shared" si="8"/>
        <v>-0.1990767975436234</v>
      </c>
      <c r="AB18" s="338">
        <f>S18*J18</f>
        <v>2.0277487369380004E-3</v>
      </c>
      <c r="AC18" s="331"/>
      <c r="AD18" s="331"/>
      <c r="AE18" s="331"/>
      <c r="AF18" s="331"/>
      <c r="AG18" s="331">
        <f>-$AM18*CI18</f>
        <v>0.5438208000000001</v>
      </c>
      <c r="AH18" s="331">
        <f>-$AM18*CJ18</f>
        <v>0.23093760000000005</v>
      </c>
      <c r="AI18" s="331"/>
      <c r="AJ18" s="331"/>
      <c r="AK18" s="331"/>
      <c r="AL18" s="331"/>
      <c r="AM18" s="331">
        <f>-(AM26+AM27)*J18</f>
        <v>-0.93120000000000025</v>
      </c>
      <c r="AN18" s="331"/>
      <c r="AO18" s="331"/>
      <c r="AP18" s="331"/>
      <c r="AQ18" s="331"/>
      <c r="AR18" s="331"/>
      <c r="AS18" s="331"/>
      <c r="AT18" s="331"/>
      <c r="AU18" s="331"/>
      <c r="AV18" s="331"/>
      <c r="AW18" s="331"/>
      <c r="AX18" s="331"/>
      <c r="AY18" s="331"/>
      <c r="AZ18" s="331"/>
      <c r="BA18" s="331"/>
      <c r="BB18" s="331"/>
      <c r="BC18" s="331"/>
      <c r="BD18" s="331"/>
      <c r="BE18" s="331">
        <f>-AM18*DG18</f>
        <v>0.54288960000000008</v>
      </c>
      <c r="BF18" s="331"/>
      <c r="BG18"/>
      <c r="BH18" s="341">
        <f t="shared" si="15"/>
        <v>0.93120000000000025</v>
      </c>
      <c r="BI18" s="341">
        <f t="shared" si="10"/>
        <v>3.4090236042326101</v>
      </c>
      <c r="BJ18" s="341">
        <f t="shared" si="11"/>
        <v>2027.7487369380001</v>
      </c>
      <c r="BK18" s="336">
        <f t="shared" si="12"/>
        <v>3.4090236042326099E-3</v>
      </c>
      <c r="BL18" s="336">
        <f t="shared" si="13"/>
        <v>2.0277487369380004E-3</v>
      </c>
      <c r="BM18">
        <v>1</v>
      </c>
      <c r="BN18" s="204"/>
      <c r="BO18" s="541"/>
      <c r="BP18" s="399"/>
      <c r="BQ18" s="399"/>
      <c r="BR18" s="304"/>
      <c r="BS18" s="387"/>
      <c r="BT18" s="387"/>
      <c r="BU18" s="387"/>
      <c r="BV18" s="387"/>
      <c r="BW18" s="387"/>
      <c r="BX18" s="387"/>
      <c r="BY18" s="387"/>
      <c r="BZ18" s="387"/>
      <c r="CA18" s="387"/>
      <c r="CB18" s="387"/>
      <c r="CC18" s="387"/>
      <c r="CD18"/>
      <c r="CE18" s="670"/>
      <c r="CF18" s="670"/>
      <c r="CG18" s="670"/>
      <c r="CH18" s="670"/>
      <c r="CI18" s="670">
        <v>0.58399999999999996</v>
      </c>
      <c r="CJ18" s="670">
        <v>0.248</v>
      </c>
      <c r="CK18" s="670"/>
      <c r="CL18" s="670"/>
      <c r="CM18" s="670"/>
      <c r="CN18" s="670"/>
      <c r="CO18" s="670">
        <v>-1</v>
      </c>
      <c r="CP18" s="670"/>
      <c r="CQ18" s="672"/>
      <c r="CR18" s="672"/>
      <c r="CS18" s="672"/>
      <c r="CT18" s="672"/>
      <c r="CU18" s="672"/>
      <c r="CV18" s="672"/>
      <c r="CW18" s="672"/>
      <c r="CX18" s="672"/>
      <c r="CY18" s="672"/>
      <c r="CZ18" s="672"/>
      <c r="DA18" s="672"/>
      <c r="DB18" s="672"/>
      <c r="DC18" s="672"/>
      <c r="DD18" s="672"/>
      <c r="DE18" s="673"/>
      <c r="DF18" s="673"/>
      <c r="DG18" s="670">
        <v>0.58299999999999996</v>
      </c>
      <c r="DI18" s="393"/>
      <c r="DJ18" s="964">
        <f>'Emissão - Simapro'!P97/'LCI - Simapro'!K156*1000</f>
        <v>2177.5652243749996</v>
      </c>
      <c r="DK18" s="500">
        <f>VLOOKUP(C18,'Ecoinvent Processes'!$B$1:$N$28,8,FALSE)*1000</f>
        <v>2201.48</v>
      </c>
      <c r="DL18" s="394" cm="1">
        <f t="array" ref="DL18">_xlfn.IFS(DM18=1,DK18,DM18=2,DJ18,DM18=0,DP18*SUMPRODUCT($DQ$5:$DX$5,DQ18:DX18))</f>
        <v>2177.5652243749996</v>
      </c>
      <c r="DM18">
        <v>2</v>
      </c>
      <c r="DN18" s="291">
        <v>14</v>
      </c>
      <c r="DO18" s="525">
        <f>'FE - ACV Aluminum'!CN32</f>
        <v>1</v>
      </c>
      <c r="DP18" s="526">
        <v>3.6608930457824411</v>
      </c>
      <c r="DQ18" s="525">
        <f>'FE - ACV Aluminum'!$CN$102</f>
        <v>0</v>
      </c>
      <c r="DR18" s="525">
        <f>'FE - ACV Aluminum'!$CN$103</f>
        <v>0.29699999999999999</v>
      </c>
      <c r="DS18" s="525">
        <f>'FE - ACV Aluminum'!$CN$104</f>
        <v>0</v>
      </c>
      <c r="DT18" s="525">
        <f>'FE - ACV Aluminum'!$CN$105</f>
        <v>3.7000000000000033E-2</v>
      </c>
      <c r="DU18" s="525">
        <f>'FE - ACV Aluminum'!$CN$106</f>
        <v>0</v>
      </c>
      <c r="DV18" s="525">
        <f>'FE - ACV Aluminum'!$CN$107</f>
        <v>0.66600000000000004</v>
      </c>
      <c r="DW18" s="525">
        <f>'FE - ACV Aluminum'!$CN$108</f>
        <v>0</v>
      </c>
      <c r="DX18" s="525">
        <f>'FE - ACV Aluminum'!$CN$109</f>
        <v>0</v>
      </c>
      <c r="DY18"/>
      <c r="DZ18" s="461">
        <v>0.75</v>
      </c>
      <c r="EA18" s="446">
        <f>'Cryolite Production (HF)'!C40</f>
        <v>3.1988000000000003</v>
      </c>
      <c r="EB18" s="447">
        <v>0</v>
      </c>
      <c r="EC18" s="447">
        <v>0</v>
      </c>
      <c r="ED18" s="447">
        <v>0</v>
      </c>
      <c r="EE18" s="447">
        <v>0.62523446292359575</v>
      </c>
      <c r="EF18" s="447">
        <v>0</v>
      </c>
      <c r="EG18" s="447">
        <v>0.37475850047080689</v>
      </c>
      <c r="EH18" s="447">
        <v>0</v>
      </c>
      <c r="EI18" s="447">
        <v>0</v>
      </c>
      <c r="EK18"/>
      <c r="EL18"/>
      <c r="EM18"/>
      <c r="EN18"/>
      <c r="EO18"/>
      <c r="EP18"/>
      <c r="EQ18"/>
      <c r="ER18"/>
      <c r="ES18"/>
      <c r="ET18"/>
      <c r="EU18"/>
      <c r="EV18"/>
      <c r="EW18"/>
      <c r="EX18"/>
      <c r="EY18"/>
      <c r="EZ18"/>
      <c r="FA18"/>
      <c r="FB18"/>
      <c r="FC18"/>
      <c r="FD18"/>
      <c r="FE18"/>
      <c r="FF18"/>
      <c r="FG18"/>
    </row>
    <row r="19" spans="1:163" s="297" customFormat="1" ht="25.05" customHeight="1" thickBot="1">
      <c r="B19" s="204"/>
      <c r="C19" s="478" t="s">
        <v>5271</v>
      </c>
      <c r="D19" s="482" t="s">
        <v>1016</v>
      </c>
      <c r="E19" s="467" t="s">
        <v>503</v>
      </c>
      <c r="F19" s="319"/>
      <c r="G19" s="497" t="str">
        <f>VLOOKUP(C19,'Ecoinvent Processes'!$B$1:$N$28,1,FALSE)</f>
        <v>Cryolite (H2SiF6)</v>
      </c>
      <c r="H19"/>
      <c r="I19" s="353" t="s">
        <v>478</v>
      </c>
      <c r="J19" s="738">
        <f>DO19</f>
        <v>0</v>
      </c>
      <c r="K19" s="354" t="s">
        <v>478</v>
      </c>
      <c r="L19" s="318" t="s">
        <v>478</v>
      </c>
      <c r="M19" s="318" t="s">
        <v>478</v>
      </c>
      <c r="N19" s="318" t="s">
        <v>478</v>
      </c>
      <c r="O19" s="318" t="s">
        <v>478</v>
      </c>
      <c r="P19" s="318" t="s">
        <v>478</v>
      </c>
      <c r="Q19" s="318" t="s">
        <v>478</v>
      </c>
      <c r="R19" s="330"/>
      <c r="S19" s="400">
        <f t="shared" si="7"/>
        <v>0</v>
      </c>
      <c r="T19" s="403"/>
      <c r="U19" s="403"/>
      <c r="V19" s="403"/>
      <c r="W19" s="402"/>
      <c r="X19" s="402"/>
      <c r="Y19" s="402"/>
      <c r="Z19">
        <v>1.0882873493079643</v>
      </c>
      <c r="AA19" s="682">
        <f t="shared" si="8"/>
        <v>-1.0882873493079643</v>
      </c>
      <c r="AB19" s="338">
        <f>S19*J19</f>
        <v>0</v>
      </c>
      <c r="AC19" s="331"/>
      <c r="AD19" s="331"/>
      <c r="AE19" s="331"/>
      <c r="AF19" s="331">
        <f>-$AM19*CH19</f>
        <v>0</v>
      </c>
      <c r="AG19" s="331"/>
      <c r="AH19" s="331">
        <f>-$AM19*CJ19</f>
        <v>0</v>
      </c>
      <c r="AI19" s="331"/>
      <c r="AJ19" s="331"/>
      <c r="AK19" s="331"/>
      <c r="AL19" s="331"/>
      <c r="AM19" s="331">
        <f>-(AM26+AM27)*J19</f>
        <v>0</v>
      </c>
      <c r="AN19" s="331"/>
      <c r="AO19" s="331"/>
      <c r="AP19" s="331"/>
      <c r="AQ19" s="331"/>
      <c r="AR19" s="331"/>
      <c r="AS19" s="331"/>
      <c r="AT19" s="331"/>
      <c r="AU19" s="331"/>
      <c r="AV19" s="331"/>
      <c r="AW19" s="331"/>
      <c r="AX19" s="331"/>
      <c r="AY19" s="331"/>
      <c r="AZ19" s="331"/>
      <c r="BA19" s="331"/>
      <c r="BB19" s="331"/>
      <c r="BC19" s="331"/>
      <c r="BD19" s="331"/>
      <c r="BE19" s="331">
        <f>-AM19*DG19</f>
        <v>0</v>
      </c>
      <c r="BF19" s="331"/>
      <c r="BG19"/>
      <c r="BH19" s="341">
        <f t="shared" si="15"/>
        <v>0</v>
      </c>
      <c r="BI19" s="341">
        <f t="shared" si="10"/>
        <v>0</v>
      </c>
      <c r="BJ19" s="341">
        <f t="shared" si="11"/>
        <v>0</v>
      </c>
      <c r="BK19" s="336">
        <f t="shared" si="12"/>
        <v>0</v>
      </c>
      <c r="BL19" s="336">
        <f t="shared" si="13"/>
        <v>0</v>
      </c>
      <c r="BM19">
        <v>1</v>
      </c>
      <c r="BN19" s="204"/>
      <c r="BO19" s="541"/>
      <c r="BP19" s="399"/>
      <c r="BQ19" s="399"/>
      <c r="BR19" s="304"/>
      <c r="BS19" s="387"/>
      <c r="BT19" s="387"/>
      <c r="BU19" s="387"/>
      <c r="BV19" s="387"/>
      <c r="BW19" s="387"/>
      <c r="BX19" s="387"/>
      <c r="BY19" s="387"/>
      <c r="BZ19" s="387"/>
      <c r="CA19" s="387"/>
      <c r="CB19" s="387"/>
      <c r="CC19" s="387"/>
      <c r="CD19"/>
      <c r="CE19" s="670"/>
      <c r="CF19" s="670"/>
      <c r="CG19" s="670"/>
      <c r="CH19" s="670">
        <v>0.71543000000000001</v>
      </c>
      <c r="CI19" s="670"/>
      <c r="CJ19" s="670">
        <v>0.25337999999999999</v>
      </c>
      <c r="CK19" s="670"/>
      <c r="CL19" s="670"/>
      <c r="CM19" s="670"/>
      <c r="CN19" s="670"/>
      <c r="CO19" s="670">
        <v>-1</v>
      </c>
      <c r="CP19" s="670"/>
      <c r="CQ19" s="672"/>
      <c r="CR19" s="672"/>
      <c r="CS19" s="672"/>
      <c r="CT19" s="672"/>
      <c r="CU19" s="672"/>
      <c r="CV19" s="672"/>
      <c r="CW19" s="672"/>
      <c r="CX19" s="672"/>
      <c r="CY19" s="672"/>
      <c r="CZ19" s="672"/>
      <c r="DA19" s="672"/>
      <c r="DB19" s="672"/>
      <c r="DC19" s="672"/>
      <c r="DD19" s="672"/>
      <c r="DE19" s="673"/>
      <c r="DF19" s="673"/>
      <c r="DG19" s="670">
        <v>0.59619</v>
      </c>
      <c r="DI19" s="393"/>
      <c r="DJ19" s="964"/>
      <c r="DK19" s="500">
        <f>VLOOKUP(C19,'Ecoinvent Processes'!$B$1:$N$28,8,FALSE)*1000</f>
        <v>3290.7099999999996</v>
      </c>
      <c r="DL19" s="394" cm="1">
        <f t="array" ref="DL19">_xlfn.IFS(DM19=1,DK19,DM19=2,DJ19,DM19=0,DP19*SUMPRODUCT($DQ$5:$DX$5,DQ19:DX19))</f>
        <v>189.48747713369764</v>
      </c>
      <c r="DM19">
        <v>0</v>
      </c>
      <c r="DN19" s="291">
        <v>15</v>
      </c>
      <c r="DO19" s="525">
        <f>1-DO18</f>
        <v>0</v>
      </c>
      <c r="DP19" s="526">
        <v>3.3126325311788971</v>
      </c>
      <c r="DQ19" s="525">
        <f>'FE - ACV Aluminum'!$CN$102</f>
        <v>0</v>
      </c>
      <c r="DR19" s="525">
        <f>'FE - ACV Aluminum'!$CN$103</f>
        <v>0.29699999999999999</v>
      </c>
      <c r="DS19" s="525">
        <f>'FE - ACV Aluminum'!$CN$104</f>
        <v>0</v>
      </c>
      <c r="DT19" s="525">
        <f>'FE - ACV Aluminum'!$CN$105</f>
        <v>3.7000000000000033E-2</v>
      </c>
      <c r="DU19" s="525">
        <f>'FE - ACV Aluminum'!$CN$106</f>
        <v>0</v>
      </c>
      <c r="DV19" s="525">
        <f>'FE - ACV Aluminum'!$CN$107</f>
        <v>0.66600000000000004</v>
      </c>
      <c r="DW19" s="525">
        <f>'FE - ACV Aluminum'!$CN$108</f>
        <v>0</v>
      </c>
      <c r="DX19" s="525">
        <f>'FE - ACV Aluminum'!$CN$109</f>
        <v>0</v>
      </c>
      <c r="DY19"/>
      <c r="DZ19" s="435">
        <f>1-DZ18</f>
        <v>0.25</v>
      </c>
      <c r="EA19" s="446">
        <f>'Cryolite Production (H2SiF6)'!C32</f>
        <v>2.8944983664417006</v>
      </c>
      <c r="EB19" s="447">
        <v>0</v>
      </c>
      <c r="EC19" s="447">
        <v>0</v>
      </c>
      <c r="ED19" s="447">
        <v>0</v>
      </c>
      <c r="EE19" s="447">
        <v>0.68486096807415042</v>
      </c>
      <c r="EF19" s="447">
        <v>0</v>
      </c>
      <c r="EG19" s="447">
        <v>0.31513903192584958</v>
      </c>
      <c r="EH19" s="447">
        <v>0</v>
      </c>
      <c r="EI19" s="447">
        <v>0</v>
      </c>
      <c r="EK19"/>
      <c r="EL19"/>
      <c r="EM19"/>
      <c r="EN19"/>
      <c r="EO19"/>
      <c r="EP19"/>
      <c r="EQ19"/>
      <c r="ER19"/>
      <c r="ES19"/>
      <c r="ET19"/>
      <c r="EU19"/>
      <c r="EV19"/>
      <c r="EW19"/>
      <c r="EX19"/>
      <c r="EY19"/>
      <c r="EZ19"/>
      <c r="FA19"/>
      <c r="FB19"/>
      <c r="FC19"/>
      <c r="FD19"/>
      <c r="FE19"/>
      <c r="FF19"/>
      <c r="FG19"/>
    </row>
    <row r="20" spans="1:163" s="297" customFormat="1" ht="25.05" customHeight="1" thickBot="1">
      <c r="B20" s="327" t="s">
        <v>510</v>
      </c>
      <c r="C20" s="327" t="s">
        <v>109</v>
      </c>
      <c r="D20" s="481" t="s">
        <v>1029</v>
      </c>
      <c r="E20" s="329" t="s">
        <v>509</v>
      </c>
      <c r="F20" s="319"/>
      <c r="G20" s="497" t="str">
        <f>VLOOKUP(C20,'Ecoinvent Processes'!$B$1:$N$28,1,FALSE)</f>
        <v>AlF3</v>
      </c>
      <c r="H20"/>
      <c r="I20" s="318" t="s">
        <v>478</v>
      </c>
      <c r="J20" s="320" t="s">
        <v>478</v>
      </c>
      <c r="K20" s="318" t="s">
        <v>478</v>
      </c>
      <c r="L20" s="318" t="s">
        <v>478</v>
      </c>
      <c r="M20" s="318" t="s">
        <v>478</v>
      </c>
      <c r="N20" s="318" t="s">
        <v>478</v>
      </c>
      <c r="O20" s="318" t="s">
        <v>478</v>
      </c>
      <c r="P20" s="318" t="s">
        <v>478</v>
      </c>
      <c r="Q20" s="318" t="s">
        <v>478</v>
      </c>
      <c r="R20" s="330"/>
      <c r="S20" s="400">
        <f t="shared" si="7"/>
        <v>1.5711570348093829E-2</v>
      </c>
      <c r="T20" s="403"/>
      <c r="U20" s="403"/>
      <c r="V20" s="403"/>
      <c r="W20" s="402"/>
      <c r="X20" s="402"/>
      <c r="Y20" s="402"/>
      <c r="Z20">
        <v>62.847850643618948</v>
      </c>
      <c r="AA20" s="682">
        <f t="shared" si="8"/>
        <v>-18.31279240587466</v>
      </c>
      <c r="AB20" s="338">
        <f>S20</f>
        <v>1.5711570348093829E-2</v>
      </c>
      <c r="AC20" s="331"/>
      <c r="AD20" s="331"/>
      <c r="AE20" s="331"/>
      <c r="AF20" s="331"/>
      <c r="AG20" s="331">
        <f>-$AN20*CI20</f>
        <v>8.6893431428571457</v>
      </c>
      <c r="AH20" s="331">
        <f>-$AN20*CJ20</f>
        <v>7.3859416714285722</v>
      </c>
      <c r="AI20" s="331"/>
      <c r="AJ20" s="331"/>
      <c r="AK20" s="331"/>
      <c r="AL20" s="331"/>
      <c r="AM20" s="331"/>
      <c r="AN20" s="331">
        <f>-(AN26+AN27)</f>
        <v>-12.165080400000003</v>
      </c>
      <c r="AO20" s="331"/>
      <c r="AP20" s="331"/>
      <c r="AQ20" s="331"/>
      <c r="AR20" s="331"/>
      <c r="AS20" s="331"/>
      <c r="AT20" s="331"/>
      <c r="AU20" s="331"/>
      <c r="AV20" s="331"/>
      <c r="AW20" s="331"/>
      <c r="AX20" s="331"/>
      <c r="AY20" s="331"/>
      <c r="AZ20" s="331"/>
      <c r="BA20" s="331"/>
      <c r="BB20" s="331"/>
      <c r="BC20" s="331"/>
      <c r="BD20" s="331"/>
      <c r="BE20" s="331"/>
      <c r="BF20" s="331"/>
      <c r="BG20"/>
      <c r="BH20" s="341">
        <f t="shared" si="15"/>
        <v>12.165080400000003</v>
      </c>
      <c r="BI20" s="341">
        <f t="shared" si="10"/>
        <v>44.535058237744288</v>
      </c>
      <c r="BJ20" s="341">
        <f t="shared" si="11"/>
        <v>15711.57034809383</v>
      </c>
      <c r="BK20" s="336">
        <f t="shared" si="12"/>
        <v>4.4535058237744285E-2</v>
      </c>
      <c r="BL20" s="336">
        <f t="shared" si="13"/>
        <v>1.5711570348093829E-2</v>
      </c>
      <c r="BM20">
        <v>1</v>
      </c>
      <c r="BN20" s="204"/>
      <c r="BO20" s="541"/>
      <c r="BP20" s="399"/>
      <c r="BQ20" s="399"/>
      <c r="BR20" s="304"/>
      <c r="BS20" s="387"/>
      <c r="BT20" s="387"/>
      <c r="BU20" s="387"/>
      <c r="BV20" s="387"/>
      <c r="BW20" s="387"/>
      <c r="BX20" s="387"/>
      <c r="BY20" s="387"/>
      <c r="BZ20" s="387"/>
      <c r="CA20" s="387"/>
      <c r="CB20" s="387"/>
      <c r="CC20" s="387"/>
      <c r="CD20"/>
      <c r="CE20" s="670"/>
      <c r="CF20" s="670"/>
      <c r="CG20" s="670"/>
      <c r="CH20" s="670"/>
      <c r="CI20" s="670">
        <v>0.7142857142857143</v>
      </c>
      <c r="CJ20" s="670">
        <v>0.6071428571428571</v>
      </c>
      <c r="CK20" s="670"/>
      <c r="CL20" s="672"/>
      <c r="CM20" s="670"/>
      <c r="CN20" s="670"/>
      <c r="CO20" s="670"/>
      <c r="CP20" s="670">
        <v>-1</v>
      </c>
      <c r="CQ20" s="670"/>
      <c r="CR20" s="670"/>
      <c r="CS20" s="670"/>
      <c r="CT20" s="670"/>
      <c r="CU20" s="670"/>
      <c r="CV20" s="670"/>
      <c r="CW20" s="670"/>
      <c r="CX20" s="670"/>
      <c r="CY20" s="670"/>
      <c r="CZ20" s="670"/>
      <c r="DA20" s="670"/>
      <c r="DB20" s="670"/>
      <c r="DC20" s="670"/>
      <c r="DD20" s="670"/>
      <c r="DE20" s="671"/>
      <c r="DF20" s="671"/>
      <c r="DG20" s="670"/>
      <c r="DI20" s="393"/>
      <c r="DJ20" s="964">
        <f>'Emissão - Simapro'!I97/'LCI - Simapro'!K149*1000</f>
        <v>1291.5303336666666</v>
      </c>
      <c r="DK20" s="500">
        <f>VLOOKUP(C20,'Ecoinvent Processes'!$B$1:$N$28,8,FALSE)*1000</f>
        <v>1011.2699999999999</v>
      </c>
      <c r="DL20" s="394" cm="1">
        <f t="array" ref="DL20">_xlfn.IFS(DM20=1,DK20,DM20=2,DJ20,DM20=0,DP20*SUMPRODUCT($DQ$5:$DX$5,DQ20:DX20))</f>
        <v>1291.5303336666666</v>
      </c>
      <c r="DM20">
        <v>2</v>
      </c>
      <c r="DN20" s="291">
        <v>16</v>
      </c>
      <c r="DO20" s="525">
        <v>0</v>
      </c>
      <c r="DP20" s="526">
        <v>3.6608930457824411</v>
      </c>
      <c r="DQ20" s="525">
        <f>'FE - ACV Aluminum'!$CN$102</f>
        <v>0</v>
      </c>
      <c r="DR20" s="525">
        <f>'FE - ACV Aluminum'!$CN$103</f>
        <v>0.29699999999999999</v>
      </c>
      <c r="DS20" s="525">
        <f>'FE - ACV Aluminum'!$CN$104</f>
        <v>0</v>
      </c>
      <c r="DT20" s="525">
        <f>'FE - ACV Aluminum'!$CN$105</f>
        <v>3.7000000000000033E-2</v>
      </c>
      <c r="DU20" s="525">
        <f>'FE - ACV Aluminum'!$CN$106</f>
        <v>0</v>
      </c>
      <c r="DV20" s="525">
        <f>'FE - ACV Aluminum'!$CN$107</f>
        <v>0.66600000000000004</v>
      </c>
      <c r="DW20" s="525">
        <f>'FE - ACV Aluminum'!$CN$108</f>
        <v>0</v>
      </c>
      <c r="DX20" s="525">
        <f>'FE - ACV Aluminum'!$CN$109</f>
        <v>0</v>
      </c>
      <c r="DY20"/>
      <c r="DZ20" s="435">
        <v>0</v>
      </c>
      <c r="EA20" s="446">
        <f>'Aluminum Fluoride Production'!C35</f>
        <v>3.1988000000000003</v>
      </c>
      <c r="EB20" s="447">
        <v>0</v>
      </c>
      <c r="EC20" s="447">
        <v>0</v>
      </c>
      <c r="ED20" s="447">
        <v>0</v>
      </c>
      <c r="EE20" s="447">
        <v>0.62523446292359575</v>
      </c>
      <c r="EF20" s="447">
        <v>0</v>
      </c>
      <c r="EG20" s="447">
        <v>0.37476553707640425</v>
      </c>
      <c r="EH20" s="447">
        <v>0</v>
      </c>
      <c r="EI20" s="447">
        <v>0</v>
      </c>
      <c r="EK20"/>
      <c r="EL20"/>
      <c r="EM20"/>
      <c r="EN20"/>
      <c r="EO20"/>
      <c r="EP20"/>
      <c r="EQ20"/>
      <c r="ER20"/>
      <c r="ES20"/>
      <c r="ET20"/>
      <c r="EU20"/>
      <c r="EV20"/>
      <c r="EW20"/>
      <c r="EX20"/>
      <c r="EY20"/>
      <c r="EZ20"/>
      <c r="FA20"/>
      <c r="FB20"/>
      <c r="FC20"/>
      <c r="FD20"/>
      <c r="FE20"/>
      <c r="FF20"/>
      <c r="FG20"/>
    </row>
    <row r="21" spans="1:163" s="297" customFormat="1" ht="24.6" customHeight="1">
      <c r="A21" s="297" t="s">
        <v>645</v>
      </c>
      <c r="B21" s="204" t="s">
        <v>482</v>
      </c>
      <c r="C21" s="167" t="s">
        <v>511</v>
      </c>
      <c r="D21" s="745" t="s">
        <v>5229</v>
      </c>
      <c r="E21" s="323" t="s">
        <v>5394</v>
      </c>
      <c r="F21" s="319" t="s">
        <v>90</v>
      </c>
      <c r="G21" s="497" t="e">
        <f>VLOOKUP(C21,'Ecoinvent Processes'!$B$1:$N$28,1,FALSE)</f>
        <v>#N/A</v>
      </c>
      <c r="H21"/>
      <c r="I21" s="318" t="s">
        <v>478</v>
      </c>
      <c r="J21" s="318" t="s">
        <v>478</v>
      </c>
      <c r="K21" s="318" t="s">
        <v>478</v>
      </c>
      <c r="L21" s="318" t="s">
        <v>478</v>
      </c>
      <c r="M21" s="318" t="s">
        <v>478</v>
      </c>
      <c r="N21" s="318" t="s">
        <v>478</v>
      </c>
      <c r="O21" s="318" t="s">
        <v>478</v>
      </c>
      <c r="P21" s="318" t="s">
        <v>478</v>
      </c>
      <c r="Q21" s="318" t="s">
        <v>478</v>
      </c>
      <c r="R21" s="330"/>
      <c r="S21" s="400">
        <f t="shared" si="7"/>
        <v>0.129816362227825</v>
      </c>
      <c r="T21" s="403"/>
      <c r="U21" s="403"/>
      <c r="V21" s="403"/>
      <c r="W21" s="402"/>
      <c r="X21" s="402"/>
      <c r="Y21" s="402"/>
      <c r="Z21">
        <v>901.46746430876533</v>
      </c>
      <c r="AA21" s="682">
        <f t="shared" si="8"/>
        <v>291.27111441787952</v>
      </c>
      <c r="AB21" s="338">
        <f>S21</f>
        <v>0.129816362227825</v>
      </c>
      <c r="AC21" s="331">
        <f>-AJ21/(1-DI22)</f>
        <v>2756.3041165102877</v>
      </c>
      <c r="AD21" s="331"/>
      <c r="AE21" s="331"/>
      <c r="AF21" s="331"/>
      <c r="AG21" s="331"/>
      <c r="AH21" s="331"/>
      <c r="AI21" s="331"/>
      <c r="AJ21" s="331">
        <f>-AJ22</f>
        <v>-2242.0554090136702</v>
      </c>
      <c r="AK21" s="331"/>
      <c r="AL21" s="331"/>
      <c r="AM21" s="331"/>
      <c r="AN21" s="331"/>
      <c r="AO21" s="331"/>
      <c r="AP21" s="331"/>
      <c r="AQ21" s="331"/>
      <c r="AR21" s="331"/>
      <c r="AS21" s="331"/>
      <c r="AT21" s="331"/>
      <c r="AU21" s="331"/>
      <c r="AV21" s="331"/>
      <c r="AW21" s="331"/>
      <c r="AX21" s="331"/>
      <c r="AY21" s="331"/>
      <c r="AZ21" s="331"/>
      <c r="BA21" s="331">
        <f>-AJ21-AC21</f>
        <v>-514.2487074966175</v>
      </c>
      <c r="BB21" s="331"/>
      <c r="BC21" s="331"/>
      <c r="BD21" s="331"/>
      <c r="BE21" s="331"/>
      <c r="BF21" s="331"/>
      <c r="BG21" s="776"/>
      <c r="BH21" s="341">
        <f t="shared" si="15"/>
        <v>2242.0554090136702</v>
      </c>
      <c r="BI21" s="341">
        <f t="shared" si="10"/>
        <v>1192.7385787266448</v>
      </c>
      <c r="BJ21" s="341">
        <f t="shared" si="11"/>
        <v>129816.36222782501</v>
      </c>
      <c r="BK21" s="336">
        <f t="shared" si="12"/>
        <v>1.1927385787266449</v>
      </c>
      <c r="BL21" s="336">
        <f t="shared" si="13"/>
        <v>0.129816362227825</v>
      </c>
      <c r="BM21">
        <v>1</v>
      </c>
      <c r="BN21" s="204"/>
      <c r="BO21" s="541"/>
      <c r="BP21" s="399"/>
      <c r="BQ21" s="399"/>
      <c r="BR21" s="304"/>
      <c r="BS21" s="387"/>
      <c r="BT21" s="387"/>
      <c r="BU21" s="387"/>
      <c r="BV21" s="387"/>
      <c r="BW21" s="387"/>
      <c r="BX21" s="387"/>
      <c r="BY21" s="387"/>
      <c r="BZ21" s="387"/>
      <c r="CA21" s="387"/>
      <c r="CB21" s="387"/>
      <c r="CC21" s="387"/>
      <c r="CD21"/>
      <c r="CE21" s="670">
        <v>1</v>
      </c>
      <c r="CF21" s="670"/>
      <c r="CG21" s="670"/>
      <c r="CH21" s="670"/>
      <c r="CI21" s="670"/>
      <c r="CJ21" s="670"/>
      <c r="CK21" s="670"/>
      <c r="CL21" s="670">
        <v>-1</v>
      </c>
      <c r="CM21" s="670"/>
      <c r="CN21" s="670"/>
      <c r="CO21" s="670"/>
      <c r="CP21" s="670"/>
      <c r="CQ21" s="670"/>
      <c r="CR21" s="670"/>
      <c r="CS21" s="670"/>
      <c r="CT21" s="670"/>
      <c r="CU21" s="670"/>
      <c r="CV21" s="670"/>
      <c r="CW21" s="670"/>
      <c r="CX21" s="670"/>
      <c r="CY21" s="670"/>
      <c r="CZ21" s="670"/>
      <c r="DA21" s="670"/>
      <c r="DB21" s="670"/>
      <c r="DC21" s="670"/>
      <c r="DD21" s="670"/>
      <c r="DE21" s="671"/>
      <c r="DF21" s="671"/>
      <c r="DG21" s="670"/>
      <c r="DI21" s="393"/>
      <c r="DJ21" s="964"/>
      <c r="DK21" s="500">
        <v>0</v>
      </c>
      <c r="DL21" s="394" cm="1">
        <f t="array" ref="DL21">_xlfn.IFS(DM21=1,DK21,DM21=2,DJ21,DM21=0,DP21*SUMPRODUCT($DQ$5:$DX$5,DQ21:DX21))</f>
        <v>57.900603930629039</v>
      </c>
      <c r="DM21">
        <v>0</v>
      </c>
      <c r="DN21" s="291">
        <v>17</v>
      </c>
      <c r="DO21" s="525">
        <v>0</v>
      </c>
      <c r="DP21" s="526">
        <f>'FE - ACV Aluminum'!CN56</f>
        <v>0.53198443443079624</v>
      </c>
      <c r="DQ21" s="525">
        <f>'FE - ACV Aluminum'!$CN$82</f>
        <v>0</v>
      </c>
      <c r="DR21" s="525">
        <f>'FE - ACV Aluminum'!$CN$83</f>
        <v>0.53500000000000003</v>
      </c>
      <c r="DS21" s="525">
        <f>'FE - ACV Aluminum'!$CN$84</f>
        <v>0</v>
      </c>
      <c r="DT21" s="525">
        <f>'FE - ACV Aluminum'!$CN$85</f>
        <v>3.5000000000000003E-2</v>
      </c>
      <c r="DU21" s="525">
        <f>'FE - ACV Aluminum'!$CN$86</f>
        <v>0.37</v>
      </c>
      <c r="DV21" s="525">
        <f>'FE - ACV Aluminum'!$CN$87</f>
        <v>0.06</v>
      </c>
      <c r="DW21" s="525">
        <f>'FE - ACV Aluminum'!$CN$88</f>
        <v>0</v>
      </c>
      <c r="DX21" s="525">
        <f>'FE - ACV Aluminum'!$CN$89</f>
        <v>0</v>
      </c>
      <c r="DY21"/>
      <c r="DZ21" s="435">
        <v>0</v>
      </c>
      <c r="EA21" s="446">
        <v>0.98704521012407154</v>
      </c>
      <c r="EB21" s="447">
        <v>0.20268352158421554</v>
      </c>
      <c r="EC21" s="447">
        <v>0</v>
      </c>
      <c r="ED21" s="447">
        <v>0.69247686238600314</v>
      </c>
      <c r="EE21" s="447">
        <v>2.7539144912894402E-3</v>
      </c>
      <c r="EF21" s="447">
        <v>0</v>
      </c>
      <c r="EG21" s="447">
        <v>0.10208570153849192</v>
      </c>
      <c r="EH21" s="447">
        <v>0</v>
      </c>
      <c r="EI21" s="447">
        <v>0</v>
      </c>
      <c r="EK21"/>
      <c r="EL21"/>
      <c r="EM21"/>
      <c r="EN21"/>
      <c r="EO21"/>
      <c r="EP21"/>
      <c r="EQ21"/>
      <c r="ER21"/>
      <c r="ES21"/>
      <c r="ET21"/>
      <c r="EU21"/>
      <c r="EV21"/>
      <c r="EW21"/>
      <c r="EX21"/>
      <c r="EY21"/>
      <c r="EZ21"/>
      <c r="FA21"/>
      <c r="FB21"/>
      <c r="FC21"/>
      <c r="FD21"/>
      <c r="FE21"/>
      <c r="FF21"/>
      <c r="FG21"/>
    </row>
    <row r="22" spans="1:163" s="297" customFormat="1" ht="25.05" customHeight="1">
      <c r="A22" s="297" t="s">
        <v>645</v>
      </c>
      <c r="B22" s="204" t="s">
        <v>496</v>
      </c>
      <c r="C22" s="167" t="s">
        <v>498</v>
      </c>
      <c r="D22" s="746" t="s">
        <v>5229</v>
      </c>
      <c r="E22" s="342" t="s">
        <v>5395</v>
      </c>
      <c r="F22" s="319" t="s">
        <v>495</v>
      </c>
      <c r="G22" s="497" t="e">
        <f>VLOOKUP(C22,'Ecoinvent Processes'!$B$1:$N$28,1,FALSE)</f>
        <v>#N/A</v>
      </c>
      <c r="H22"/>
      <c r="I22" s="318" t="s">
        <v>478</v>
      </c>
      <c r="J22" s="353" t="s">
        <v>478</v>
      </c>
      <c r="K22" s="318" t="s">
        <v>478</v>
      </c>
      <c r="L22" s="354" t="s">
        <v>478</v>
      </c>
      <c r="M22" s="318" t="s">
        <v>478</v>
      </c>
      <c r="N22" s="318" t="s">
        <v>478</v>
      </c>
      <c r="O22" s="318" t="s">
        <v>478</v>
      </c>
      <c r="P22" s="318" t="s">
        <v>478</v>
      </c>
      <c r="Q22" s="318" t="s">
        <v>478</v>
      </c>
      <c r="R22" s="330"/>
      <c r="S22" s="400">
        <f t="shared" si="7"/>
        <v>0.51983362698470525</v>
      </c>
      <c r="T22" s="403"/>
      <c r="U22" s="403"/>
      <c r="V22" s="403"/>
      <c r="W22" s="402"/>
      <c r="X22" s="402"/>
      <c r="Y22" s="402"/>
      <c r="Z22">
        <v>2776.7810652992589</v>
      </c>
      <c r="AA22" s="682">
        <f t="shared" si="8"/>
        <v>1999.3936077817984</v>
      </c>
      <c r="AB22" s="338">
        <f>IFERROR(S22*K22,0)</f>
        <v>0</v>
      </c>
      <c r="AC22" s="331"/>
      <c r="AD22" s="941"/>
      <c r="AE22" s="331"/>
      <c r="AF22" s="331"/>
      <c r="AG22" s="331"/>
      <c r="AH22" s="331"/>
      <c r="AI22" s="331"/>
      <c r="AJ22" s="331">
        <f>-$AO22*CL22</f>
        <v>2242.0554090136702</v>
      </c>
      <c r="AK22" s="331"/>
      <c r="AL22" s="331"/>
      <c r="AM22" s="331"/>
      <c r="AN22" s="331"/>
      <c r="AO22" s="742">
        <f>-AO23</f>
        <v>-2664.4716454945069</v>
      </c>
      <c r="AP22" s="743"/>
      <c r="AQ22" s="331"/>
      <c r="AR22" s="331"/>
      <c r="AS22" s="331"/>
      <c r="AT22" s="331"/>
      <c r="AU22" s="331"/>
      <c r="AV22" s="331"/>
      <c r="AW22" s="331"/>
      <c r="AX22" s="331"/>
      <c r="AY22" s="331"/>
      <c r="AZ22" s="331"/>
      <c r="BA22" s="331"/>
      <c r="BB22" s="331"/>
      <c r="BC22" s="331"/>
      <c r="BD22" s="331"/>
      <c r="BE22" s="331">
        <f>-AO22*DG22</f>
        <v>1026.4989915608503</v>
      </c>
      <c r="BF22" s="331"/>
      <c r="BG22"/>
      <c r="BH22" s="341">
        <f t="shared" si="15"/>
        <v>2664.4716454945069</v>
      </c>
      <c r="BI22" s="341">
        <f t="shared" si="10"/>
        <v>4776.1746730810573</v>
      </c>
      <c r="BJ22" s="341">
        <f t="shared" si="11"/>
        <v>519833.62698470528</v>
      </c>
      <c r="BK22" s="336">
        <f t="shared" si="12"/>
        <v>4.7761746730810577</v>
      </c>
      <c r="BL22" s="336">
        <f t="shared" si="13"/>
        <v>0.51983362698470525</v>
      </c>
      <c r="BM22">
        <v>1</v>
      </c>
      <c r="BN22" s="204"/>
      <c r="BO22" s="541"/>
      <c r="BP22" s="399"/>
      <c r="BQ22" s="399"/>
      <c r="BR22" s="304"/>
      <c r="BS22" s="387"/>
      <c r="BT22" s="387"/>
      <c r="BU22" s="387"/>
      <c r="BV22" s="387"/>
      <c r="BW22" s="387"/>
      <c r="BX22" s="387"/>
      <c r="BY22" s="387"/>
      <c r="BZ22" s="387"/>
      <c r="CA22" s="387"/>
      <c r="CB22" s="387"/>
      <c r="CC22" s="387"/>
      <c r="CD22"/>
      <c r="CE22" s="670"/>
      <c r="CF22" s="670"/>
      <c r="CG22" s="670"/>
      <c r="CH22" s="670"/>
      <c r="CI22" s="670"/>
      <c r="CJ22" s="670"/>
      <c r="CK22" s="670"/>
      <c r="CL22" s="670">
        <v>0.84146341463414631</v>
      </c>
      <c r="CM22" s="670"/>
      <c r="CN22" s="670"/>
      <c r="CO22" s="670"/>
      <c r="CP22" s="670"/>
      <c r="CQ22" s="670">
        <v>-1</v>
      </c>
      <c r="CR22" s="670"/>
      <c r="CS22" s="670"/>
      <c r="CT22" s="670"/>
      <c r="CU22" s="670"/>
      <c r="CV22" s="670"/>
      <c r="CW22" s="670"/>
      <c r="CX22" s="670"/>
      <c r="CY22" s="670"/>
      <c r="CZ22" s="670"/>
      <c r="DA22" s="670"/>
      <c r="DB22" s="670"/>
      <c r="DC22" s="670"/>
      <c r="DD22" s="670"/>
      <c r="DE22" s="671"/>
      <c r="DF22" s="671"/>
      <c r="DG22" s="670">
        <v>0.38525423728813574</v>
      </c>
      <c r="DI22" s="571">
        <v>0.18657183161185395</v>
      </c>
      <c r="DJ22" s="965"/>
      <c r="DK22" s="500">
        <v>0</v>
      </c>
      <c r="DL22" s="394" cm="1">
        <f t="array" ref="DL22">_xlfn.IFS(DM22=1,DK22,DM22=2,DJ22,DM22=0,DP22*SUMPRODUCT($DQ$5:$DX$5,DQ22:DX22))</f>
        <v>195.09820187567726</v>
      </c>
      <c r="DM22">
        <v>0</v>
      </c>
      <c r="DN22" s="291">
        <v>18</v>
      </c>
      <c r="DO22" s="525">
        <v>0</v>
      </c>
      <c r="DP22" s="526">
        <f>'FE - ACV Aluminum'!CN57</f>
        <v>1.7925410019496129</v>
      </c>
      <c r="DQ22" s="525">
        <f>'FE - ACV Aluminum'!$CN$82</f>
        <v>0</v>
      </c>
      <c r="DR22" s="525">
        <f>'FE - ACV Aluminum'!$CN$83</f>
        <v>0.53500000000000003</v>
      </c>
      <c r="DS22" s="525">
        <f>'FE - ACV Aluminum'!$CN$84</f>
        <v>0</v>
      </c>
      <c r="DT22" s="525">
        <f>'FE - ACV Aluminum'!$CN$85</f>
        <v>3.5000000000000003E-2</v>
      </c>
      <c r="DU22" s="525">
        <f>'FE - ACV Aluminum'!$CN$86</f>
        <v>0.37</v>
      </c>
      <c r="DV22" s="525">
        <f>'FE - ACV Aluminum'!$CN$87</f>
        <v>0.06</v>
      </c>
      <c r="DW22" s="525">
        <f>'FE - ACV Aluminum'!$CN$88</f>
        <v>0</v>
      </c>
      <c r="DX22" s="525">
        <f>'FE - ACV Aluminum'!$CN$89</f>
        <v>0</v>
      </c>
      <c r="DY22"/>
      <c r="DZ22" s="435">
        <v>0</v>
      </c>
      <c r="EA22" s="446">
        <v>2.7509905211199932</v>
      </c>
      <c r="EB22" s="447">
        <v>0.20268352158421554</v>
      </c>
      <c r="EC22" s="447">
        <v>0</v>
      </c>
      <c r="ED22" s="447">
        <v>0.69247686238600314</v>
      </c>
      <c r="EE22" s="447">
        <v>2.7539144912894402E-3</v>
      </c>
      <c r="EF22" s="447">
        <v>0</v>
      </c>
      <c r="EG22" s="447">
        <v>0.10208570153849192</v>
      </c>
      <c r="EH22" s="447">
        <v>0</v>
      </c>
      <c r="EI22" s="447">
        <v>0</v>
      </c>
      <c r="EK22"/>
      <c r="EL22"/>
      <c r="EM22"/>
      <c r="EN22"/>
      <c r="EO22"/>
      <c r="EP22"/>
      <c r="EQ22"/>
      <c r="ER22"/>
      <c r="ES22"/>
      <c r="ET22"/>
      <c r="EU22"/>
      <c r="EV22"/>
      <c r="EW22"/>
      <c r="EX22"/>
      <c r="EY22"/>
      <c r="EZ22"/>
      <c r="FA22"/>
      <c r="FB22"/>
      <c r="FC22"/>
      <c r="FD22"/>
      <c r="FE22"/>
      <c r="FF22"/>
      <c r="FG22"/>
    </row>
    <row r="23" spans="1:163" s="297" customFormat="1" ht="25.05" customHeight="1" thickBot="1">
      <c r="B23" s="204" t="s">
        <v>499</v>
      </c>
      <c r="C23" s="167" t="s">
        <v>105</v>
      </c>
      <c r="D23" s="747" t="s">
        <v>5229</v>
      </c>
      <c r="E23" s="342" t="s">
        <v>488</v>
      </c>
      <c r="F23" s="319" t="s">
        <v>495</v>
      </c>
      <c r="G23" s="497" t="e">
        <f>VLOOKUP(C23,'Ecoinvent Processes'!$B$1:$N$28,1,FALSE)</f>
        <v>#N/A</v>
      </c>
      <c r="H23"/>
      <c r="I23" s="318" t="s">
        <v>478</v>
      </c>
      <c r="J23" s="318" t="s">
        <v>478</v>
      </c>
      <c r="K23" s="320" t="s">
        <v>478</v>
      </c>
      <c r="L23" s="318" t="s">
        <v>478</v>
      </c>
      <c r="M23" s="318" t="s">
        <v>478</v>
      </c>
      <c r="N23" s="318" t="s">
        <v>478</v>
      </c>
      <c r="O23" s="318" t="s">
        <v>478</v>
      </c>
      <c r="P23" s="318" t="s">
        <v>478</v>
      </c>
      <c r="Q23" s="318" t="s">
        <v>478</v>
      </c>
      <c r="R23" s="330"/>
      <c r="S23" s="400">
        <f t="shared" si="7"/>
        <v>0</v>
      </c>
      <c r="T23" s="403"/>
      <c r="U23" s="403"/>
      <c r="V23" s="403"/>
      <c r="W23" s="402"/>
      <c r="X23" s="402"/>
      <c r="Y23" s="402"/>
      <c r="Z23">
        <v>0</v>
      </c>
      <c r="AA23" s="682">
        <f t="shared" si="8"/>
        <v>0</v>
      </c>
      <c r="AB23" s="338">
        <f>S23</f>
        <v>0</v>
      </c>
      <c r="AC23" s="331"/>
      <c r="AD23" s="331"/>
      <c r="AE23" s="331"/>
      <c r="AF23" s="331"/>
      <c r="AG23" s="331"/>
      <c r="AH23" s="331"/>
      <c r="AI23" s="331"/>
      <c r="AJ23" s="331"/>
      <c r="AK23" s="331"/>
      <c r="AL23" s="331"/>
      <c r="AM23" s="331"/>
      <c r="AN23" s="331"/>
      <c r="AO23" s="742">
        <f>-AP23*CQ23</f>
        <v>2664.4716454945069</v>
      </c>
      <c r="AP23" s="742">
        <f>-AP24</f>
        <v>-1761.2609182082333</v>
      </c>
      <c r="AQ23" s="331"/>
      <c r="AR23" s="331"/>
      <c r="AS23" s="568"/>
      <c r="AT23" s="331"/>
      <c r="AU23" s="331"/>
      <c r="AV23" s="331"/>
      <c r="AW23" s="331"/>
      <c r="AX23" s="331"/>
      <c r="AY23" s="331"/>
      <c r="AZ23" s="331"/>
      <c r="BA23" s="331"/>
      <c r="BB23" s="331"/>
      <c r="BC23" s="331"/>
      <c r="BD23" s="331"/>
      <c r="BE23" s="331">
        <f>-AP23*DG23</f>
        <v>-903.21072728627382</v>
      </c>
      <c r="BF23" s="331"/>
      <c r="BG23"/>
      <c r="BH23" s="341">
        <f t="shared" si="15"/>
        <v>1761.2609182082333</v>
      </c>
      <c r="BI23" s="341">
        <f t="shared" si="10"/>
        <v>0</v>
      </c>
      <c r="BJ23" s="341">
        <f t="shared" si="11"/>
        <v>0</v>
      </c>
      <c r="BK23" s="336">
        <f t="shared" si="12"/>
        <v>0</v>
      </c>
      <c r="BL23" s="336">
        <f t="shared" si="13"/>
        <v>0</v>
      </c>
      <c r="BM23">
        <v>1</v>
      </c>
      <c r="BN23" s="204"/>
      <c r="BO23" s="541"/>
      <c r="BP23" s="399"/>
      <c r="BQ23" s="399"/>
      <c r="BR23" s="304"/>
      <c r="BS23" s="387"/>
      <c r="BT23" s="387"/>
      <c r="BU23" s="387"/>
      <c r="BV23" s="387"/>
      <c r="BW23" s="387"/>
      <c r="BX23" s="387"/>
      <c r="BY23" s="387"/>
      <c r="BZ23" s="387"/>
      <c r="CA23" s="387"/>
      <c r="CB23" s="387"/>
      <c r="CC23" s="387"/>
      <c r="CD23"/>
      <c r="CE23" s="670"/>
      <c r="CF23" s="670"/>
      <c r="CG23" s="670"/>
      <c r="CH23" s="670"/>
      <c r="CI23" s="670"/>
      <c r="CJ23" s="670"/>
      <c r="CK23" s="670"/>
      <c r="CL23" s="670"/>
      <c r="CM23" s="670"/>
      <c r="CN23" s="670"/>
      <c r="CO23" s="670"/>
      <c r="CP23" s="670"/>
      <c r="CQ23" s="670">
        <v>1.5128205128205128</v>
      </c>
      <c r="CR23" s="670">
        <v>-1</v>
      </c>
      <c r="CS23" s="670"/>
      <c r="CT23" s="670"/>
      <c r="CU23" s="670"/>
      <c r="CV23" s="670"/>
      <c r="CW23" s="670"/>
      <c r="CX23" s="670"/>
      <c r="CY23" s="670"/>
      <c r="CZ23" s="670"/>
      <c r="DA23" s="670"/>
      <c r="DB23" s="670"/>
      <c r="DC23" s="670"/>
      <c r="DD23" s="670"/>
      <c r="DE23" s="671"/>
      <c r="DF23" s="671"/>
      <c r="DG23" s="670">
        <v>-0.512820512820513</v>
      </c>
      <c r="DI23" s="393"/>
      <c r="DJ23" s="964"/>
      <c r="DK23" s="500">
        <v>0</v>
      </c>
      <c r="DL23" s="394" cm="1">
        <f t="array" ref="DL23">_xlfn.IFS(DM23=1,DK23,DM23=2,DJ23,DM23=0,DP23*SUMPRODUCT($DQ$5:$DX$5,DQ23:DX23))</f>
        <v>0</v>
      </c>
      <c r="DM23">
        <v>0</v>
      </c>
      <c r="DN23" s="291">
        <v>19</v>
      </c>
      <c r="DO23" s="525">
        <v>0</v>
      </c>
      <c r="DP23" s="526">
        <v>0</v>
      </c>
      <c r="DQ23" s="525">
        <f>'FE - ACV Aluminum'!$CN$82</f>
        <v>0</v>
      </c>
      <c r="DR23" s="525">
        <f>'FE - ACV Aluminum'!$CN$83</f>
        <v>0.53500000000000003</v>
      </c>
      <c r="DS23" s="525">
        <f>'FE - ACV Aluminum'!$CN$84</f>
        <v>0</v>
      </c>
      <c r="DT23" s="525">
        <f>'FE - ACV Aluminum'!$CN$85</f>
        <v>3.5000000000000003E-2</v>
      </c>
      <c r="DU23" s="525">
        <f>'FE - ACV Aluminum'!$CN$86</f>
        <v>0.37</v>
      </c>
      <c r="DV23" s="525">
        <f>'FE - ACV Aluminum'!$CN$87</f>
        <v>0.06</v>
      </c>
      <c r="DW23" s="525">
        <f>'FE - ACV Aluminum'!$CN$88</f>
        <v>0</v>
      </c>
      <c r="DX23" s="525">
        <f>'FE - ACV Aluminum'!$CN$89</f>
        <v>0</v>
      </c>
      <c r="DY23"/>
      <c r="DZ23" s="435">
        <v>0</v>
      </c>
      <c r="EA23" s="446">
        <v>0</v>
      </c>
      <c r="EB23" s="447">
        <v>0</v>
      </c>
      <c r="EC23" s="447">
        <v>0</v>
      </c>
      <c r="ED23" s="447">
        <v>0</v>
      </c>
      <c r="EE23" s="447">
        <v>0</v>
      </c>
      <c r="EF23" s="447">
        <v>0</v>
      </c>
      <c r="EG23" s="447">
        <v>0</v>
      </c>
      <c r="EH23" s="447">
        <v>0</v>
      </c>
      <c r="EI23" s="447">
        <v>0</v>
      </c>
      <c r="EK23"/>
      <c r="EL23"/>
      <c r="EM23"/>
      <c r="EN23"/>
      <c r="EO23"/>
      <c r="EP23"/>
      <c r="EQ23"/>
      <c r="ER23"/>
      <c r="ES23"/>
      <c r="ET23"/>
      <c r="EU23"/>
      <c r="EV23"/>
      <c r="EW23"/>
      <c r="EX23"/>
      <c r="EY23"/>
      <c r="EZ23"/>
      <c r="FA23"/>
      <c r="FB23"/>
      <c r="FC23"/>
      <c r="FD23"/>
      <c r="FE23"/>
      <c r="FF23"/>
      <c r="FG23"/>
    </row>
    <row r="24" spans="1:163" s="297" customFormat="1" ht="24.6" customHeight="1" thickBot="1">
      <c r="A24" s="297" t="s">
        <v>645</v>
      </c>
      <c r="B24" s="204" t="s">
        <v>500</v>
      </c>
      <c r="C24" s="204" t="s">
        <v>5</v>
      </c>
      <c r="D24" s="469" t="s">
        <v>1032</v>
      </c>
      <c r="E24" s="324" t="s">
        <v>489</v>
      </c>
      <c r="F24" s="319" t="s">
        <v>495</v>
      </c>
      <c r="G24" s="497" t="str">
        <f>VLOOKUP(C24,'Ecoinvent Processes'!$B$1:$N$28,1,FALSE)</f>
        <v>Alumina</v>
      </c>
      <c r="H24"/>
      <c r="I24" s="318" t="s">
        <v>478</v>
      </c>
      <c r="J24" s="318" t="s">
        <v>478</v>
      </c>
      <c r="K24" s="318" t="s">
        <v>478</v>
      </c>
      <c r="L24" s="318" t="s">
        <v>478</v>
      </c>
      <c r="M24" s="318" t="s">
        <v>478</v>
      </c>
      <c r="N24" s="318" t="s">
        <v>478</v>
      </c>
      <c r="O24" s="318" t="s">
        <v>478</v>
      </c>
      <c r="P24" s="318" t="s">
        <v>478</v>
      </c>
      <c r="Q24" s="318" t="s">
        <v>478</v>
      </c>
      <c r="R24" s="330"/>
      <c r="S24" s="400">
        <f t="shared" si="7"/>
        <v>0.35743311657499355</v>
      </c>
      <c r="T24" s="403"/>
      <c r="U24" s="403"/>
      <c r="V24" s="403"/>
      <c r="W24" s="402"/>
      <c r="X24" s="402"/>
      <c r="Y24" s="402"/>
      <c r="Z24">
        <v>6314.2726432743566</v>
      </c>
      <c r="AA24" s="682">
        <f t="shared" si="8"/>
        <v>-3030.2161488757315</v>
      </c>
      <c r="AB24" s="338">
        <f>S24</f>
        <v>0.35743311657499355</v>
      </c>
      <c r="AC24" s="331"/>
      <c r="AD24" s="331"/>
      <c r="AE24" s="331"/>
      <c r="AF24" s="331"/>
      <c r="AG24" s="331"/>
      <c r="AH24" s="331">
        <f>-SUM(AH26:AH27)-SUM(AH18:AH20)</f>
        <v>-1151.1509269334858</v>
      </c>
      <c r="AI24" s="331"/>
      <c r="AJ24" s="331"/>
      <c r="AK24" s="331"/>
      <c r="AL24" s="331"/>
      <c r="AM24" s="331"/>
      <c r="AN24" s="331"/>
      <c r="AO24" s="331"/>
      <c r="AP24" s="742">
        <f>-AH24*CR24</f>
        <v>1761.2609182082333</v>
      </c>
      <c r="AQ24" s="331"/>
      <c r="AR24" s="331"/>
      <c r="AS24" s="331"/>
      <c r="AT24" s="331"/>
      <c r="AU24" s="331"/>
      <c r="AV24" s="331"/>
      <c r="AW24" s="331"/>
      <c r="AX24" s="331"/>
      <c r="AY24" s="331"/>
      <c r="AZ24" s="331"/>
      <c r="BA24" s="331"/>
      <c r="BB24" s="331"/>
      <c r="BC24" s="331"/>
      <c r="BD24" s="331"/>
      <c r="BE24" s="331"/>
      <c r="BF24" s="331"/>
      <c r="BG24"/>
      <c r="BH24" s="341">
        <f t="shared" si="15"/>
        <v>1151.1509269334858</v>
      </c>
      <c r="BI24" s="341">
        <f t="shared" si="10"/>
        <v>3284.0564943986251</v>
      </c>
      <c r="BJ24" s="341">
        <f t="shared" si="11"/>
        <v>357433.11657499359</v>
      </c>
      <c r="BK24" s="336">
        <f t="shared" si="12"/>
        <v>3.2840564943986252</v>
      </c>
      <c r="BL24" s="336">
        <f t="shared" si="13"/>
        <v>0.35743311657499355</v>
      </c>
      <c r="BM24">
        <v>1</v>
      </c>
      <c r="BN24" s="204"/>
      <c r="BO24" s="541"/>
      <c r="BP24" s="399"/>
      <c r="BQ24" s="399"/>
      <c r="BR24" s="304"/>
      <c r="BS24" s="387"/>
      <c r="BT24" s="387"/>
      <c r="BU24" s="387"/>
      <c r="BV24" s="387"/>
      <c r="BW24" s="387"/>
      <c r="BX24" s="387"/>
      <c r="BY24" s="387"/>
      <c r="BZ24" s="387"/>
      <c r="CA24" s="387"/>
      <c r="CB24" s="387"/>
      <c r="CC24" s="387"/>
      <c r="CD24"/>
      <c r="CE24" s="670"/>
      <c r="CF24" s="670"/>
      <c r="CG24" s="670"/>
      <c r="CH24" s="670"/>
      <c r="CI24" s="670"/>
      <c r="CJ24" s="670">
        <v>-1</v>
      </c>
      <c r="CK24" s="670"/>
      <c r="CL24" s="670"/>
      <c r="CM24" s="670"/>
      <c r="CN24" s="670"/>
      <c r="CO24" s="670"/>
      <c r="CP24" s="670"/>
      <c r="CQ24" s="670"/>
      <c r="CR24" s="670">
        <v>1.53</v>
      </c>
      <c r="CS24" s="670"/>
      <c r="CT24" s="670"/>
      <c r="CU24" s="670"/>
      <c r="CV24" s="670"/>
      <c r="CW24" s="670"/>
      <c r="CX24" s="670"/>
      <c r="CY24" s="670"/>
      <c r="CZ24" s="670"/>
      <c r="DA24" s="670"/>
      <c r="DB24" s="670"/>
      <c r="DC24" s="670"/>
      <c r="DD24" s="670"/>
      <c r="DE24" s="671"/>
      <c r="DF24" s="671"/>
      <c r="DG24" s="670"/>
      <c r="DI24" s="393"/>
      <c r="DJ24" s="964"/>
      <c r="DK24" s="500">
        <f>VLOOKUP(C24,'Ecoinvent Processes'!$B$1:$N$28,8,FALSE)*1000</f>
        <v>2915.37</v>
      </c>
      <c r="DL24" s="394" cm="1">
        <f t="array" ref="DL24">_xlfn.IFS(DM24=1,DK24,DM24=2,DJ24,DM24=0,DP24*SUMPRODUCT($DQ$5:$DX$5,DQ24:DX24))</f>
        <v>310.50065479002677</v>
      </c>
      <c r="DM24">
        <v>0</v>
      </c>
      <c r="DN24" s="291">
        <v>20</v>
      </c>
      <c r="DO24" s="525">
        <v>0</v>
      </c>
      <c r="DP24" s="526">
        <f>'FE - ACV Aluminum'!CN58</f>
        <v>2.8528461538461496</v>
      </c>
      <c r="DQ24" s="525">
        <f>'FE - ACV Aluminum'!$CN$92</f>
        <v>0</v>
      </c>
      <c r="DR24" s="525">
        <f>'FE - ACV Aluminum'!$CN$93</f>
        <v>0.53500000000000003</v>
      </c>
      <c r="DS24" s="525">
        <f>'FE - ACV Aluminum'!$CN$94</f>
        <v>0</v>
      </c>
      <c r="DT24" s="525">
        <f>'FE - ACV Aluminum'!$CN$95</f>
        <v>3.5000000000000003E-2</v>
      </c>
      <c r="DU24" s="525">
        <f>'FE - ACV Aluminum'!$CN$96</f>
        <v>0.37</v>
      </c>
      <c r="DV24" s="525">
        <f>'FE - ACV Aluminum'!$CN$97</f>
        <v>0.06</v>
      </c>
      <c r="DW24" s="525">
        <f>'FE - ACV Aluminum'!$CN$98</f>
        <v>0</v>
      </c>
      <c r="DX24" s="525">
        <f>'FE - ACV Aluminum'!$CN$99</f>
        <v>0</v>
      </c>
      <c r="DY24"/>
      <c r="DZ24" s="435">
        <v>0</v>
      </c>
      <c r="EA24" s="446">
        <f>Calcination!C25</f>
        <v>6.3353967616334277</v>
      </c>
      <c r="EB24" s="447">
        <v>0</v>
      </c>
      <c r="EC24" s="447">
        <v>0</v>
      </c>
      <c r="ED24" s="447">
        <v>0.89085802857761098</v>
      </c>
      <c r="EE24" s="447">
        <v>2.8818546011607645E-3</v>
      </c>
      <c r="EF24" s="447">
        <v>0</v>
      </c>
      <c r="EG24" s="447">
        <v>0.10626011682122827</v>
      </c>
      <c r="EH24" s="447">
        <v>0</v>
      </c>
      <c r="EI24" s="447">
        <v>0</v>
      </c>
      <c r="EK24"/>
      <c r="EL24"/>
      <c r="EM24"/>
      <c r="EN24"/>
      <c r="EO24"/>
      <c r="EP24"/>
      <c r="EQ24"/>
      <c r="ER24"/>
      <c r="ES24"/>
      <c r="ET24"/>
      <c r="EU24"/>
      <c r="EV24"/>
      <c r="EW24"/>
      <c r="EX24"/>
      <c r="EY24"/>
      <c r="EZ24"/>
      <c r="FA24"/>
      <c r="FB24"/>
      <c r="FC24"/>
      <c r="FD24"/>
      <c r="FE24"/>
      <c r="FF24"/>
      <c r="FG24"/>
    </row>
    <row r="25" spans="1:163" s="297" customFormat="1" ht="24.6" customHeight="1" thickBot="1">
      <c r="B25" s="204"/>
      <c r="C25" s="204"/>
      <c r="D25" s="469"/>
      <c r="E25" s="750" t="s">
        <v>5</v>
      </c>
      <c r="F25" s="319"/>
      <c r="G25" s="497"/>
      <c r="H25"/>
      <c r="I25" s="318" t="s">
        <v>478</v>
      </c>
      <c r="J25" s="318" t="s">
        <v>478</v>
      </c>
      <c r="K25" s="318" t="s">
        <v>478</v>
      </c>
      <c r="L25" s="318" t="s">
        <v>478</v>
      </c>
      <c r="M25" s="318" t="s">
        <v>478</v>
      </c>
      <c r="N25" s="318" t="s">
        <v>478</v>
      </c>
      <c r="O25" s="318" t="s">
        <v>478</v>
      </c>
      <c r="P25" s="318" t="s">
        <v>478</v>
      </c>
      <c r="Q25" s="318" t="s">
        <v>478</v>
      </c>
      <c r="R25" s="330"/>
      <c r="S25" s="400"/>
      <c r="T25" s="403"/>
      <c r="U25" s="403"/>
      <c r="V25" s="403"/>
      <c r="W25" s="402"/>
      <c r="X25" s="402"/>
      <c r="Y25" s="402"/>
      <c r="Z25"/>
      <c r="AA25" s="682"/>
      <c r="AB25" s="338"/>
      <c r="AC25" s="331"/>
      <c r="AD25" s="331"/>
      <c r="AE25" s="331"/>
      <c r="AF25" s="331"/>
      <c r="AG25" s="331"/>
      <c r="AH25" s="331"/>
      <c r="AI25" s="331"/>
      <c r="AJ25" s="331"/>
      <c r="AK25" s="331"/>
      <c r="AL25" s="331"/>
      <c r="AM25" s="331"/>
      <c r="AN25" s="331"/>
      <c r="AO25" s="331"/>
      <c r="AP25" s="742"/>
      <c r="AQ25" s="331"/>
      <c r="AR25" s="331"/>
      <c r="AS25" s="331"/>
      <c r="AT25" s="331"/>
      <c r="AU25" s="331"/>
      <c r="AV25" s="331"/>
      <c r="AW25" s="331"/>
      <c r="AX25" s="331"/>
      <c r="AY25" s="331"/>
      <c r="AZ25" s="331"/>
      <c r="BA25" s="331"/>
      <c r="BB25" s="331"/>
      <c r="BC25" s="331"/>
      <c r="BD25" s="331"/>
      <c r="BE25" s="331"/>
      <c r="BF25" s="331"/>
      <c r="BG25" s="953"/>
      <c r="BH25" s="748">
        <f>BH24</f>
        <v>1151.1509269334858</v>
      </c>
      <c r="BI25" s="748">
        <f>SUM(BI11:BI24)-SUM(BI13:BI14)-SUM(BI16:BI20)</f>
        <v>9619.7712292592241</v>
      </c>
      <c r="BJ25" s="748">
        <f>SUM(BJ11:BJ24)-SUM(BJ13:BJ14)-SUM(BJ16:BJ20)</f>
        <v>1818731.4760388026</v>
      </c>
      <c r="BK25" s="749">
        <f>IFERROR(+BI25/$BH$25,0)</f>
        <v>8.3566550694486477</v>
      </c>
      <c r="BL25" s="749">
        <f>IFERROR(+BJ25/$BH$25,0)</f>
        <v>1579.9244334395519</v>
      </c>
      <c r="BM25">
        <v>0</v>
      </c>
      <c r="BN25" s="204"/>
      <c r="BO25" s="399"/>
      <c r="BP25" s="399"/>
      <c r="BQ25" s="399"/>
      <c r="BR25" s="304"/>
      <c r="BS25" s="387"/>
      <c r="BT25" s="387"/>
      <c r="BU25" s="387"/>
      <c r="BV25" s="387"/>
      <c r="BW25" s="387"/>
      <c r="BX25" s="387"/>
      <c r="BY25" s="387"/>
      <c r="BZ25" s="387"/>
      <c r="CA25" s="387"/>
      <c r="CB25" s="387"/>
      <c r="CC25" s="387"/>
      <c r="CD25"/>
      <c r="CE25" s="670"/>
      <c r="CF25" s="670"/>
      <c r="CG25" s="670"/>
      <c r="CH25" s="670"/>
      <c r="CI25" s="670"/>
      <c r="CJ25" s="670"/>
      <c r="CK25" s="670"/>
      <c r="CL25" s="670"/>
      <c r="CM25" s="670"/>
      <c r="CN25" s="670"/>
      <c r="CO25" s="670"/>
      <c r="CP25" s="670"/>
      <c r="CQ25" s="670"/>
      <c r="CR25" s="670"/>
      <c r="CS25" s="670"/>
      <c r="CT25" s="670"/>
      <c r="CU25" s="670"/>
      <c r="CV25" s="670"/>
      <c r="CW25" s="670"/>
      <c r="CX25" s="670"/>
      <c r="CY25" s="670"/>
      <c r="CZ25" s="670"/>
      <c r="DA25" s="670"/>
      <c r="DB25" s="670"/>
      <c r="DC25" s="670"/>
      <c r="DD25" s="670"/>
      <c r="DE25" s="671"/>
      <c r="DF25" s="671"/>
      <c r="DG25" s="670"/>
      <c r="DI25" s="393"/>
      <c r="DJ25" s="964"/>
      <c r="DK25" s="500"/>
      <c r="DL25" s="394" cm="1">
        <f t="array" ref="DL25">_xlfn.IFS(DM25=1,DK25,DM25=2,DJ25,DM25=0,DP25*SUMPRODUCT($DQ$5:$DX$5,DQ25:DX25))</f>
        <v>0</v>
      </c>
      <c r="DM25">
        <v>0</v>
      </c>
      <c r="DN25" s="291">
        <v>21</v>
      </c>
      <c r="DO25" s="525"/>
      <c r="DP25" s="526"/>
      <c r="DQ25" s="525"/>
      <c r="DR25" s="525"/>
      <c r="DS25" s="525"/>
      <c r="DT25" s="525"/>
      <c r="DU25" s="525"/>
      <c r="DV25" s="525"/>
      <c r="DW25" s="525"/>
      <c r="DX25" s="525"/>
      <c r="DY25"/>
      <c r="DZ25" s="435"/>
      <c r="EA25" s="446"/>
      <c r="EB25" s="447"/>
      <c r="EC25" s="447"/>
      <c r="ED25" s="447"/>
      <c r="EE25" s="447"/>
      <c r="EF25" s="447"/>
      <c r="EG25" s="447"/>
      <c r="EH25" s="447"/>
      <c r="EI25" s="447"/>
      <c r="EK25"/>
      <c r="EL25"/>
      <c r="EM25"/>
      <c r="EN25"/>
      <c r="EO25"/>
      <c r="EP25"/>
      <c r="EQ25"/>
      <c r="ER25"/>
      <c r="ES25"/>
      <c r="ET25"/>
      <c r="EU25"/>
      <c r="EV25"/>
      <c r="EW25"/>
      <c r="EX25"/>
      <c r="EY25"/>
      <c r="EZ25"/>
      <c r="FA25"/>
      <c r="FB25"/>
      <c r="FC25"/>
      <c r="FD25"/>
      <c r="FE25"/>
      <c r="FF25"/>
      <c r="FG25"/>
    </row>
    <row r="26" spans="1:163" s="297" customFormat="1" ht="25.05" customHeight="1">
      <c r="A26" s="297" t="s">
        <v>645</v>
      </c>
      <c r="B26" s="168" t="s">
        <v>507</v>
      </c>
      <c r="C26" s="204" t="s">
        <v>5197</v>
      </c>
      <c r="D26" s="325" t="s">
        <v>1060</v>
      </c>
      <c r="E26" s="323" t="s">
        <v>5314</v>
      </c>
      <c r="F26" s="319" t="s">
        <v>494</v>
      </c>
      <c r="G26" s="497" t="str">
        <f>VLOOKUP(C26,'Ecoinvent Processes'!$B$1:$N$28,1,FALSE)</f>
        <v>Primary Liquid Aluminum (Prebaked)</v>
      </c>
      <c r="H26"/>
      <c r="I26" s="318" t="s">
        <v>478</v>
      </c>
      <c r="J26" s="318" t="s">
        <v>478</v>
      </c>
      <c r="K26" s="353" t="s">
        <v>478</v>
      </c>
      <c r="L26" s="737">
        <f>DO26</f>
        <v>0.67400000000000004</v>
      </c>
      <c r="M26" s="354" t="s">
        <v>478</v>
      </c>
      <c r="N26" s="318" t="s">
        <v>478</v>
      </c>
      <c r="O26" s="318" t="s">
        <v>478</v>
      </c>
      <c r="P26" s="318" t="s">
        <v>478</v>
      </c>
      <c r="Q26" s="318" t="s">
        <v>478</v>
      </c>
      <c r="R26" s="330"/>
      <c r="S26" s="400">
        <f t="shared" si="7"/>
        <v>0.85702561224552043</v>
      </c>
      <c r="T26" s="403"/>
      <c r="U26" s="403"/>
      <c r="V26" s="403"/>
      <c r="W26" s="402"/>
      <c r="X26" s="402"/>
      <c r="Y26" s="402"/>
      <c r="Z26">
        <v>30288.5078409772</v>
      </c>
      <c r="AA26" s="682">
        <f>+BI26-Z26</f>
        <v>-8045.5000761771953</v>
      </c>
      <c r="AB26" s="338">
        <f>S26*(-AQ26/SUM(AR32:AR37))</f>
        <v>0.57763526265348075</v>
      </c>
      <c r="AC26" s="331"/>
      <c r="AD26" s="331">
        <f>-$AQ26*CF26</f>
        <v>1.4233724571428574</v>
      </c>
      <c r="AE26" s="331">
        <f>-$AQ26*CG26</f>
        <v>0.74923188000000018</v>
      </c>
      <c r="AF26" s="331"/>
      <c r="AG26" s="331"/>
      <c r="AH26" s="331">
        <f>-$AQ26*CJ26</f>
        <v>744.14944564955431</v>
      </c>
      <c r="AI26" s="331"/>
      <c r="AJ26" s="331"/>
      <c r="AK26" s="331">
        <f>-$AQ26*CM26</f>
        <v>186.32730000000004</v>
      </c>
      <c r="AL26" s="331"/>
      <c r="AM26" s="331">
        <f>-$AQ26*CO26</f>
        <v>0.62762880000000021</v>
      </c>
      <c r="AN26" s="331">
        <f>-$AQ26*CP26</f>
        <v>8.2376280000000026</v>
      </c>
      <c r="AO26" s="331"/>
      <c r="AP26" s="331"/>
      <c r="AQ26" s="331">
        <f>-SUM($AR$32:$AR$37)*L26</f>
        <v>-392.26800000000009</v>
      </c>
      <c r="AR26" s="331"/>
      <c r="AS26" s="331"/>
      <c r="AT26" s="331"/>
      <c r="AU26" s="331"/>
      <c r="AV26" s="568"/>
      <c r="AW26" s="331"/>
      <c r="AX26" s="331"/>
      <c r="AY26" s="331"/>
      <c r="AZ26" s="331"/>
      <c r="BA26" s="331"/>
      <c r="BB26" s="331">
        <f>-AQ26*DD26</f>
        <v>-587.02906200000007</v>
      </c>
      <c r="BC26" s="331">
        <f>-AQ26*DE26</f>
        <v>-35.974898280000005</v>
      </c>
      <c r="BD26" s="331">
        <f>-AQ26*DF26</f>
        <v>-168.06447872400005</v>
      </c>
      <c r="BE26" s="331"/>
      <c r="BF26" s="437"/>
      <c r="BG26"/>
      <c r="BH26" s="341">
        <f>-SUMIF(AC26:AZ26,"&lt;0",AC26:AZ26)</f>
        <v>392.26800000000009</v>
      </c>
      <c r="BI26" s="341">
        <f>$BH26*DP26</f>
        <v>22243.007764800004</v>
      </c>
      <c r="BJ26" s="341">
        <f>$BH26*DL26</f>
        <v>857025.61224552034</v>
      </c>
      <c r="BK26" s="336">
        <f t="shared" si="12"/>
        <v>22.243007764800005</v>
      </c>
      <c r="BL26" s="336">
        <f t="shared" si="13"/>
        <v>0.85702561224552043</v>
      </c>
      <c r="BM26">
        <v>1</v>
      </c>
      <c r="BN26" s="204"/>
      <c r="BO26" s="399"/>
      <c r="BP26" s="399"/>
      <c r="BQ26" s="399"/>
      <c r="BR26" s="304"/>
      <c r="BS26" s="387"/>
      <c r="BT26" s="387"/>
      <c r="BU26" s="387"/>
      <c r="BV26" s="387"/>
      <c r="BW26" s="387"/>
      <c r="BX26" s="387"/>
      <c r="BY26" s="387"/>
      <c r="BZ26" s="387"/>
      <c r="CA26" s="387"/>
      <c r="CB26" s="387"/>
      <c r="CC26" s="387"/>
      <c r="CD26"/>
      <c r="CE26" s="670"/>
      <c r="CF26" s="670">
        <v>3.6285714285714285E-3</v>
      </c>
      <c r="CG26" s="670">
        <v>1.91E-3</v>
      </c>
      <c r="CH26" s="670"/>
      <c r="CI26" s="670"/>
      <c r="CJ26" s="670">
        <f>1.889/(1-DI26)</f>
        <v>1.8970434642885836</v>
      </c>
      <c r="CK26" s="670"/>
      <c r="CL26" s="670"/>
      <c r="CM26" s="670">
        <v>0.47499999999999998</v>
      </c>
      <c r="CN26" s="670"/>
      <c r="CO26" s="670">
        <v>1.6000000000000001E-3</v>
      </c>
      <c r="CP26" s="674">
        <v>2.1000000000000001E-2</v>
      </c>
      <c r="CQ26" s="670"/>
      <c r="CR26" s="670"/>
      <c r="CS26" s="670">
        <v>-1</v>
      </c>
      <c r="CT26" s="670"/>
      <c r="CU26" s="670"/>
      <c r="CV26" s="670"/>
      <c r="CW26" s="670"/>
      <c r="CX26" s="670"/>
      <c r="CY26" s="670"/>
      <c r="CZ26" s="670"/>
      <c r="DA26" s="670"/>
      <c r="DB26" s="670"/>
      <c r="DC26" s="670"/>
      <c r="DD26" s="670">
        <v>-1.4964999999999999</v>
      </c>
      <c r="DE26" s="671">
        <v>-9.171E-2</v>
      </c>
      <c r="DF26" s="671">
        <v>-0.42844300000000002</v>
      </c>
      <c r="DG26" s="670"/>
      <c r="DH26" s="448"/>
      <c r="DI26" s="448">
        <v>4.2399999999999998E-3</v>
      </c>
      <c r="DJ26" s="966"/>
      <c r="DK26" s="500">
        <f>VLOOKUP(C26,'Ecoinvent Processes'!$B$1:$N$28,8,FALSE)*1000</f>
        <v>7174.95</v>
      </c>
      <c r="DL26" s="394" cm="1">
        <f t="array" ref="DL26">_xlfn.IFS(DM26=1,DK26,DM26=2,DJ26,DM26=0,DP26*SUMPRODUCT($DQ$5:$DX$5,DQ26:DX26))</f>
        <v>2184.7961400000004</v>
      </c>
      <c r="DM26">
        <v>0</v>
      </c>
      <c r="DN26" s="291">
        <v>22</v>
      </c>
      <c r="DO26" s="525">
        <f>'FE - ACV Aluminum'!CN33</f>
        <v>0.67400000000000004</v>
      </c>
      <c r="DP26" s="526">
        <f>'FE - ACV Aluminum'!CN59</f>
        <v>56.703600000000002</v>
      </c>
      <c r="DQ26" s="525">
        <v>0</v>
      </c>
      <c r="DR26" s="525">
        <v>0</v>
      </c>
      <c r="DS26" s="525">
        <v>0</v>
      </c>
      <c r="DT26" s="525">
        <v>0</v>
      </c>
      <c r="DU26" s="525">
        <v>0</v>
      </c>
      <c r="DV26" s="525">
        <v>1</v>
      </c>
      <c r="DW26" s="525">
        <v>0</v>
      </c>
      <c r="DX26" s="525">
        <v>0</v>
      </c>
      <c r="DY26"/>
      <c r="DZ26" s="461">
        <v>0.77112999999999998</v>
      </c>
      <c r="EA26" s="446">
        <f>'Electrolysis (Prebaked)'!J55</f>
        <v>56.703599724434397</v>
      </c>
      <c r="EB26" s="447">
        <v>0</v>
      </c>
      <c r="EC26" s="447">
        <v>0</v>
      </c>
      <c r="ED26" s="447">
        <v>0</v>
      </c>
      <c r="EE26" s="447">
        <v>0</v>
      </c>
      <c r="EF26" s="447">
        <v>0</v>
      </c>
      <c r="EG26" s="447">
        <v>1</v>
      </c>
      <c r="EH26" s="447">
        <v>0</v>
      </c>
      <c r="EI26" s="447">
        <v>0</v>
      </c>
      <c r="EK26"/>
      <c r="EL26"/>
      <c r="EM26"/>
      <c r="EN26"/>
      <c r="EO26"/>
      <c r="EP26"/>
      <c r="EQ26"/>
      <c r="ER26"/>
      <c r="ES26"/>
      <c r="ET26"/>
    </row>
    <row r="27" spans="1:163" s="297" customFormat="1" ht="25.05" customHeight="1" thickBot="1">
      <c r="A27" s="297" t="s">
        <v>645</v>
      </c>
      <c r="B27" s="168" t="s">
        <v>508</v>
      </c>
      <c r="C27" s="204" t="s">
        <v>5198</v>
      </c>
      <c r="D27" s="325" t="s">
        <v>1095</v>
      </c>
      <c r="E27" s="427" t="s">
        <v>5315</v>
      </c>
      <c r="F27" s="319" t="s">
        <v>494</v>
      </c>
      <c r="G27" s="497" t="str">
        <f>VLOOKUP(C27,'Ecoinvent Processes'!$B$1:$N$28,1,FALSE)</f>
        <v>Primary Liquid Aluminum (Söderberg)</v>
      </c>
      <c r="H27"/>
      <c r="I27" s="318" t="s">
        <v>478</v>
      </c>
      <c r="J27" s="318" t="s">
        <v>478</v>
      </c>
      <c r="K27" s="353" t="s">
        <v>478</v>
      </c>
      <c r="L27" s="738">
        <f>DO27</f>
        <v>0.32599999999999996</v>
      </c>
      <c r="M27" s="354" t="s">
        <v>478</v>
      </c>
      <c r="N27" s="318" t="s">
        <v>478</v>
      </c>
      <c r="O27" s="318" t="s">
        <v>478</v>
      </c>
      <c r="P27" s="318" t="s">
        <v>478</v>
      </c>
      <c r="Q27" s="318" t="s">
        <v>478</v>
      </c>
      <c r="R27" s="330"/>
      <c r="S27" s="400">
        <f t="shared" si="7"/>
        <v>0.44610664971529879</v>
      </c>
      <c r="T27" s="403"/>
      <c r="U27" s="403"/>
      <c r="V27" s="403"/>
      <c r="W27" s="402"/>
      <c r="X27" s="402"/>
      <c r="Y27" s="402"/>
      <c r="Z27">
        <v>15753.814376711707</v>
      </c>
      <c r="AA27" s="682">
        <f>+BI27-Z27</f>
        <v>-4175.6847015117073</v>
      </c>
      <c r="AB27" s="338">
        <f>S27*(-AQ27/SUM(AR32:AR37))</f>
        <v>0.14543076780718739</v>
      </c>
      <c r="AC27" s="331"/>
      <c r="AD27" s="331">
        <f>-$AQ27*CF27</f>
        <v>0.68845611428571429</v>
      </c>
      <c r="AE27" s="331">
        <f>-$AQ27*CG27</f>
        <v>0.36238811999999998</v>
      </c>
      <c r="AF27" s="331"/>
      <c r="AG27" s="331"/>
      <c r="AH27" s="331">
        <f>-$AQ27*CJ27</f>
        <v>399.38460201250291</v>
      </c>
      <c r="AI27" s="331"/>
      <c r="AJ27" s="331"/>
      <c r="AK27" s="331"/>
      <c r="AL27" s="331">
        <f>-$AQ27*CN27</f>
        <v>97.711979999999997</v>
      </c>
      <c r="AM27" s="331">
        <f>-$AQ27*CO27</f>
        <v>0.30357120000000004</v>
      </c>
      <c r="AN27" s="331">
        <f>-$AQ27*CP27</f>
        <v>3.9274524</v>
      </c>
      <c r="AO27" s="331"/>
      <c r="AP27" s="331"/>
      <c r="AQ27" s="331">
        <f>-SUM($AR$32:$AR$37)*L27</f>
        <v>-189.732</v>
      </c>
      <c r="AR27" s="331"/>
      <c r="AS27" s="331"/>
      <c r="AT27" s="331"/>
      <c r="AU27" s="331"/>
      <c r="AV27" s="331"/>
      <c r="AW27" s="331"/>
      <c r="AX27" s="331"/>
      <c r="AY27" s="331"/>
      <c r="AZ27" s="331"/>
      <c r="BA27" s="331"/>
      <c r="BB27" s="331">
        <f>-AQ27*DD27</f>
        <v>-283.93393800000001</v>
      </c>
      <c r="BC27" s="331">
        <f>-AQ27*DE27</f>
        <v>-17.400321720000001</v>
      </c>
      <c r="BD27" s="331">
        <f>-AQ27*DF27</f>
        <v>-214.96870867679999</v>
      </c>
      <c r="BE27" s="331"/>
      <c r="BF27" s="358"/>
      <c r="BG27"/>
      <c r="BH27" s="341">
        <f>-SUMIF(AC27:AZ27,"&lt;0",AC27:AZ27)</f>
        <v>189.732</v>
      </c>
      <c r="BI27" s="341">
        <f>$BH27*DP27</f>
        <v>11578.1296752</v>
      </c>
      <c r="BJ27" s="341">
        <f>$BH27*DL27</f>
        <v>446106.64971529879</v>
      </c>
      <c r="BK27" s="336">
        <f t="shared" si="12"/>
        <v>11.5781296752</v>
      </c>
      <c r="BL27" s="336">
        <f t="shared" si="13"/>
        <v>0.44610664971529879</v>
      </c>
      <c r="BM27">
        <v>1</v>
      </c>
      <c r="BN27" s="204"/>
      <c r="BO27" s="399"/>
      <c r="BP27" s="399"/>
      <c r="BQ27" s="399"/>
      <c r="BR27" s="304"/>
      <c r="BS27" s="387"/>
      <c r="BT27" s="387"/>
      <c r="BU27" s="387"/>
      <c r="BV27" s="387"/>
      <c r="BW27" s="387"/>
      <c r="BX27" s="387"/>
      <c r="BY27" s="387"/>
      <c r="BZ27" s="387"/>
      <c r="CA27" s="387"/>
      <c r="CB27" s="387"/>
      <c r="CC27" s="387"/>
      <c r="CD27"/>
      <c r="CE27" s="670"/>
      <c r="CF27" s="670">
        <v>3.6285714285714285E-3</v>
      </c>
      <c r="CG27" s="670">
        <v>1.91E-3</v>
      </c>
      <c r="CH27" s="670"/>
      <c r="CI27" s="670"/>
      <c r="CJ27" s="670">
        <f>1.889/(1-DI27)</f>
        <v>2.1049933696609053</v>
      </c>
      <c r="CK27" s="670"/>
      <c r="CL27" s="670"/>
      <c r="CM27" s="670"/>
      <c r="CN27" s="670">
        <v>0.51500000000000001</v>
      </c>
      <c r="CO27" s="670">
        <v>1.6000000000000001E-3</v>
      </c>
      <c r="CP27" s="674">
        <v>2.07E-2</v>
      </c>
      <c r="CQ27" s="670"/>
      <c r="CR27" s="670"/>
      <c r="CS27" s="670">
        <v>-1</v>
      </c>
      <c r="CT27" s="670"/>
      <c r="CU27" s="670"/>
      <c r="CV27" s="670"/>
      <c r="CW27" s="670"/>
      <c r="CX27" s="670"/>
      <c r="CY27" s="670"/>
      <c r="CZ27" s="670"/>
      <c r="DA27" s="670"/>
      <c r="DB27" s="670"/>
      <c r="DC27" s="670"/>
      <c r="DD27" s="670">
        <v>-1.4964999999999999</v>
      </c>
      <c r="DE27" s="671">
        <v>-9.171E-2</v>
      </c>
      <c r="DF27" s="671">
        <v>-1.1330123999999999</v>
      </c>
      <c r="DG27" s="670"/>
      <c r="DH27" s="448"/>
      <c r="DI27" s="448">
        <v>0.10261000000000001</v>
      </c>
      <c r="DJ27" s="966"/>
      <c r="DK27" s="500">
        <f>VLOOKUP(C27,'Ecoinvent Processes'!$B$1:$N$28,8,FALSE)*1000</f>
        <v>31863.34</v>
      </c>
      <c r="DL27" s="394" cm="1">
        <f t="array" ref="DL27">_xlfn.IFS(DM27=1,DK27,DM27=2,DJ27,DM27=0,DP27*SUMPRODUCT($DQ$5:$DX$5,DQ27:DX27))</f>
        <v>2351.2462300260304</v>
      </c>
      <c r="DM27">
        <v>0</v>
      </c>
      <c r="DN27" s="291">
        <v>23</v>
      </c>
      <c r="DO27" s="525">
        <f>1-DO26</f>
        <v>0.32599999999999996</v>
      </c>
      <c r="DP27" s="526">
        <f>'FE - ACV Aluminum'!CN60</f>
        <v>61.023600000000002</v>
      </c>
      <c r="DQ27" s="525">
        <v>0</v>
      </c>
      <c r="DR27" s="525">
        <v>0</v>
      </c>
      <c r="DS27" s="525">
        <v>0</v>
      </c>
      <c r="DT27" s="525">
        <v>0</v>
      </c>
      <c r="DU27" s="525">
        <v>0</v>
      </c>
      <c r="DV27" s="525">
        <v>1</v>
      </c>
      <c r="DW27" s="525">
        <v>0</v>
      </c>
      <c r="DX27" s="525">
        <v>0</v>
      </c>
      <c r="DY27"/>
      <c r="DZ27" s="435">
        <f>1-DZ26</f>
        <v>0.22887000000000002</v>
      </c>
      <c r="EA27" s="446">
        <f>'Electrolysis (Söderberg)'!J55</f>
        <v>61.023599169535075</v>
      </c>
      <c r="EB27" s="447">
        <v>0</v>
      </c>
      <c r="EC27" s="447">
        <v>0</v>
      </c>
      <c r="ED27" s="447">
        <v>0</v>
      </c>
      <c r="EE27" s="447">
        <v>0</v>
      </c>
      <c r="EF27" s="447">
        <v>0</v>
      </c>
      <c r="EG27" s="447">
        <v>1</v>
      </c>
      <c r="EH27" s="447">
        <v>0</v>
      </c>
      <c r="EI27" s="447">
        <v>0</v>
      </c>
      <c r="EK27"/>
      <c r="EL27"/>
      <c r="EM27"/>
      <c r="EN27"/>
      <c r="EO27"/>
      <c r="EP27"/>
      <c r="EQ27"/>
      <c r="ER27"/>
      <c r="ES27"/>
      <c r="ET27"/>
    </row>
    <row r="28" spans="1:163" s="297" customFormat="1" ht="25.05" customHeight="1" thickBot="1">
      <c r="B28" s="168"/>
      <c r="C28" s="204"/>
      <c r="D28" s="325"/>
      <c r="E28" s="752" t="s">
        <v>32</v>
      </c>
      <c r="F28" s="319"/>
      <c r="G28" s="497"/>
      <c r="H28"/>
      <c r="I28" s="318" t="s">
        <v>478</v>
      </c>
      <c r="J28" s="318" t="s">
        <v>478</v>
      </c>
      <c r="K28" s="318" t="s">
        <v>478</v>
      </c>
      <c r="L28" s="318" t="s">
        <v>478</v>
      </c>
      <c r="M28" s="318" t="s">
        <v>478</v>
      </c>
      <c r="N28" s="318" t="s">
        <v>478</v>
      </c>
      <c r="O28" s="318" t="s">
        <v>478</v>
      </c>
      <c r="P28" s="318" t="s">
        <v>478</v>
      </c>
      <c r="Q28" s="318" t="s">
        <v>478</v>
      </c>
      <c r="R28" s="330"/>
      <c r="S28" s="400"/>
      <c r="T28" s="403"/>
      <c r="U28" s="403"/>
      <c r="V28" s="403"/>
      <c r="W28" s="402"/>
      <c r="X28" s="402"/>
      <c r="Y28" s="402"/>
      <c r="Z28"/>
      <c r="AA28" s="682"/>
      <c r="AB28" s="338"/>
      <c r="AC28" s="331"/>
      <c r="AD28" s="331"/>
      <c r="AE28" s="331"/>
      <c r="AF28" s="331"/>
      <c r="AG28" s="331"/>
      <c r="AH28" s="331"/>
      <c r="AI28" s="331"/>
      <c r="AJ28" s="331"/>
      <c r="AK28" s="331"/>
      <c r="AL28" s="331"/>
      <c r="AM28" s="331"/>
      <c r="AN28" s="331"/>
      <c r="AO28" s="331"/>
      <c r="AP28" s="331"/>
      <c r="AQ28" s="331"/>
      <c r="AR28" s="331"/>
      <c r="AS28" s="331"/>
      <c r="AT28" s="331"/>
      <c r="AU28" s="331"/>
      <c r="AV28" s="331"/>
      <c r="AW28" s="331"/>
      <c r="AX28" s="331"/>
      <c r="AY28" s="331"/>
      <c r="AZ28" s="331"/>
      <c r="BA28" s="331"/>
      <c r="BB28" s="331"/>
      <c r="BC28" s="331"/>
      <c r="BD28" s="331"/>
      <c r="BE28" s="331"/>
      <c r="BF28" s="358"/>
      <c r="BG28"/>
      <c r="BH28" s="748">
        <f>SUM(BH26:BH27)</f>
        <v>582.00000000000011</v>
      </c>
      <c r="BI28" s="748">
        <f>SUM(BI11:BI27)-BI25</f>
        <v>47688.015453732311</v>
      </c>
      <c r="BJ28" s="748">
        <f>SUM(BJ11:BJ27)-BJ25</f>
        <v>3496209.3411811721</v>
      </c>
      <c r="BK28" s="749">
        <f>IFERROR(+BI28/$BH$28,0)</f>
        <v>81.938170882701542</v>
      </c>
      <c r="BL28" s="749">
        <f>IFERROR(+BJ28/$BH$28,0)</f>
        <v>6007.2325449848304</v>
      </c>
      <c r="BM28">
        <v>0</v>
      </c>
      <c r="BN28" s="204"/>
      <c r="BO28" s="399"/>
      <c r="BP28" s="399"/>
      <c r="BQ28" s="399"/>
      <c r="BR28" s="304"/>
      <c r="BS28" s="387"/>
      <c r="BT28" s="387"/>
      <c r="BU28" s="387"/>
      <c r="BV28" s="387"/>
      <c r="BW28" s="387"/>
      <c r="BX28" s="387"/>
      <c r="BY28" s="387"/>
      <c r="BZ28" s="387"/>
      <c r="CA28" s="387"/>
      <c r="CB28" s="387"/>
      <c r="CC28" s="387"/>
      <c r="CD28"/>
      <c r="CE28" s="670"/>
      <c r="CF28" s="670"/>
      <c r="CG28" s="670"/>
      <c r="CH28" s="670"/>
      <c r="CI28" s="670"/>
      <c r="CJ28" s="670"/>
      <c r="CK28" s="670"/>
      <c r="CL28" s="670"/>
      <c r="CM28" s="670"/>
      <c r="CN28" s="670"/>
      <c r="CO28" s="670"/>
      <c r="CP28" s="674"/>
      <c r="CQ28" s="670"/>
      <c r="CR28" s="670"/>
      <c r="CS28" s="670"/>
      <c r="CT28" s="670"/>
      <c r="CU28" s="670"/>
      <c r="CV28" s="670"/>
      <c r="CW28" s="670"/>
      <c r="CX28" s="670"/>
      <c r="CY28" s="670"/>
      <c r="CZ28" s="670"/>
      <c r="DA28" s="670"/>
      <c r="DB28" s="670"/>
      <c r="DC28" s="670"/>
      <c r="DD28" s="670"/>
      <c r="DE28" s="671"/>
      <c r="DF28" s="671"/>
      <c r="DG28" s="670"/>
      <c r="DI28" s="448"/>
      <c r="DJ28" s="966"/>
      <c r="DK28" s="500"/>
      <c r="DL28" s="394" cm="1">
        <f t="array" ref="DL28">_xlfn.IFS(DM28=1,DK28,DM28=2,DJ28,DM28=0,DP28*SUMPRODUCT($DQ$5:$DX$5,DQ28:DX28))</f>
        <v>0</v>
      </c>
      <c r="DM28">
        <v>0</v>
      </c>
      <c r="DN28" s="291">
        <v>24</v>
      </c>
      <c r="DO28" s="525"/>
      <c r="DP28" s="526"/>
      <c r="DQ28" s="525"/>
      <c r="DR28" s="525"/>
      <c r="DS28" s="525"/>
      <c r="DT28" s="525"/>
      <c r="DU28" s="525"/>
      <c r="DV28" s="525"/>
      <c r="DW28" s="525"/>
      <c r="DX28" s="525"/>
      <c r="DY28"/>
      <c r="DZ28" s="435"/>
      <c r="EA28" s="446"/>
      <c r="EB28" s="447"/>
      <c r="EC28" s="447"/>
      <c r="ED28" s="447"/>
      <c r="EE28" s="447"/>
      <c r="EF28" s="447"/>
      <c r="EG28" s="447"/>
      <c r="EH28" s="447"/>
      <c r="EI28" s="447"/>
      <c r="EK28"/>
      <c r="EL28"/>
      <c r="EM28"/>
      <c r="EN28"/>
      <c r="EO28"/>
      <c r="EP28"/>
      <c r="EQ28"/>
      <c r="ER28"/>
      <c r="ES28"/>
      <c r="ET28"/>
    </row>
    <row r="29" spans="1:163" s="297" customFormat="1" ht="25.05" customHeight="1">
      <c r="B29" s="168" t="s">
        <v>203</v>
      </c>
      <c r="C29" s="204" t="s">
        <v>521</v>
      </c>
      <c r="D29" s="325"/>
      <c r="E29" s="323" t="s">
        <v>524</v>
      </c>
      <c r="F29" s="319"/>
      <c r="G29" s="497" t="e">
        <f>VLOOKUP(C29,'Ecoinvent Processes'!$B$1:$N$28,1,FALSE)</f>
        <v>#N/A</v>
      </c>
      <c r="H29"/>
      <c r="I29" s="318" t="s">
        <v>478</v>
      </c>
      <c r="J29" s="318" t="s">
        <v>478</v>
      </c>
      <c r="K29" s="318" t="s">
        <v>478</v>
      </c>
      <c r="L29" s="318" t="s">
        <v>478</v>
      </c>
      <c r="M29" s="318" t="s">
        <v>478</v>
      </c>
      <c r="N29" s="318" t="s">
        <v>478</v>
      </c>
      <c r="O29" s="318" t="s">
        <v>478</v>
      </c>
      <c r="P29" s="318" t="s">
        <v>478</v>
      </c>
      <c r="Q29" s="318" t="s">
        <v>478</v>
      </c>
      <c r="R29" s="330"/>
      <c r="S29" s="400">
        <f t="shared" si="7"/>
        <v>0.34308598331920004</v>
      </c>
      <c r="T29" s="403"/>
      <c r="U29" s="403"/>
      <c r="V29" s="403"/>
      <c r="W29" s="402"/>
      <c r="X29" s="402"/>
      <c r="Y29" s="402"/>
      <c r="Z29">
        <v>529.32908943699988</v>
      </c>
      <c r="AA29" s="682">
        <f>+BI29-Z29</f>
        <v>1895.2381105630002</v>
      </c>
      <c r="AB29" s="338">
        <f>S29*I12</f>
        <v>0.1434099410274256</v>
      </c>
      <c r="AC29" s="331"/>
      <c r="AD29" s="331"/>
      <c r="AE29" s="331"/>
      <c r="AF29" s="331"/>
      <c r="AG29" s="331"/>
      <c r="AH29" s="331"/>
      <c r="AI29" s="331"/>
      <c r="AJ29" s="331"/>
      <c r="AK29" s="331"/>
      <c r="AL29" s="331"/>
      <c r="AM29" s="331"/>
      <c r="AN29" s="331"/>
      <c r="AO29" s="331"/>
      <c r="AP29" s="331"/>
      <c r="AQ29" s="331"/>
      <c r="AR29" s="331"/>
      <c r="AS29" s="331"/>
      <c r="AT29" s="331">
        <f>-AU29/(1-BF29)</f>
        <v>772.64325323475055</v>
      </c>
      <c r="AU29" s="331">
        <f>-SUM(AU32:AU37)</f>
        <v>-418</v>
      </c>
      <c r="AV29" s="331"/>
      <c r="AW29" s="331"/>
      <c r="AX29" s="331"/>
      <c r="AY29" s="331"/>
      <c r="AZ29" s="331"/>
      <c r="BA29" s="331"/>
      <c r="BB29" s="331"/>
      <c r="BC29" s="331"/>
      <c r="BD29" s="331"/>
      <c r="BE29" s="331"/>
      <c r="BF29" s="358">
        <v>0.45900000000000002</v>
      </c>
      <c r="BG29"/>
      <c r="BH29" s="341">
        <f>-SUMIF(AC29:AZ29,"&lt;0",AC29:AZ29)</f>
        <v>418</v>
      </c>
      <c r="BI29" s="341">
        <f>$BH29*DP29</f>
        <v>2424.5672</v>
      </c>
      <c r="BJ29" s="341">
        <f>$BH29*DL29</f>
        <v>343085.98331919999</v>
      </c>
      <c r="BK29" s="336">
        <f t="shared" si="12"/>
        <v>2.4245671999999998</v>
      </c>
      <c r="BL29" s="336">
        <f t="shared" si="13"/>
        <v>0.34308598331920004</v>
      </c>
      <c r="BM29">
        <v>1</v>
      </c>
      <c r="BN29" s="204"/>
      <c r="BO29" s="399"/>
      <c r="BP29" s="399"/>
      <c r="BQ29" s="399"/>
      <c r="BR29" s="304"/>
      <c r="BS29" s="387"/>
      <c r="BT29" s="387"/>
      <c r="BU29" s="387"/>
      <c r="BV29" s="387"/>
      <c r="BW29" s="387"/>
      <c r="BX29" s="387"/>
      <c r="BY29" s="387"/>
      <c r="BZ29" s="387"/>
      <c r="CA29" s="387"/>
      <c r="CB29" s="387"/>
      <c r="CC29" s="387"/>
      <c r="CD29"/>
      <c r="CE29" s="670"/>
      <c r="CF29" s="670"/>
      <c r="CG29" s="670"/>
      <c r="CH29" s="670"/>
      <c r="CI29" s="670"/>
      <c r="CJ29" s="670"/>
      <c r="CK29" s="670"/>
      <c r="CL29" s="670"/>
      <c r="CM29" s="670"/>
      <c r="CN29" s="670"/>
      <c r="CO29" s="670"/>
      <c r="CP29" s="674"/>
      <c r="CQ29" s="670"/>
      <c r="CR29" s="670"/>
      <c r="CS29" s="670"/>
      <c r="CT29" s="670">
        <v>1</v>
      </c>
      <c r="CU29" s="670">
        <v>-1</v>
      </c>
      <c r="CV29" s="670"/>
      <c r="CW29" s="670"/>
      <c r="CX29" s="670"/>
      <c r="CY29" s="670"/>
      <c r="CZ29" s="670"/>
      <c r="DA29" s="670"/>
      <c r="DB29" s="670"/>
      <c r="DC29" s="670"/>
      <c r="DD29" s="670"/>
      <c r="DE29" s="671"/>
      <c r="DF29" s="671"/>
      <c r="DG29" s="670"/>
      <c r="DI29" s="571">
        <v>0.45900000000000002</v>
      </c>
      <c r="DJ29" s="973">
        <f>'Emissão - Simapro'!F365*1000</f>
        <v>820.77986439999995</v>
      </c>
      <c r="DK29" s="500">
        <v>0</v>
      </c>
      <c r="DL29" s="394" cm="1">
        <f t="array" ref="DL29">_xlfn.IFS(DM29=1,DK29,DM29=2,DJ29,DM29=0,DP29*SUMPRODUCT($DQ$5:$DX$5,DQ29:DX29))</f>
        <v>820.77986439999995</v>
      </c>
      <c r="DM29">
        <v>2</v>
      </c>
      <c r="DN29" s="291">
        <v>25</v>
      </c>
      <c r="DO29" s="525">
        <v>0</v>
      </c>
      <c r="DP29" s="526">
        <f>5.8004</f>
        <v>5.8003999999999998</v>
      </c>
      <c r="DQ29" s="525">
        <f>'FE - ACV Aluminum'!$CN$112</f>
        <v>0</v>
      </c>
      <c r="DR29" s="525">
        <f>'FE - ACV Aluminum'!$CN$113</f>
        <v>0</v>
      </c>
      <c r="DS29" s="525">
        <f>'FE - ACV Aluminum'!$CN$114</f>
        <v>4.0000000000000001E-3</v>
      </c>
      <c r="DT29" s="525">
        <f>'FE - ACV Aluminum'!$CN$115</f>
        <v>0</v>
      </c>
      <c r="DU29" s="525">
        <f>'FE - ACV Aluminum'!$CN$116</f>
        <v>0</v>
      </c>
      <c r="DV29" s="525">
        <f>'FE - ACV Aluminum'!$CN$117</f>
        <v>0.56000000000000005</v>
      </c>
      <c r="DW29" s="525">
        <f>'FE - ACV Aluminum'!$CN$118</f>
        <v>0.436</v>
      </c>
      <c r="DX29" s="525">
        <f>'FE - ACV Aluminum'!$CN$119</f>
        <v>0</v>
      </c>
      <c r="DY29"/>
      <c r="DZ29" s="435">
        <v>0</v>
      </c>
      <c r="EA29" s="446">
        <v>5.8003999999999998</v>
      </c>
      <c r="EB29" s="447">
        <v>0</v>
      </c>
      <c r="EC29" s="447">
        <v>0</v>
      </c>
      <c r="ED29" s="447">
        <v>0</v>
      </c>
      <c r="EE29" s="447">
        <v>3.7999999999999999E-2</v>
      </c>
      <c r="EF29" s="447">
        <v>0</v>
      </c>
      <c r="EG29" s="447">
        <v>0.96200262050893048</v>
      </c>
      <c r="EH29" s="447">
        <v>0</v>
      </c>
      <c r="EI29" s="447">
        <v>0</v>
      </c>
      <c r="EK29"/>
      <c r="EL29"/>
      <c r="EM29"/>
      <c r="EN29"/>
      <c r="EO29"/>
      <c r="EP29"/>
      <c r="EQ29"/>
      <c r="ER29"/>
      <c r="ES29"/>
      <c r="ET29"/>
    </row>
    <row r="30" spans="1:163" s="297" customFormat="1" ht="25.05" customHeight="1" thickBot="1">
      <c r="B30" s="168"/>
      <c r="C30" s="204"/>
      <c r="D30" s="325"/>
      <c r="E30" s="324" t="s">
        <v>5547</v>
      </c>
      <c r="F30" s="319"/>
      <c r="G30" s="497"/>
      <c r="H30"/>
      <c r="I30" s="318" t="s">
        <v>478</v>
      </c>
      <c r="J30" s="318" t="s">
        <v>478</v>
      </c>
      <c r="K30" s="318" t="s">
        <v>478</v>
      </c>
      <c r="L30" s="318" t="s">
        <v>478</v>
      </c>
      <c r="M30" s="318" t="s">
        <v>478</v>
      </c>
      <c r="N30" s="318" t="s">
        <v>478</v>
      </c>
      <c r="O30" s="318" t="s">
        <v>478</v>
      </c>
      <c r="P30" s="318" t="s">
        <v>478</v>
      </c>
      <c r="Q30" s="318" t="s">
        <v>478</v>
      </c>
      <c r="R30" s="330"/>
      <c r="S30" s="400">
        <f t="shared" si="7"/>
        <v>2.7271953914508516E-2</v>
      </c>
      <c r="T30" s="403"/>
      <c r="U30" s="403"/>
      <c r="V30" s="403"/>
      <c r="W30" s="402"/>
      <c r="X30" s="402"/>
      <c r="Y30" s="402"/>
      <c r="Z30"/>
      <c r="AA30" s="682"/>
      <c r="AB30" s="338"/>
      <c r="AC30" s="331"/>
      <c r="AD30" s="331"/>
      <c r="AE30" s="331"/>
      <c r="AF30" s="331"/>
      <c r="AG30" s="331"/>
      <c r="AH30" s="331"/>
      <c r="AI30" s="331"/>
      <c r="AJ30" s="331"/>
      <c r="AK30" s="331"/>
      <c r="AL30" s="331"/>
      <c r="AM30" s="331"/>
      <c r="AN30" s="331"/>
      <c r="AO30" s="331"/>
      <c r="AP30" s="331"/>
      <c r="AQ30" s="331">
        <f>-SUM(AQ26:AQ27)</f>
        <v>582.00000000000011</v>
      </c>
      <c r="AR30" s="331">
        <f>-AQ30</f>
        <v>-582.00000000000011</v>
      </c>
      <c r="AS30" s="331"/>
      <c r="AT30" s="331"/>
      <c r="AU30" s="331"/>
      <c r="AV30" s="331"/>
      <c r="AW30" s="331"/>
      <c r="AX30" s="331"/>
      <c r="AY30" s="331"/>
      <c r="AZ30" s="331"/>
      <c r="BA30" s="331"/>
      <c r="BB30" s="331"/>
      <c r="BC30" s="331"/>
      <c r="BD30" s="331"/>
      <c r="BE30" s="331"/>
      <c r="BF30" s="358"/>
      <c r="BG30" s="970"/>
      <c r="BH30" s="341">
        <f>-SUMIF(AC30:AZ30,"&lt;0",AC30:AZ30)</f>
        <v>582.00000000000011</v>
      </c>
      <c r="BI30" s="341">
        <f>$BH30*DP30</f>
        <v>462.84376296296301</v>
      </c>
      <c r="BJ30" s="341">
        <f>$BH30*DL30</f>
        <v>27271.953914508515</v>
      </c>
      <c r="BK30" s="336">
        <f t="shared" ref="BK30" si="16">IFERROR(+BI30/$AV$10,0)</f>
        <v>0.46284376296296303</v>
      </c>
      <c r="BL30" s="336">
        <f t="shared" ref="BL30" si="17">IFERROR((+BJ30/$AV$10)/1000,0)</f>
        <v>2.7271953914508516E-2</v>
      </c>
      <c r="BM30">
        <v>1</v>
      </c>
      <c r="BN30" s="204"/>
      <c r="BO30" s="541"/>
      <c r="BP30" s="399"/>
      <c r="BQ30" s="399"/>
      <c r="BR30" s="304"/>
      <c r="BS30" s="387"/>
      <c r="BT30" s="387"/>
      <c r="BU30" s="387"/>
      <c r="BV30" s="387"/>
      <c r="BW30" s="387"/>
      <c r="BX30" s="387"/>
      <c r="BY30" s="387"/>
      <c r="BZ30" s="387"/>
      <c r="CA30" s="387"/>
      <c r="CB30" s="387"/>
      <c r="CC30" s="387"/>
      <c r="CD30"/>
      <c r="CE30" s="670"/>
      <c r="CF30" s="670"/>
      <c r="CG30" s="670"/>
      <c r="CH30" s="670"/>
      <c r="CI30" s="670"/>
      <c r="CJ30" s="670"/>
      <c r="CK30" s="670"/>
      <c r="CL30" s="670"/>
      <c r="CM30" s="670"/>
      <c r="CN30" s="670"/>
      <c r="CO30" s="670"/>
      <c r="CP30" s="674"/>
      <c r="CQ30" s="670"/>
      <c r="CR30" s="670"/>
      <c r="CS30" s="670"/>
      <c r="CT30" s="670"/>
      <c r="CU30" s="670"/>
      <c r="CV30" s="670"/>
      <c r="CW30" s="670"/>
      <c r="CX30" s="670"/>
      <c r="CY30" s="670"/>
      <c r="CZ30" s="670"/>
      <c r="DA30" s="670"/>
      <c r="DB30" s="670"/>
      <c r="DC30" s="670"/>
      <c r="DD30" s="670"/>
      <c r="DE30" s="671"/>
      <c r="DF30" s="671"/>
      <c r="DG30" s="670"/>
      <c r="DI30" s="571"/>
      <c r="DJ30" s="965"/>
      <c r="DK30" s="500">
        <v>0</v>
      </c>
      <c r="DL30" s="394" cm="1">
        <f t="array" ref="DL30">_xlfn.IFS(DM30=1,DK30,DM30=2,DJ30,DM30=0,DP30*SUMPRODUCT($DQ$5:$DX$5,DQ30:DX30))</f>
        <v>46.859027344516342</v>
      </c>
      <c r="DM30">
        <v>0</v>
      </c>
      <c r="DN30" s="291">
        <v>26</v>
      </c>
      <c r="DO30" s="525">
        <v>0</v>
      </c>
      <c r="DP30" s="526">
        <v>0.79526419753086408</v>
      </c>
      <c r="DQ30" s="525">
        <f>'FE - ACV Aluminum'!$CN$112</f>
        <v>0</v>
      </c>
      <c r="DR30" s="525">
        <f>'FE - ACV Aluminum'!$CN$113</f>
        <v>0</v>
      </c>
      <c r="DS30" s="525">
        <f>'FE - ACV Aluminum'!$CN$114</f>
        <v>4.0000000000000001E-3</v>
      </c>
      <c r="DT30" s="525">
        <f>'FE - ACV Aluminum'!$CN$115</f>
        <v>0</v>
      </c>
      <c r="DU30" s="525">
        <f>'FE - ACV Aluminum'!$CN$116</f>
        <v>0</v>
      </c>
      <c r="DV30" s="525">
        <f>'FE - ACV Aluminum'!$CN$117</f>
        <v>0.56000000000000005</v>
      </c>
      <c r="DW30" s="525">
        <f>'FE - ACV Aluminum'!$CN$118</f>
        <v>0.436</v>
      </c>
      <c r="DX30" s="525">
        <f>'FE - ACV Aluminum'!$CN$119</f>
        <v>0</v>
      </c>
      <c r="DY30"/>
      <c r="DZ30" s="435">
        <v>0</v>
      </c>
      <c r="EA30" s="395">
        <v>2.620898774165866</v>
      </c>
      <c r="EB30" s="396">
        <v>0</v>
      </c>
      <c r="EC30" s="396">
        <v>0</v>
      </c>
      <c r="ED30" s="396">
        <v>4.0000000000000001E-3</v>
      </c>
      <c r="EE30" s="396">
        <v>0</v>
      </c>
      <c r="EF30" s="396">
        <v>0</v>
      </c>
      <c r="EG30" s="396">
        <v>0.56000000000000005</v>
      </c>
      <c r="EH30" s="396">
        <v>0.436</v>
      </c>
      <c r="EI30" s="669">
        <v>0</v>
      </c>
      <c r="EK30"/>
      <c r="EL30"/>
      <c r="EM30"/>
      <c r="EN30"/>
      <c r="EO30"/>
      <c r="EP30"/>
      <c r="EQ30"/>
      <c r="ER30"/>
      <c r="ES30"/>
      <c r="ET30"/>
    </row>
    <row r="31" spans="1:163" s="297" customFormat="1" ht="25.05" customHeight="1" thickBot="1">
      <c r="B31" s="168"/>
      <c r="C31" s="204"/>
      <c r="D31" s="325"/>
      <c r="E31" s="751" t="s">
        <v>5548</v>
      </c>
      <c r="F31" s="319"/>
      <c r="G31" s="497"/>
      <c r="H31"/>
      <c r="I31" s="318" t="s">
        <v>478</v>
      </c>
      <c r="J31" s="318" t="s">
        <v>478</v>
      </c>
      <c r="K31" s="318" t="s">
        <v>478</v>
      </c>
      <c r="L31" s="318" t="s">
        <v>478</v>
      </c>
      <c r="M31" s="318" t="s">
        <v>478</v>
      </c>
      <c r="N31" s="318" t="s">
        <v>478</v>
      </c>
      <c r="O31" s="318" t="s">
        <v>478</v>
      </c>
      <c r="P31" s="318" t="s">
        <v>478</v>
      </c>
      <c r="Q31" s="318" t="s">
        <v>478</v>
      </c>
      <c r="R31" s="330"/>
      <c r="S31" s="400"/>
      <c r="T31" s="403"/>
      <c r="U31" s="403"/>
      <c r="V31" s="403"/>
      <c r="W31" s="402"/>
      <c r="X31" s="402"/>
      <c r="Y31" s="402"/>
      <c r="Z31"/>
      <c r="AA31" s="682"/>
      <c r="AB31" s="338"/>
      <c r="AC31" s="331"/>
      <c r="AD31" s="331"/>
      <c r="AE31" s="331"/>
      <c r="AF31" s="331"/>
      <c r="AG31" s="331"/>
      <c r="AH31" s="331"/>
      <c r="AI31" s="331"/>
      <c r="AJ31" s="331"/>
      <c r="AK31" s="331"/>
      <c r="AL31" s="331"/>
      <c r="AM31" s="331"/>
      <c r="AN31" s="331"/>
      <c r="AO31" s="331"/>
      <c r="AP31" s="331"/>
      <c r="AQ31" s="331"/>
      <c r="AR31" s="331"/>
      <c r="AS31" s="331"/>
      <c r="AT31" s="331"/>
      <c r="AU31" s="331"/>
      <c r="AV31" s="331"/>
      <c r="AW31" s="331"/>
      <c r="AX31" s="331"/>
      <c r="AY31" s="331"/>
      <c r="AZ31" s="331"/>
      <c r="BA31" s="331"/>
      <c r="BB31" s="331"/>
      <c r="BC31" s="331"/>
      <c r="BD31" s="331"/>
      <c r="BE31" s="331"/>
      <c r="BF31" s="358"/>
      <c r="BG31" s="969"/>
      <c r="BH31" s="748">
        <f>SUM(BH29:BH30)</f>
        <v>1000.0000000000001</v>
      </c>
      <c r="BI31" s="748">
        <f>BI28+SUM(BI29:BI30)</f>
        <v>50575.426416695271</v>
      </c>
      <c r="BJ31" s="748">
        <f>BJ28+SUM(BJ29:BJ30)</f>
        <v>3866567.2784148804</v>
      </c>
      <c r="BK31" s="749">
        <f>IFERROR(+BI31/$BH$31,0)</f>
        <v>50.575426416695265</v>
      </c>
      <c r="BL31" s="749">
        <f>IFERROR(+BJ31/$BH$31,0)</f>
        <v>3866.5672784148801</v>
      </c>
      <c r="BM31">
        <v>0</v>
      </c>
      <c r="BN31" s="204"/>
      <c r="BO31" s="399"/>
      <c r="BP31" s="399"/>
      <c r="BQ31" s="399"/>
      <c r="BR31" s="304"/>
      <c r="BS31" s="387"/>
      <c r="BT31" s="387"/>
      <c r="BU31" s="387"/>
      <c r="BV31" s="387"/>
      <c r="BW31" s="387"/>
      <c r="BX31" s="387"/>
      <c r="BY31" s="387"/>
      <c r="BZ31" s="387"/>
      <c r="CA31" s="387"/>
      <c r="CB31" s="387"/>
      <c r="CC31" s="387"/>
      <c r="CD31"/>
      <c r="CE31" s="670"/>
      <c r="CF31" s="670"/>
      <c r="CG31" s="670"/>
      <c r="CH31" s="670"/>
      <c r="CI31" s="670"/>
      <c r="CJ31" s="670"/>
      <c r="CK31" s="670"/>
      <c r="CL31" s="670"/>
      <c r="CM31" s="670"/>
      <c r="CN31" s="670"/>
      <c r="CO31" s="670"/>
      <c r="CP31" s="674"/>
      <c r="CQ31" s="670"/>
      <c r="CR31" s="670"/>
      <c r="CS31" s="670"/>
      <c r="CT31" s="670"/>
      <c r="CU31" s="670"/>
      <c r="CV31" s="670"/>
      <c r="CW31" s="670"/>
      <c r="CX31" s="670"/>
      <c r="CY31" s="670"/>
      <c r="CZ31" s="670"/>
      <c r="DA31" s="670"/>
      <c r="DB31" s="670"/>
      <c r="DC31" s="670"/>
      <c r="DD31" s="670"/>
      <c r="DE31" s="671"/>
      <c r="DF31" s="671"/>
      <c r="DG31" s="670"/>
      <c r="DI31" s="571"/>
      <c r="DJ31" s="965"/>
      <c r="DK31" s="500"/>
      <c r="DL31" s="394" cm="1">
        <f t="array" ref="DL31">_xlfn.IFS(DM31=1,DK31,DM31=2,DJ31,DM31=0,DP31*SUMPRODUCT($DQ$5:$DX$5,DQ31:DX31))</f>
        <v>0</v>
      </c>
      <c r="DM31">
        <v>0</v>
      </c>
      <c r="DN31" s="291">
        <v>27</v>
      </c>
      <c r="DO31" s="525"/>
      <c r="DP31" s="526"/>
      <c r="DQ31" s="525"/>
      <c r="DR31" s="525"/>
      <c r="DS31" s="525"/>
      <c r="DT31" s="525"/>
      <c r="DU31" s="525"/>
      <c r="DV31" s="525"/>
      <c r="DW31" s="525"/>
      <c r="DX31" s="525"/>
      <c r="DY31"/>
      <c r="DZ31" s="435"/>
      <c r="EA31" s="395"/>
      <c r="EB31" s="396"/>
      <c r="EC31" s="396"/>
      <c r="ED31" s="396"/>
      <c r="EE31" s="396"/>
      <c r="EF31" s="396"/>
      <c r="EG31" s="396"/>
      <c r="EH31" s="396"/>
      <c r="EI31" s="669"/>
      <c r="EK31"/>
      <c r="EL31"/>
      <c r="EM31"/>
      <c r="EN31"/>
      <c r="EO31"/>
      <c r="EP31"/>
      <c r="EQ31"/>
      <c r="ER31"/>
      <c r="ES31"/>
      <c r="ET31"/>
    </row>
    <row r="32" spans="1:163" s="297" customFormat="1" ht="25.05" customHeight="1">
      <c r="B32" s="204"/>
      <c r="C32" s="204" t="s">
        <v>5559</v>
      </c>
      <c r="D32" s="325"/>
      <c r="E32" s="753" t="s">
        <v>5359</v>
      </c>
      <c r="F32" s="319" t="s">
        <v>5365</v>
      </c>
      <c r="G32" s="497" t="s">
        <v>5363</v>
      </c>
      <c r="H32"/>
      <c r="I32" s="318" t="s">
        <v>478</v>
      </c>
      <c r="J32" s="318" t="s">
        <v>478</v>
      </c>
      <c r="K32" s="318" t="s">
        <v>478</v>
      </c>
      <c r="L32" s="353" t="s">
        <v>478</v>
      </c>
      <c r="M32" s="732">
        <f>DO32</f>
        <v>1</v>
      </c>
      <c r="N32" s="354" t="s">
        <v>478</v>
      </c>
      <c r="O32" s="318" t="s">
        <v>478</v>
      </c>
      <c r="P32" s="318" t="s">
        <v>478</v>
      </c>
      <c r="Q32" s="318" t="s">
        <v>478</v>
      </c>
      <c r="R32" s="330"/>
      <c r="S32" s="400">
        <f t="shared" si="7"/>
        <v>0</v>
      </c>
      <c r="T32" s="403"/>
      <c r="U32" s="403"/>
      <c r="V32" s="403"/>
      <c r="W32" s="402"/>
      <c r="X32" s="402"/>
      <c r="Y32" s="402"/>
      <c r="Z32">
        <v>0</v>
      </c>
      <c r="AA32" s="682">
        <f t="shared" ref="AA32:AA37" si="18">+BI32-Z32</f>
        <v>0</v>
      </c>
      <c r="AB32" s="338">
        <f t="shared" ref="AB32:AB37" si="19">S32*M32</f>
        <v>0</v>
      </c>
      <c r="AC32" s="331"/>
      <c r="AD32" s="331"/>
      <c r="AE32" s="331"/>
      <c r="AF32" s="331"/>
      <c r="AG32" s="331"/>
      <c r="AH32" s="331"/>
      <c r="AI32" s="331"/>
      <c r="AJ32" s="331"/>
      <c r="AK32" s="331"/>
      <c r="AL32" s="331"/>
      <c r="AM32" s="331"/>
      <c r="AN32" s="331"/>
      <c r="AO32" s="331"/>
      <c r="AP32" s="331"/>
      <c r="AQ32" s="331"/>
      <c r="AR32" s="331">
        <f t="shared" ref="AR32:AR37" si="20">AV32*(CS32/CW32)</f>
        <v>582.00000000000011</v>
      </c>
      <c r="AS32" s="331">
        <f t="shared" ref="AS32:AS37" si="21">AV32*(CV32/CW32)</f>
        <v>0</v>
      </c>
      <c r="AT32" s="331"/>
      <c r="AU32" s="331">
        <f t="shared" ref="AU32:AU37" si="22">AV32*(CU32/CW32)</f>
        <v>418</v>
      </c>
      <c r="AV32" s="331">
        <f t="shared" ref="AV32:AV37" si="23">-$AV$10*M32</f>
        <v>-1000</v>
      </c>
      <c r="AW32" s="331"/>
      <c r="AX32" s="331"/>
      <c r="AY32" s="331"/>
      <c r="AZ32" s="331"/>
      <c r="BA32" s="331"/>
      <c r="BB32" s="331"/>
      <c r="BC32" s="331"/>
      <c r="BD32" s="331"/>
      <c r="BE32" s="331"/>
      <c r="BF32" s="331"/>
      <c r="BG32"/>
      <c r="BH32" s="341">
        <f t="shared" ref="BH32:BH37" si="24">-SUMIF(AC32:AZ32,"&lt;0",AC32:AZ32)</f>
        <v>1000</v>
      </c>
      <c r="BI32" s="341">
        <f t="shared" ref="BI32:BI37" si="25">$BH32*DP32</f>
        <v>0</v>
      </c>
      <c r="BJ32" s="341">
        <f t="shared" ref="BJ32:BJ37" si="26">$BH32*DL32</f>
        <v>0</v>
      </c>
      <c r="BK32" s="336">
        <f t="shared" si="12"/>
        <v>0</v>
      </c>
      <c r="BL32" s="336">
        <f t="shared" si="13"/>
        <v>0</v>
      </c>
      <c r="BM32">
        <v>1</v>
      </c>
      <c r="BN32" s="204"/>
      <c r="BO32" s="399"/>
      <c r="BP32" s="399"/>
      <c r="BQ32" s="399"/>
      <c r="BR32" s="304"/>
      <c r="BS32" s="549">
        <v>0</v>
      </c>
      <c r="BT32" s="549">
        <v>0</v>
      </c>
      <c r="BU32" s="549">
        <v>0</v>
      </c>
      <c r="BV32" s="549">
        <v>0</v>
      </c>
      <c r="BW32" s="549">
        <v>0</v>
      </c>
      <c r="BX32" s="549">
        <v>0</v>
      </c>
      <c r="BY32" s="549">
        <v>0</v>
      </c>
      <c r="BZ32" s="549">
        <v>0</v>
      </c>
      <c r="CA32" s="549">
        <v>0</v>
      </c>
      <c r="CB32" s="549">
        <f>(1-SUM(BS32:CA32))*$DO$11</f>
        <v>0.58200000000000007</v>
      </c>
      <c r="CC32" s="549">
        <f t="shared" ref="CC32:CC37" si="27">(1-SUM(BS32:CA32))*$DO$12</f>
        <v>0.41799999999999998</v>
      </c>
      <c r="CD32"/>
      <c r="CE32" s="670"/>
      <c r="CF32" s="670"/>
      <c r="CG32" s="670"/>
      <c r="CH32" s="670"/>
      <c r="CI32" s="670"/>
      <c r="CJ32" s="670"/>
      <c r="CK32" s="670"/>
      <c r="CL32" s="670"/>
      <c r="CM32" s="670"/>
      <c r="CN32" s="670"/>
      <c r="CO32" s="670"/>
      <c r="CP32" s="674"/>
      <c r="CQ32" s="670"/>
      <c r="CR32" s="670"/>
      <c r="CS32" s="675">
        <f>CB32</f>
        <v>0.58200000000000007</v>
      </c>
      <c r="CT32" s="670"/>
      <c r="CU32" s="675">
        <f>CC32</f>
        <v>0.41799999999999998</v>
      </c>
      <c r="CV32" s="675">
        <f>SUM(BS32:CA32)</f>
        <v>0</v>
      </c>
      <c r="CW32" s="670">
        <v>-1</v>
      </c>
      <c r="CX32" s="670"/>
      <c r="CY32" s="670"/>
      <c r="CZ32" s="670"/>
      <c r="DA32" s="670"/>
      <c r="DB32" s="670"/>
      <c r="DC32" s="670"/>
      <c r="DD32" s="670"/>
      <c r="DE32" s="671"/>
      <c r="DF32" s="671"/>
      <c r="DG32" s="670"/>
      <c r="DI32" s="393"/>
      <c r="DJ32" s="964"/>
      <c r="DK32" s="500">
        <v>0</v>
      </c>
      <c r="DL32" s="394" cm="1">
        <f t="array" ref="DL32">_xlfn.IFS(DM32=1,DK32,DM32=2,DJ32,DM32=0,DP32*SUMPRODUCT($DQ$5:$DX$5,DQ32:DX32))</f>
        <v>0</v>
      </c>
      <c r="DM32">
        <v>0</v>
      </c>
      <c r="DN32" s="291">
        <v>28</v>
      </c>
      <c r="DO32" s="525">
        <f>'FE - ACV Aluminum'!CN34</f>
        <v>1</v>
      </c>
      <c r="DP32" s="526">
        <v>0</v>
      </c>
      <c r="DQ32" s="525">
        <f>'FE - ACV Aluminum'!$CN$112</f>
        <v>0</v>
      </c>
      <c r="DR32" s="525">
        <f>'FE - ACV Aluminum'!$CN$113</f>
        <v>0</v>
      </c>
      <c r="DS32" s="525">
        <f>'FE - ACV Aluminum'!$CN$114</f>
        <v>4.0000000000000001E-3</v>
      </c>
      <c r="DT32" s="525">
        <f>'FE - ACV Aluminum'!$CN$115</f>
        <v>0</v>
      </c>
      <c r="DU32" s="525">
        <f>'FE - ACV Aluminum'!$CN$116</f>
        <v>0</v>
      </c>
      <c r="DV32" s="525">
        <f>'FE - ACV Aluminum'!$CN$117</f>
        <v>0.56000000000000005</v>
      </c>
      <c r="DW32" s="525">
        <f>'FE - ACV Aluminum'!$CN$118</f>
        <v>0.436</v>
      </c>
      <c r="DX32" s="525">
        <f>'FE - ACV Aluminum'!$CN$119</f>
        <v>0</v>
      </c>
      <c r="DY32"/>
      <c r="DZ32" s="435">
        <v>9.5454545454545445E-2</v>
      </c>
      <c r="EA32" s="463">
        <v>0</v>
      </c>
      <c r="EB32" s="462">
        <v>0.17846772954905543</v>
      </c>
      <c r="EC32" s="462">
        <v>0</v>
      </c>
      <c r="ED32" s="462">
        <v>0</v>
      </c>
      <c r="EE32" s="462">
        <v>0.46373327816139914</v>
      </c>
      <c r="EF32" s="462">
        <v>0</v>
      </c>
      <c r="EG32" s="462">
        <v>0.33592032243094605</v>
      </c>
      <c r="EH32" s="462">
        <v>2.18786698585994E-2</v>
      </c>
      <c r="EI32" s="462">
        <v>0</v>
      </c>
      <c r="EK32"/>
      <c r="EL32"/>
      <c r="EM32"/>
      <c r="EN32"/>
      <c r="EO32"/>
      <c r="EP32"/>
      <c r="EQ32"/>
      <c r="ER32"/>
      <c r="ES32"/>
      <c r="ET32"/>
    </row>
    <row r="33" spans="1:152" s="297" customFormat="1" ht="25.05" customHeight="1">
      <c r="B33" s="204"/>
      <c r="C33" s="204" t="s">
        <v>5560</v>
      </c>
      <c r="D33" s="325"/>
      <c r="E33" s="342" t="s">
        <v>5360</v>
      </c>
      <c r="F33" s="319" t="s">
        <v>5364</v>
      </c>
      <c r="G33" s="497" t="s">
        <v>5366</v>
      </c>
      <c r="H33"/>
      <c r="I33" s="318" t="s">
        <v>478</v>
      </c>
      <c r="J33" s="318" t="s">
        <v>478</v>
      </c>
      <c r="K33" s="318" t="s">
        <v>478</v>
      </c>
      <c r="L33" s="353" t="s">
        <v>478</v>
      </c>
      <c r="M33" s="735">
        <f t="shared" ref="M33:M37" si="28">DO33</f>
        <v>0</v>
      </c>
      <c r="N33" s="354" t="s">
        <v>478</v>
      </c>
      <c r="O33" s="318" t="s">
        <v>478</v>
      </c>
      <c r="P33" s="318" t="s">
        <v>478</v>
      </c>
      <c r="Q33" s="318" t="s">
        <v>478</v>
      </c>
      <c r="R33" s="330"/>
      <c r="S33" s="400">
        <f t="shared" si="7"/>
        <v>0</v>
      </c>
      <c r="T33" s="403"/>
      <c r="U33" s="403"/>
      <c r="V33" s="403"/>
      <c r="W33" s="402"/>
      <c r="X33" s="402"/>
      <c r="Y33" s="402"/>
      <c r="Z33">
        <v>127.7679453730632</v>
      </c>
      <c r="AA33" s="682">
        <f t="shared" si="18"/>
        <v>-127.7679453730632</v>
      </c>
      <c r="AB33" s="338">
        <f t="shared" si="19"/>
        <v>0</v>
      </c>
      <c r="AC33" s="331"/>
      <c r="AD33" s="331"/>
      <c r="AE33" s="331"/>
      <c r="AF33" s="331"/>
      <c r="AG33" s="331"/>
      <c r="AH33" s="331"/>
      <c r="AI33" s="331"/>
      <c r="AJ33" s="331"/>
      <c r="AK33" s="331"/>
      <c r="AL33" s="331"/>
      <c r="AM33" s="331"/>
      <c r="AN33" s="331"/>
      <c r="AO33" s="331"/>
      <c r="AP33" s="331"/>
      <c r="AQ33" s="331"/>
      <c r="AR33" s="331">
        <f t="shared" si="20"/>
        <v>0</v>
      </c>
      <c r="AS33" s="331">
        <f t="shared" si="21"/>
        <v>0</v>
      </c>
      <c r="AT33" s="331"/>
      <c r="AU33" s="331">
        <f t="shared" si="22"/>
        <v>0</v>
      </c>
      <c r="AV33" s="331">
        <f t="shared" si="23"/>
        <v>0</v>
      </c>
      <c r="AW33" s="331"/>
      <c r="AX33" s="331"/>
      <c r="AY33" s="331"/>
      <c r="AZ33" s="331"/>
      <c r="BA33" s="331"/>
      <c r="BB33" s="331"/>
      <c r="BC33" s="331"/>
      <c r="BD33" s="331"/>
      <c r="BE33" s="331"/>
      <c r="BF33" s="331"/>
      <c r="BG33"/>
      <c r="BH33" s="341">
        <f t="shared" si="24"/>
        <v>0</v>
      </c>
      <c r="BI33" s="341">
        <f t="shared" si="25"/>
        <v>0</v>
      </c>
      <c r="BJ33" s="341">
        <f t="shared" si="26"/>
        <v>0</v>
      </c>
      <c r="BK33" s="336">
        <f t="shared" si="12"/>
        <v>0</v>
      </c>
      <c r="BL33" s="336">
        <f t="shared" si="13"/>
        <v>0</v>
      </c>
      <c r="BM33">
        <v>1</v>
      </c>
      <c r="BN33" s="204"/>
      <c r="BO33" s="399"/>
      <c r="BP33" s="399"/>
      <c r="BQ33" s="399"/>
      <c r="BR33" s="304"/>
      <c r="BS33" s="549">
        <v>2.5000000000000001E-3</v>
      </c>
      <c r="BT33" s="549">
        <v>4.0000000000000001E-3</v>
      </c>
      <c r="BU33" s="549">
        <v>1E-3</v>
      </c>
      <c r="BV33" s="549">
        <v>2.1999999999999999E-2</v>
      </c>
      <c r="BW33" s="549">
        <v>1E-3</v>
      </c>
      <c r="BX33" s="549">
        <v>0</v>
      </c>
      <c r="BY33" s="549">
        <v>0</v>
      </c>
      <c r="BZ33" s="549">
        <v>1.5E-3</v>
      </c>
      <c r="CA33" s="549">
        <v>1E-3</v>
      </c>
      <c r="CB33" s="549">
        <f t="shared" ref="CB33:CB37" si="29">(1-SUM(BS33:CA33))*$DO$11</f>
        <v>0.56279400000000002</v>
      </c>
      <c r="CC33" s="549">
        <f t="shared" si="27"/>
        <v>0.40420599999999995</v>
      </c>
      <c r="CD33"/>
      <c r="CE33" s="670"/>
      <c r="CF33" s="670"/>
      <c r="CG33" s="670"/>
      <c r="CH33" s="670"/>
      <c r="CI33" s="670"/>
      <c r="CJ33" s="670"/>
      <c r="CK33" s="670"/>
      <c r="CL33" s="670"/>
      <c r="CM33" s="670"/>
      <c r="CN33" s="670"/>
      <c r="CO33" s="670"/>
      <c r="CP33" s="674"/>
      <c r="CQ33" s="670"/>
      <c r="CR33" s="670"/>
      <c r="CS33" s="675">
        <f t="shared" ref="CS33:CS37" si="30">CB33</f>
        <v>0.56279400000000002</v>
      </c>
      <c r="CT33" s="670"/>
      <c r="CU33" s="675">
        <f t="shared" ref="CU33:CU37" si="31">CC33</f>
        <v>0.40420599999999995</v>
      </c>
      <c r="CV33" s="675">
        <f t="shared" ref="CV33:CV37" si="32">SUM(BS33:CA33)</f>
        <v>3.3000000000000002E-2</v>
      </c>
      <c r="CW33" s="670">
        <v>-1</v>
      </c>
      <c r="CX33" s="670"/>
      <c r="CY33" s="670"/>
      <c r="CZ33" s="670"/>
      <c r="DA33" s="670"/>
      <c r="DB33" s="670"/>
      <c r="DC33" s="670"/>
      <c r="DD33" s="670"/>
      <c r="DE33" s="671"/>
      <c r="DF33" s="671"/>
      <c r="DG33" s="670"/>
      <c r="DI33" s="393"/>
      <c r="DJ33" s="964"/>
      <c r="DK33" s="500">
        <v>0</v>
      </c>
      <c r="DL33" s="394" cm="1">
        <f t="array" ref="DL33">_xlfn.IFS(DM33=1,DK33,DM33=2,DJ33,DM33=0,DP33*SUMPRODUCT($DQ$5:$DX$5,DQ33:DX33))</f>
        <v>75.284184357572329</v>
      </c>
      <c r="DM33">
        <v>0</v>
      </c>
      <c r="DN33" s="291">
        <v>29</v>
      </c>
      <c r="DO33" s="525">
        <f>'FE - ACV Aluminum'!CN35</f>
        <v>0</v>
      </c>
      <c r="DP33" s="526">
        <v>1.277679453730632</v>
      </c>
      <c r="DQ33" s="525">
        <f>'FE - ACV Aluminum'!$CN$112</f>
        <v>0</v>
      </c>
      <c r="DR33" s="525">
        <f>'FE - ACV Aluminum'!$CN$113</f>
        <v>0</v>
      </c>
      <c r="DS33" s="525">
        <f>'FE - ACV Aluminum'!$CN$114</f>
        <v>4.0000000000000001E-3</v>
      </c>
      <c r="DT33" s="525">
        <f>'FE - ACV Aluminum'!$CN$115</f>
        <v>0</v>
      </c>
      <c r="DU33" s="525">
        <f>'FE - ACV Aluminum'!$CN$116</f>
        <v>0</v>
      </c>
      <c r="DV33" s="525">
        <f>'FE - ACV Aluminum'!$CN$117</f>
        <v>0.56000000000000005</v>
      </c>
      <c r="DW33" s="525">
        <f>'FE - ACV Aluminum'!$CN$118</f>
        <v>0.436</v>
      </c>
      <c r="DX33" s="525">
        <f>'FE - ACV Aluminum'!$CN$119</f>
        <v>0</v>
      </c>
      <c r="DY33"/>
      <c r="DZ33" s="435">
        <v>0.15909090909090909</v>
      </c>
      <c r="EA33" s="463">
        <v>1.277679453730632</v>
      </c>
      <c r="EB33" s="462">
        <v>0.17846772954905543</v>
      </c>
      <c r="EC33" s="462">
        <v>0</v>
      </c>
      <c r="ED33" s="462">
        <v>0</v>
      </c>
      <c r="EE33" s="462">
        <v>0.46373327816139914</v>
      </c>
      <c r="EF33" s="462">
        <v>0</v>
      </c>
      <c r="EG33" s="462">
        <v>0.33592032243094605</v>
      </c>
      <c r="EH33" s="462">
        <v>2.18786698585994E-2</v>
      </c>
      <c r="EI33" s="462">
        <v>0</v>
      </c>
      <c r="EK33"/>
      <c r="EL33"/>
      <c r="EM33"/>
      <c r="EN33"/>
      <c r="EO33"/>
      <c r="EP33"/>
      <c r="EQ33"/>
      <c r="ER33"/>
      <c r="ES33"/>
      <c r="ET33"/>
      <c r="EU33"/>
      <c r="EV33"/>
    </row>
    <row r="34" spans="1:152" s="297" customFormat="1" ht="25.05" customHeight="1">
      <c r="B34" s="204"/>
      <c r="C34" s="204" t="s">
        <v>5561</v>
      </c>
      <c r="D34" s="325"/>
      <c r="E34" s="342" t="s">
        <v>5361</v>
      </c>
      <c r="F34" s="319" t="s">
        <v>5364</v>
      </c>
      <c r="G34" s="497" t="s">
        <v>5366</v>
      </c>
      <c r="H34"/>
      <c r="I34" s="318" t="s">
        <v>478</v>
      </c>
      <c r="J34" s="318" t="s">
        <v>478</v>
      </c>
      <c r="K34" s="318" t="s">
        <v>478</v>
      </c>
      <c r="L34" s="353" t="s">
        <v>478</v>
      </c>
      <c r="M34" s="735">
        <f t="shared" si="28"/>
        <v>0</v>
      </c>
      <c r="N34" s="354" t="s">
        <v>478</v>
      </c>
      <c r="O34" s="318" t="s">
        <v>478</v>
      </c>
      <c r="P34" s="318" t="s">
        <v>478</v>
      </c>
      <c r="Q34" s="318" t="s">
        <v>478</v>
      </c>
      <c r="R34" s="330"/>
      <c r="S34" s="400">
        <f t="shared" si="7"/>
        <v>0</v>
      </c>
      <c r="T34" s="403"/>
      <c r="U34" s="403"/>
      <c r="V34" s="403"/>
      <c r="W34" s="402"/>
      <c r="X34" s="402"/>
      <c r="Y34" s="402"/>
      <c r="Z34">
        <v>311.7537867102742</v>
      </c>
      <c r="AA34" s="682">
        <f t="shared" si="18"/>
        <v>-311.7537867102742</v>
      </c>
      <c r="AB34" s="338">
        <f t="shared" si="19"/>
        <v>0</v>
      </c>
      <c r="AC34" s="331"/>
      <c r="AD34" s="331"/>
      <c r="AE34" s="331"/>
      <c r="AF34" s="331"/>
      <c r="AG34" s="331"/>
      <c r="AH34" s="331"/>
      <c r="AI34" s="331"/>
      <c r="AJ34" s="331"/>
      <c r="AK34" s="331"/>
      <c r="AL34" s="331"/>
      <c r="AM34" s="331"/>
      <c r="AN34" s="331"/>
      <c r="AO34" s="331"/>
      <c r="AP34" s="331"/>
      <c r="AQ34" s="331"/>
      <c r="AR34" s="331">
        <f t="shared" si="20"/>
        <v>0</v>
      </c>
      <c r="AS34" s="331">
        <f t="shared" si="21"/>
        <v>0</v>
      </c>
      <c r="AT34" s="331"/>
      <c r="AU34" s="331">
        <f t="shared" si="22"/>
        <v>0</v>
      </c>
      <c r="AV34" s="331">
        <f t="shared" si="23"/>
        <v>0</v>
      </c>
      <c r="AW34" s="331"/>
      <c r="AX34" s="331"/>
      <c r="AY34" s="331"/>
      <c r="AZ34" s="331"/>
      <c r="BA34" s="331"/>
      <c r="BB34" s="331"/>
      <c r="BC34" s="331"/>
      <c r="BD34" s="331"/>
      <c r="BE34" s="331"/>
      <c r="BF34" s="331"/>
      <c r="BG34"/>
      <c r="BH34" s="341">
        <f t="shared" si="24"/>
        <v>0</v>
      </c>
      <c r="BI34" s="341">
        <f t="shared" si="25"/>
        <v>0</v>
      </c>
      <c r="BJ34" s="341">
        <f t="shared" si="26"/>
        <v>0</v>
      </c>
      <c r="BK34" s="336">
        <f t="shared" si="12"/>
        <v>0</v>
      </c>
      <c r="BL34" s="336">
        <f t="shared" si="13"/>
        <v>0</v>
      </c>
      <c r="BM34">
        <v>1</v>
      </c>
      <c r="BN34" s="204"/>
      <c r="BO34" s="399"/>
      <c r="BP34" s="399"/>
      <c r="BQ34" s="399"/>
      <c r="BR34" s="304"/>
      <c r="BS34" s="549">
        <v>7.0000000000000001E-3</v>
      </c>
      <c r="BT34" s="549">
        <v>5.0000000000000001E-3</v>
      </c>
      <c r="BU34" s="549">
        <v>4.0000000000000001E-3</v>
      </c>
      <c r="BV34" s="549">
        <v>6.0000000000000001E-3</v>
      </c>
      <c r="BW34" s="549">
        <v>1E-3</v>
      </c>
      <c r="BX34" s="549">
        <v>0</v>
      </c>
      <c r="BY34" s="549">
        <v>0</v>
      </c>
      <c r="BZ34" s="549">
        <v>2.5000000000000001E-3</v>
      </c>
      <c r="CA34" s="549">
        <v>2E-3</v>
      </c>
      <c r="CB34" s="549">
        <f t="shared" si="29"/>
        <v>0.56599500000000014</v>
      </c>
      <c r="CC34" s="549">
        <f t="shared" si="27"/>
        <v>0.40650500000000001</v>
      </c>
      <c r="CD34"/>
      <c r="CE34" s="670"/>
      <c r="CF34" s="670"/>
      <c r="CG34" s="670"/>
      <c r="CH34" s="670"/>
      <c r="CI34" s="670"/>
      <c r="CJ34" s="670"/>
      <c r="CK34" s="670"/>
      <c r="CL34" s="670"/>
      <c r="CM34" s="670"/>
      <c r="CN34" s="670"/>
      <c r="CO34" s="670"/>
      <c r="CP34" s="674"/>
      <c r="CQ34" s="670"/>
      <c r="CR34" s="670"/>
      <c r="CS34" s="675">
        <f t="shared" si="30"/>
        <v>0.56599500000000014</v>
      </c>
      <c r="CT34" s="670"/>
      <c r="CU34" s="675">
        <f t="shared" si="31"/>
        <v>0.40650500000000001</v>
      </c>
      <c r="CV34" s="675">
        <f t="shared" si="32"/>
        <v>2.7499999999999997E-2</v>
      </c>
      <c r="CW34" s="670">
        <v>-1</v>
      </c>
      <c r="CX34" s="670"/>
      <c r="CY34" s="670"/>
      <c r="CZ34" s="670"/>
      <c r="DA34" s="670"/>
      <c r="DB34" s="670"/>
      <c r="DC34" s="670"/>
      <c r="DD34" s="670"/>
      <c r="DE34" s="671"/>
      <c r="DF34" s="671"/>
      <c r="DG34" s="670"/>
      <c r="DI34" s="393"/>
      <c r="DJ34" s="964"/>
      <c r="DK34" s="500">
        <v>0</v>
      </c>
      <c r="DL34" s="394" cm="1">
        <f t="array" ref="DL34">_xlfn.IFS(DM34=1,DK34,DM34=2,DJ34,DM34=0,DP34*SUMPRODUCT($DQ$5:$DX$5,DQ34:DX34))</f>
        <v>75.284184357572329</v>
      </c>
      <c r="DM34">
        <v>0</v>
      </c>
      <c r="DN34" s="291">
        <v>30</v>
      </c>
      <c r="DO34" s="525">
        <f>'FE - ACV Aluminum'!CN36</f>
        <v>0</v>
      </c>
      <c r="DP34" s="526">
        <v>1.277679453730632</v>
      </c>
      <c r="DQ34" s="525">
        <f>'FE - ACV Aluminum'!$CN$112</f>
        <v>0</v>
      </c>
      <c r="DR34" s="525">
        <f>'FE - ACV Aluminum'!$CN$113</f>
        <v>0</v>
      </c>
      <c r="DS34" s="525">
        <f>'FE - ACV Aluminum'!$CN$114</f>
        <v>4.0000000000000001E-3</v>
      </c>
      <c r="DT34" s="525">
        <f>'FE - ACV Aluminum'!$CN$115</f>
        <v>0</v>
      </c>
      <c r="DU34" s="525">
        <f>'FE - ACV Aluminum'!$CN$116</f>
        <v>0</v>
      </c>
      <c r="DV34" s="525">
        <f>'FE - ACV Aluminum'!$CN$117</f>
        <v>0.56000000000000005</v>
      </c>
      <c r="DW34" s="525">
        <f>'FE - ACV Aluminum'!$CN$118</f>
        <v>0.436</v>
      </c>
      <c r="DX34" s="525">
        <f>'FE - ACV Aluminum'!$CN$119</f>
        <v>0</v>
      </c>
      <c r="DY34"/>
      <c r="DZ34" s="435">
        <v>0.15909090909090909</v>
      </c>
      <c r="EA34" s="463">
        <v>1.277679453730632</v>
      </c>
      <c r="EB34" s="462">
        <v>0.17846772954905543</v>
      </c>
      <c r="EC34" s="462">
        <v>0</v>
      </c>
      <c r="ED34" s="462">
        <v>0</v>
      </c>
      <c r="EE34" s="462">
        <v>0.46373327816139914</v>
      </c>
      <c r="EF34" s="462">
        <v>0</v>
      </c>
      <c r="EG34" s="462">
        <v>0.33592032243094605</v>
      </c>
      <c r="EH34" s="462">
        <v>2.18786698585994E-2</v>
      </c>
      <c r="EI34" s="462">
        <v>0</v>
      </c>
      <c r="EK34"/>
      <c r="EL34"/>
      <c r="EM34"/>
      <c r="EN34"/>
      <c r="EO34"/>
      <c r="EP34"/>
      <c r="EQ34"/>
      <c r="ER34"/>
      <c r="ES34"/>
      <c r="ET34"/>
      <c r="EU34"/>
      <c r="EV34"/>
    </row>
    <row r="35" spans="1:152" s="297" customFormat="1" ht="25.05" customHeight="1">
      <c r="B35" s="204"/>
      <c r="C35" s="204" t="s">
        <v>5562</v>
      </c>
      <c r="D35" s="325"/>
      <c r="E35" s="342" t="s">
        <v>5362</v>
      </c>
      <c r="F35" s="319" t="s">
        <v>5368</v>
      </c>
      <c r="G35" s="497" t="s">
        <v>5367</v>
      </c>
      <c r="H35"/>
      <c r="I35" s="318" t="s">
        <v>478</v>
      </c>
      <c r="J35" s="318" t="s">
        <v>478</v>
      </c>
      <c r="K35" s="318" t="s">
        <v>478</v>
      </c>
      <c r="L35" s="353" t="s">
        <v>478</v>
      </c>
      <c r="M35" s="735">
        <f t="shared" si="28"/>
        <v>0</v>
      </c>
      <c r="N35" s="354" t="s">
        <v>478</v>
      </c>
      <c r="O35" s="318" t="s">
        <v>478</v>
      </c>
      <c r="P35" s="318" t="s">
        <v>478</v>
      </c>
      <c r="Q35" s="318" t="s">
        <v>478</v>
      </c>
      <c r="R35" s="330"/>
      <c r="S35" s="400">
        <f t="shared" si="7"/>
        <v>0</v>
      </c>
      <c r="T35" s="403"/>
      <c r="U35" s="403"/>
      <c r="V35" s="403"/>
      <c r="W35" s="402"/>
      <c r="X35" s="402"/>
      <c r="Y35" s="402"/>
      <c r="Z35">
        <v>30.664306889535169</v>
      </c>
      <c r="AA35" s="682">
        <f t="shared" si="18"/>
        <v>-30.664306889535169</v>
      </c>
      <c r="AB35" s="338">
        <f t="shared" si="19"/>
        <v>0</v>
      </c>
      <c r="AC35" s="331"/>
      <c r="AD35" s="331"/>
      <c r="AE35" s="331"/>
      <c r="AF35" s="331"/>
      <c r="AG35" s="331"/>
      <c r="AH35" s="331"/>
      <c r="AI35" s="331"/>
      <c r="AJ35" s="331"/>
      <c r="AK35" s="331"/>
      <c r="AL35" s="331"/>
      <c r="AM35" s="331"/>
      <c r="AN35" s="331"/>
      <c r="AO35" s="331"/>
      <c r="AP35" s="331"/>
      <c r="AQ35" s="331"/>
      <c r="AR35" s="331">
        <f t="shared" si="20"/>
        <v>0</v>
      </c>
      <c r="AS35" s="331">
        <f t="shared" si="21"/>
        <v>0</v>
      </c>
      <c r="AT35" s="331"/>
      <c r="AU35" s="331">
        <f t="shared" si="22"/>
        <v>0</v>
      </c>
      <c r="AV35" s="331">
        <f t="shared" si="23"/>
        <v>0</v>
      </c>
      <c r="AW35" s="331"/>
      <c r="AX35" s="331"/>
      <c r="AY35" s="331"/>
      <c r="AZ35" s="331"/>
      <c r="BA35" s="331"/>
      <c r="BB35" s="331"/>
      <c r="BC35" s="331"/>
      <c r="BD35" s="331"/>
      <c r="BE35" s="331"/>
      <c r="BF35" s="331"/>
      <c r="BG35"/>
      <c r="BH35" s="341">
        <f t="shared" si="24"/>
        <v>0</v>
      </c>
      <c r="BI35" s="341">
        <f t="shared" si="25"/>
        <v>0</v>
      </c>
      <c r="BJ35" s="341">
        <f t="shared" si="26"/>
        <v>0</v>
      </c>
      <c r="BK35" s="336">
        <f t="shared" si="12"/>
        <v>0</v>
      </c>
      <c r="BL35" s="336">
        <f t="shared" si="13"/>
        <v>0</v>
      </c>
      <c r="BM35">
        <v>1</v>
      </c>
      <c r="BN35" s="204"/>
      <c r="BO35" s="399"/>
      <c r="BP35" s="399"/>
      <c r="BQ35" s="399"/>
      <c r="BR35" s="304"/>
      <c r="BS35" s="549">
        <v>4.0000000000000001E-3</v>
      </c>
      <c r="BT35" s="549">
        <v>5.0000000000000001E-3</v>
      </c>
      <c r="BU35" s="549">
        <v>3.0000000000000001E-3</v>
      </c>
      <c r="BV35" s="549">
        <v>2.1000000000000001E-2</v>
      </c>
      <c r="BW35" s="549">
        <v>1.2E-2</v>
      </c>
      <c r="BX35" s="549">
        <v>0</v>
      </c>
      <c r="BY35" s="549">
        <v>0</v>
      </c>
      <c r="BZ35" s="549">
        <v>1.8E-3</v>
      </c>
      <c r="CA35" s="549">
        <v>5.0999999999999997E-2</v>
      </c>
      <c r="CB35" s="549">
        <f t="shared" si="29"/>
        <v>0.52508040000000011</v>
      </c>
      <c r="CC35" s="549">
        <f t="shared" si="27"/>
        <v>0.3771196</v>
      </c>
      <c r="CD35"/>
      <c r="CE35" s="670"/>
      <c r="CF35" s="670"/>
      <c r="CG35" s="670"/>
      <c r="CH35" s="670"/>
      <c r="CI35" s="670"/>
      <c r="CJ35" s="670"/>
      <c r="CK35" s="670"/>
      <c r="CL35" s="670"/>
      <c r="CM35" s="670"/>
      <c r="CN35" s="670"/>
      <c r="CO35" s="670"/>
      <c r="CP35" s="674"/>
      <c r="CQ35" s="670"/>
      <c r="CR35" s="670"/>
      <c r="CS35" s="675">
        <f t="shared" si="30"/>
        <v>0.52508040000000011</v>
      </c>
      <c r="CT35" s="670"/>
      <c r="CU35" s="675">
        <f t="shared" si="31"/>
        <v>0.3771196</v>
      </c>
      <c r="CV35" s="675">
        <f t="shared" si="32"/>
        <v>9.7799999999999998E-2</v>
      </c>
      <c r="CW35" s="670">
        <v>-1</v>
      </c>
      <c r="CX35" s="670"/>
      <c r="CY35" s="670"/>
      <c r="CZ35" s="670"/>
      <c r="DA35" s="670"/>
      <c r="DB35" s="670"/>
      <c r="DC35" s="670"/>
      <c r="DD35" s="670"/>
      <c r="DE35" s="671"/>
      <c r="DF35" s="671"/>
      <c r="DG35" s="670"/>
      <c r="DI35" s="393"/>
      <c r="DJ35" s="964"/>
      <c r="DK35" s="500">
        <v>0</v>
      </c>
      <c r="DL35" s="394" cm="1">
        <f t="array" ref="DL35">_xlfn.IFS(DM35=1,DK35,DM35=2,DJ35,DM35=0,DP35*SUMPRODUCT($DQ$5:$DX$5,DQ35:DX35))</f>
        <v>75.284184357572329</v>
      </c>
      <c r="DM35">
        <v>0</v>
      </c>
      <c r="DN35" s="291">
        <v>31</v>
      </c>
      <c r="DO35" s="525">
        <f>'FE - ACV Aluminum'!CN37</f>
        <v>0</v>
      </c>
      <c r="DP35" s="526">
        <v>1.277679453730632</v>
      </c>
      <c r="DQ35" s="525">
        <f>'FE - ACV Aluminum'!$CN$112</f>
        <v>0</v>
      </c>
      <c r="DR35" s="525">
        <f>'FE - ACV Aluminum'!$CN$113</f>
        <v>0</v>
      </c>
      <c r="DS35" s="525">
        <f>'FE - ACV Aluminum'!$CN$114</f>
        <v>4.0000000000000001E-3</v>
      </c>
      <c r="DT35" s="525">
        <f>'FE - ACV Aluminum'!$CN$115</f>
        <v>0</v>
      </c>
      <c r="DU35" s="525">
        <f>'FE - ACV Aluminum'!$CN$116</f>
        <v>0</v>
      </c>
      <c r="DV35" s="525">
        <f>'FE - ACV Aluminum'!$CN$117</f>
        <v>0.56000000000000005</v>
      </c>
      <c r="DW35" s="525">
        <f>'FE - ACV Aluminum'!$CN$118</f>
        <v>0.436</v>
      </c>
      <c r="DX35" s="525">
        <f>'FE - ACV Aluminum'!$CN$119</f>
        <v>0</v>
      </c>
      <c r="DY35"/>
      <c r="DZ35" s="435">
        <v>3.1818181818181815E-2</v>
      </c>
      <c r="EA35" s="463">
        <v>1.277679453730632</v>
      </c>
      <c r="EB35" s="462">
        <v>0.17846772954905543</v>
      </c>
      <c r="EC35" s="462">
        <v>0</v>
      </c>
      <c r="ED35" s="462">
        <v>0</v>
      </c>
      <c r="EE35" s="462">
        <v>0.46373327816139914</v>
      </c>
      <c r="EF35" s="462">
        <v>0</v>
      </c>
      <c r="EG35" s="462">
        <v>0.33592032243094605</v>
      </c>
      <c r="EH35" s="462">
        <v>2.18786698585994E-2</v>
      </c>
      <c r="EI35" s="462">
        <v>0</v>
      </c>
      <c r="EK35"/>
      <c r="EL35"/>
      <c r="EM35"/>
      <c r="EN35"/>
      <c r="EO35"/>
      <c r="EP35"/>
      <c r="EQ35"/>
      <c r="ER35"/>
      <c r="ES35"/>
      <c r="ET35"/>
      <c r="EU35"/>
      <c r="EV35"/>
    </row>
    <row r="36" spans="1:152" s="297" customFormat="1" ht="25.05" customHeight="1">
      <c r="B36" s="204"/>
      <c r="C36" s="204" t="s">
        <v>5563</v>
      </c>
      <c r="D36" s="325"/>
      <c r="E36" s="342" t="s">
        <v>5476</v>
      </c>
      <c r="F36" s="319"/>
      <c r="G36" s="497"/>
      <c r="H36"/>
      <c r="I36" s="318" t="s">
        <v>478</v>
      </c>
      <c r="J36" s="318" t="s">
        <v>478</v>
      </c>
      <c r="K36" s="318" t="s">
        <v>478</v>
      </c>
      <c r="L36" s="353" t="s">
        <v>478</v>
      </c>
      <c r="M36" s="735">
        <f t="shared" ref="M36" si="33">DO36</f>
        <v>0</v>
      </c>
      <c r="N36" s="354" t="s">
        <v>478</v>
      </c>
      <c r="O36" s="318" t="s">
        <v>478</v>
      </c>
      <c r="P36" s="318" t="s">
        <v>478</v>
      </c>
      <c r="Q36" s="318" t="s">
        <v>478</v>
      </c>
      <c r="R36" s="330"/>
      <c r="S36" s="400">
        <f t="shared" si="7"/>
        <v>0</v>
      </c>
      <c r="T36" s="403"/>
      <c r="U36" s="403"/>
      <c r="V36" s="403"/>
      <c r="W36" s="402"/>
      <c r="X36" s="402"/>
      <c r="Y36" s="402"/>
      <c r="Z36">
        <v>1024.9557541787835</v>
      </c>
      <c r="AA36" s="682">
        <f t="shared" si="18"/>
        <v>-1024.9557541787835</v>
      </c>
      <c r="AB36" s="338">
        <f t="shared" si="19"/>
        <v>0</v>
      </c>
      <c r="AC36" s="331"/>
      <c r="AD36" s="331"/>
      <c r="AE36" s="331"/>
      <c r="AF36" s="331"/>
      <c r="AG36" s="331"/>
      <c r="AH36" s="331"/>
      <c r="AI36" s="331"/>
      <c r="AJ36" s="331"/>
      <c r="AK36" s="331"/>
      <c r="AL36" s="331"/>
      <c r="AM36" s="331"/>
      <c r="AN36" s="331"/>
      <c r="AO36" s="331"/>
      <c r="AP36" s="331"/>
      <c r="AQ36" s="331"/>
      <c r="AR36" s="331">
        <f t="shared" si="20"/>
        <v>0</v>
      </c>
      <c r="AS36" s="331">
        <f t="shared" si="21"/>
        <v>0</v>
      </c>
      <c r="AT36" s="331"/>
      <c r="AU36" s="331">
        <f t="shared" si="22"/>
        <v>0</v>
      </c>
      <c r="AV36" s="331">
        <f t="shared" ref="AV36" si="34">-$AV$10*M36</f>
        <v>0</v>
      </c>
      <c r="AW36" s="331"/>
      <c r="AX36" s="331"/>
      <c r="AY36" s="331"/>
      <c r="AZ36" s="331"/>
      <c r="BA36" s="331"/>
      <c r="BB36" s="331"/>
      <c r="BC36" s="331"/>
      <c r="BD36" s="331"/>
      <c r="BE36" s="331"/>
      <c r="BF36" s="331"/>
      <c r="BG36"/>
      <c r="BH36" s="341">
        <f t="shared" si="24"/>
        <v>0</v>
      </c>
      <c r="BI36" s="341">
        <f t="shared" si="25"/>
        <v>0</v>
      </c>
      <c r="BJ36" s="341">
        <f t="shared" si="26"/>
        <v>0</v>
      </c>
      <c r="BK36" s="336">
        <f t="shared" ref="BK36" si="35">IFERROR(+BI36/$AV$10,0)</f>
        <v>0</v>
      </c>
      <c r="BL36" s="336">
        <f t="shared" ref="BL36" si="36">IFERROR((+BJ36/$AV$10)/1000,0)</f>
        <v>0</v>
      </c>
      <c r="BM36">
        <v>1</v>
      </c>
      <c r="BN36" s="204"/>
      <c r="BO36" s="399"/>
      <c r="BP36" s="399"/>
      <c r="BQ36" s="399"/>
      <c r="BR36" s="304"/>
      <c r="BS36" s="549">
        <v>9.375E-2</v>
      </c>
      <c r="BT36" s="549">
        <v>3.3249999999999998E-3</v>
      </c>
      <c r="BU36" s="549">
        <v>1.1749999999999998E-3</v>
      </c>
      <c r="BV36" s="549">
        <v>5.7750000000000006E-3</v>
      </c>
      <c r="BW36" s="549">
        <v>3.2500000000000003E-3</v>
      </c>
      <c r="BX36" s="549">
        <v>6.2500000000000003E-3</v>
      </c>
      <c r="BY36" s="549">
        <v>6.8749999999999996E-4</v>
      </c>
      <c r="BZ36" s="549">
        <v>0</v>
      </c>
      <c r="CA36" s="549">
        <v>1.7750000000000001E-3</v>
      </c>
      <c r="CB36" s="549">
        <f t="shared" ref="CB36" si="37">(1-SUM(BS36:CA36))*$DO$11</f>
        <v>0.51449527500000003</v>
      </c>
      <c r="CC36" s="549">
        <f t="shared" ref="CC36" si="38">(1-SUM(BS36:CA36))*$DO$12</f>
        <v>0.36951722499999995</v>
      </c>
      <c r="CD36"/>
      <c r="CE36" s="670"/>
      <c r="CF36" s="670"/>
      <c r="CG36" s="670"/>
      <c r="CH36" s="670"/>
      <c r="CI36" s="670"/>
      <c r="CJ36" s="670"/>
      <c r="CK36" s="670"/>
      <c r="CL36" s="670"/>
      <c r="CM36" s="670"/>
      <c r="CN36" s="670"/>
      <c r="CO36" s="670"/>
      <c r="CP36" s="674"/>
      <c r="CQ36" s="670"/>
      <c r="CR36" s="670"/>
      <c r="CS36" s="675">
        <f t="shared" si="30"/>
        <v>0.51449527500000003</v>
      </c>
      <c r="CT36" s="670"/>
      <c r="CU36" s="675">
        <f t="shared" ref="CU36" si="39">CC36</f>
        <v>0.36951722499999995</v>
      </c>
      <c r="CV36" s="675">
        <f t="shared" ref="CV36" si="40">SUM(BS36:CA36)</f>
        <v>0.11598749999999999</v>
      </c>
      <c r="CW36" s="670">
        <v>-1</v>
      </c>
      <c r="CX36" s="670"/>
      <c r="CY36" s="670"/>
      <c r="CZ36" s="670"/>
      <c r="DA36" s="670"/>
      <c r="DB36" s="670"/>
      <c r="DC36" s="670"/>
      <c r="DD36" s="670"/>
      <c r="DE36" s="671"/>
      <c r="DF36" s="671"/>
      <c r="DG36" s="670"/>
      <c r="DI36" s="393"/>
      <c r="DJ36" s="964"/>
      <c r="DK36" s="500">
        <v>0</v>
      </c>
      <c r="DL36" s="394" cm="1">
        <f t="array" ref="DL36">_xlfn.IFS(DM36=1,DK36,DM36=2,DJ36,DM36=0,DP36*SUMPRODUCT($DQ$5:$DX$5,DQ36:DX36))</f>
        <v>134.20677573035653</v>
      </c>
      <c r="DM36">
        <v>0</v>
      </c>
      <c r="DN36" s="291">
        <v>32</v>
      </c>
      <c r="DO36" s="525">
        <f>'FE - ACV Aluminum'!CN38</f>
        <v>0</v>
      </c>
      <c r="DP36" s="526">
        <v>2.27767945373063</v>
      </c>
      <c r="DQ36" s="525">
        <f>'FE - ACV Aluminum'!$CN$112</f>
        <v>0</v>
      </c>
      <c r="DR36" s="525">
        <f>'FE - ACV Aluminum'!$CN$113</f>
        <v>0</v>
      </c>
      <c r="DS36" s="525">
        <f>'FE - ACV Aluminum'!$CN$114</f>
        <v>4.0000000000000001E-3</v>
      </c>
      <c r="DT36" s="525">
        <f>'FE - ACV Aluminum'!$CN$115</f>
        <v>0</v>
      </c>
      <c r="DU36" s="525">
        <f>'FE - ACV Aluminum'!$CN$116</f>
        <v>0</v>
      </c>
      <c r="DV36" s="525">
        <f>'FE - ACV Aluminum'!$CN$117</f>
        <v>0.56000000000000005</v>
      </c>
      <c r="DW36" s="525">
        <f>'FE - ACV Aluminum'!$CN$118</f>
        <v>0.436</v>
      </c>
      <c r="DX36" s="525">
        <f>'FE - ACV Aluminum'!$CN$119</f>
        <v>0</v>
      </c>
      <c r="DY36"/>
      <c r="DZ36" s="435"/>
      <c r="EA36" s="463">
        <v>2.27767945373063</v>
      </c>
      <c r="EB36" s="462">
        <v>0.17846772954905543</v>
      </c>
      <c r="EC36" s="462">
        <v>0</v>
      </c>
      <c r="ED36" s="462">
        <v>0</v>
      </c>
      <c r="EE36" s="462">
        <v>0.46373327816139914</v>
      </c>
      <c r="EF36" s="462">
        <v>0</v>
      </c>
      <c r="EG36" s="462">
        <v>0.33592032243094605</v>
      </c>
      <c r="EH36" s="462">
        <v>2.18786698585994E-2</v>
      </c>
      <c r="EI36" s="462">
        <v>0</v>
      </c>
      <c r="EK36"/>
      <c r="EL36"/>
      <c r="EM36"/>
      <c r="EN36"/>
      <c r="EO36"/>
      <c r="EP36"/>
      <c r="EQ36"/>
      <c r="ER36"/>
      <c r="ES36"/>
      <c r="ET36"/>
      <c r="EU36"/>
      <c r="EV36"/>
    </row>
    <row r="37" spans="1:152" s="297" customFormat="1" ht="25.05" customHeight="1" thickBot="1">
      <c r="B37" s="204"/>
      <c r="C37" s="204" t="s">
        <v>5564</v>
      </c>
      <c r="D37" s="325"/>
      <c r="E37" s="324" t="s">
        <v>5477</v>
      </c>
      <c r="F37" s="319" t="s">
        <v>5369</v>
      </c>
      <c r="G37" s="497" t="s">
        <v>522</v>
      </c>
      <c r="H37"/>
      <c r="I37" s="318" t="s">
        <v>478</v>
      </c>
      <c r="J37" s="318" t="s">
        <v>478</v>
      </c>
      <c r="K37" s="318" t="s">
        <v>478</v>
      </c>
      <c r="L37" s="353" t="s">
        <v>478</v>
      </c>
      <c r="M37" s="736">
        <f t="shared" si="28"/>
        <v>0</v>
      </c>
      <c r="N37" s="354" t="s">
        <v>478</v>
      </c>
      <c r="O37" s="318" t="s">
        <v>478</v>
      </c>
      <c r="P37" s="318" t="s">
        <v>478</v>
      </c>
      <c r="Q37" s="318" t="s">
        <v>478</v>
      </c>
      <c r="R37" s="330"/>
      <c r="S37" s="400">
        <f t="shared" si="7"/>
        <v>0</v>
      </c>
      <c r="T37" s="403"/>
      <c r="U37" s="403"/>
      <c r="V37" s="403"/>
      <c r="W37" s="402"/>
      <c r="X37" s="402"/>
      <c r="Y37" s="402"/>
      <c r="Z37">
        <v>426.40118438173846</v>
      </c>
      <c r="AA37" s="682">
        <f t="shared" si="18"/>
        <v>-426.40118438173846</v>
      </c>
      <c r="AB37" s="338">
        <f t="shared" si="19"/>
        <v>0</v>
      </c>
      <c r="AC37" s="331"/>
      <c r="AD37" s="331"/>
      <c r="AE37" s="331"/>
      <c r="AF37" s="331"/>
      <c r="AG37" s="331"/>
      <c r="AH37" s="331"/>
      <c r="AI37" s="331"/>
      <c r="AJ37" s="331"/>
      <c r="AK37" s="331"/>
      <c r="AL37" s="331"/>
      <c r="AM37" s="331"/>
      <c r="AN37" s="331"/>
      <c r="AO37" s="331"/>
      <c r="AP37" s="331"/>
      <c r="AQ37" s="331"/>
      <c r="AR37" s="331">
        <f t="shared" si="20"/>
        <v>0</v>
      </c>
      <c r="AS37" s="331">
        <f t="shared" si="21"/>
        <v>0</v>
      </c>
      <c r="AT37" s="331"/>
      <c r="AU37" s="331">
        <f t="shared" si="22"/>
        <v>0</v>
      </c>
      <c r="AV37" s="331">
        <f t="shared" si="23"/>
        <v>0</v>
      </c>
      <c r="AW37" s="331"/>
      <c r="AX37" s="331"/>
      <c r="AY37" s="331"/>
      <c r="AZ37" s="331"/>
      <c r="BA37" s="331"/>
      <c r="BB37" s="331"/>
      <c r="BC37" s="331"/>
      <c r="BD37" s="331"/>
      <c r="BE37" s="331"/>
      <c r="BF37" s="331"/>
      <c r="BG37"/>
      <c r="BH37" s="341">
        <f t="shared" si="24"/>
        <v>0</v>
      </c>
      <c r="BI37" s="341">
        <f t="shared" si="25"/>
        <v>0</v>
      </c>
      <c r="BJ37" s="341">
        <f t="shared" si="26"/>
        <v>0</v>
      </c>
      <c r="BK37" s="336">
        <f t="shared" si="12"/>
        <v>0</v>
      </c>
      <c r="BL37" s="336">
        <f t="shared" si="13"/>
        <v>0</v>
      </c>
      <c r="BM37">
        <v>1</v>
      </c>
      <c r="BN37" s="204"/>
      <c r="BO37" s="399"/>
      <c r="BP37" s="399"/>
      <c r="BQ37" s="399"/>
      <c r="BR37" s="304"/>
      <c r="BS37" s="549">
        <v>0.12</v>
      </c>
      <c r="BT37" s="549">
        <v>1.2999999999999999E-2</v>
      </c>
      <c r="BU37" s="549">
        <v>3.5000000000000001E-3</v>
      </c>
      <c r="BV37" s="549">
        <v>1E-3</v>
      </c>
      <c r="BW37" s="549">
        <v>0.01</v>
      </c>
      <c r="BX37" s="549">
        <v>5.0000000000000001E-3</v>
      </c>
      <c r="BY37" s="549">
        <v>0</v>
      </c>
      <c r="BZ37" s="549">
        <v>0</v>
      </c>
      <c r="CA37" s="549">
        <v>0</v>
      </c>
      <c r="CB37" s="549">
        <f t="shared" si="29"/>
        <v>0.49324499999999999</v>
      </c>
      <c r="CC37" s="549">
        <f t="shared" si="27"/>
        <v>0.35425499999999993</v>
      </c>
      <c r="CD37"/>
      <c r="CE37" s="670"/>
      <c r="CF37" s="670"/>
      <c r="CG37" s="670"/>
      <c r="CH37" s="670"/>
      <c r="CI37" s="670"/>
      <c r="CJ37" s="670"/>
      <c r="CK37" s="670"/>
      <c r="CL37" s="670"/>
      <c r="CM37" s="670"/>
      <c r="CN37" s="670"/>
      <c r="CO37" s="670"/>
      <c r="CP37" s="674"/>
      <c r="CQ37" s="670"/>
      <c r="CR37" s="670"/>
      <c r="CS37" s="675">
        <f t="shared" si="30"/>
        <v>0.49324499999999999</v>
      </c>
      <c r="CT37" s="670"/>
      <c r="CU37" s="675">
        <f t="shared" si="31"/>
        <v>0.35425499999999993</v>
      </c>
      <c r="CV37" s="675">
        <f t="shared" si="32"/>
        <v>0.15250000000000002</v>
      </c>
      <c r="CW37" s="670">
        <v>-1</v>
      </c>
      <c r="CX37" s="670"/>
      <c r="CY37" s="670"/>
      <c r="CZ37" s="670"/>
      <c r="DA37" s="670"/>
      <c r="DB37" s="670"/>
      <c r="DC37" s="670"/>
      <c r="DD37" s="670"/>
      <c r="DE37" s="671"/>
      <c r="DF37" s="671"/>
      <c r="DG37" s="670"/>
      <c r="DI37" s="393"/>
      <c r="DJ37" s="964"/>
      <c r="DK37" s="500">
        <v>0</v>
      </c>
      <c r="DL37" s="394" cm="1">
        <f t="array" ref="DL37">_xlfn.IFS(DM37=1,DK37,DM37=2,DJ37,DM37=0,DP37*SUMPRODUCT($DQ$5:$DX$5,DQ37:DX37))</f>
        <v>167.49775165464294</v>
      </c>
      <c r="DM37">
        <v>0</v>
      </c>
      <c r="DN37" s="291">
        <v>33</v>
      </c>
      <c r="DO37" s="525">
        <f>'FE - ACV Aluminum'!CN39</f>
        <v>0</v>
      </c>
      <c r="DP37" s="526">
        <v>2.8426745625449232</v>
      </c>
      <c r="DQ37" s="525">
        <f>'FE - ACV Aluminum'!$CN$112</f>
        <v>0</v>
      </c>
      <c r="DR37" s="525">
        <f>'FE - ACV Aluminum'!$CN$113</f>
        <v>0</v>
      </c>
      <c r="DS37" s="525">
        <f>'FE - ACV Aluminum'!$CN$114</f>
        <v>4.0000000000000001E-3</v>
      </c>
      <c r="DT37" s="525">
        <f>'FE - ACV Aluminum'!$CN$115</f>
        <v>0</v>
      </c>
      <c r="DU37" s="525">
        <f>'FE - ACV Aluminum'!$CN$116</f>
        <v>0</v>
      </c>
      <c r="DV37" s="525">
        <f>'FE - ACV Aluminum'!$CN$117</f>
        <v>0.56000000000000005</v>
      </c>
      <c r="DW37" s="525">
        <f>'FE - ACV Aluminum'!$CN$118</f>
        <v>0.436</v>
      </c>
      <c r="DX37" s="525">
        <f>'FE - ACV Aluminum'!$CN$119</f>
        <v>0</v>
      </c>
      <c r="DY37"/>
      <c r="DZ37" s="435">
        <v>0.3</v>
      </c>
      <c r="EA37" s="463">
        <v>2.8426745625449232</v>
      </c>
      <c r="EB37" s="462">
        <v>0.17606611985223911</v>
      </c>
      <c r="EC37" s="462">
        <v>0</v>
      </c>
      <c r="ED37" s="462">
        <v>0</v>
      </c>
      <c r="EE37" s="462">
        <v>0.46304024192914167</v>
      </c>
      <c r="EF37" s="462">
        <v>0</v>
      </c>
      <c r="EG37" s="462">
        <v>0.33933630340429605</v>
      </c>
      <c r="EH37" s="462">
        <v>2.1557334814323266E-2</v>
      </c>
      <c r="EI37" s="462">
        <v>0</v>
      </c>
      <c r="EK37"/>
      <c r="EL37"/>
      <c r="EM37"/>
      <c r="EN37"/>
      <c r="EO37"/>
      <c r="EP37"/>
      <c r="EQ37"/>
      <c r="ER37"/>
      <c r="ES37"/>
      <c r="ET37"/>
      <c r="EU37"/>
      <c r="EV37"/>
    </row>
    <row r="38" spans="1:152" s="297" customFormat="1" ht="25.05" customHeight="1" thickBot="1">
      <c r="B38" s="204"/>
      <c r="C38" s="204"/>
      <c r="D38" s="325"/>
      <c r="E38" s="751" t="s">
        <v>5514</v>
      </c>
      <c r="F38" s="319"/>
      <c r="G38" s="497"/>
      <c r="H38"/>
      <c r="I38" s="318" t="s">
        <v>478</v>
      </c>
      <c r="J38" s="318" t="s">
        <v>478</v>
      </c>
      <c r="K38" s="318" t="s">
        <v>478</v>
      </c>
      <c r="L38" s="318" t="s">
        <v>478</v>
      </c>
      <c r="M38" s="318" t="s">
        <v>478</v>
      </c>
      <c r="N38" s="318" t="s">
        <v>478</v>
      </c>
      <c r="O38" s="318" t="s">
        <v>478</v>
      </c>
      <c r="P38" s="318" t="s">
        <v>478</v>
      </c>
      <c r="Q38" s="318" t="s">
        <v>478</v>
      </c>
      <c r="R38" s="330"/>
      <c r="S38" s="400"/>
      <c r="T38" s="403"/>
      <c r="U38" s="403"/>
      <c r="V38" s="403"/>
      <c r="W38" s="402"/>
      <c r="X38" s="402"/>
      <c r="Y38" s="402"/>
      <c r="Z38"/>
      <c r="AA38" s="682"/>
      <c r="AB38" s="338"/>
      <c r="AC38" s="331"/>
      <c r="AD38" s="331"/>
      <c r="AE38" s="331"/>
      <c r="AF38" s="331"/>
      <c r="AG38" s="331"/>
      <c r="AH38" s="331"/>
      <c r="AI38" s="331"/>
      <c r="AJ38" s="331"/>
      <c r="AK38" s="331"/>
      <c r="AL38" s="331"/>
      <c r="AM38" s="331"/>
      <c r="AN38" s="331"/>
      <c r="AO38" s="331"/>
      <c r="AP38" s="331"/>
      <c r="AQ38" s="331"/>
      <c r="AR38" s="331"/>
      <c r="AS38" s="331"/>
      <c r="AT38" s="331"/>
      <c r="AU38" s="331"/>
      <c r="AV38" s="331"/>
      <c r="AW38" s="331"/>
      <c r="AX38" s="331"/>
      <c r="AY38" s="331"/>
      <c r="AZ38" s="331"/>
      <c r="BA38" s="331"/>
      <c r="BB38" s="331"/>
      <c r="BC38" s="331"/>
      <c r="BD38" s="331"/>
      <c r="BE38" s="331"/>
      <c r="BF38" s="331"/>
      <c r="BG38"/>
      <c r="BH38" s="748">
        <f>SUM(AS32:AS37)</f>
        <v>0</v>
      </c>
      <c r="BI38" s="748">
        <f>SUM(BI32:BI37)</f>
        <v>0</v>
      </c>
      <c r="BJ38" s="748">
        <f>SUM(BJ32:BJ37)</f>
        <v>0</v>
      </c>
      <c r="BK38" s="749">
        <f>IFERROR(+BI38/$BH$38,0)</f>
        <v>0</v>
      </c>
      <c r="BL38" s="749">
        <f>IFERROR(+BJ38/$BH$38,0)</f>
        <v>0</v>
      </c>
      <c r="BM38">
        <v>0</v>
      </c>
      <c r="BN38" s="204"/>
      <c r="BO38" s="399"/>
      <c r="BP38" s="399"/>
      <c r="BQ38" s="399"/>
      <c r="BR38" s="304"/>
      <c r="BS38" s="549"/>
      <c r="BT38" s="549"/>
      <c r="BU38" s="549"/>
      <c r="BV38" s="549"/>
      <c r="BW38" s="549"/>
      <c r="BX38" s="549"/>
      <c r="BY38" s="549"/>
      <c r="BZ38" s="549"/>
      <c r="CA38" s="549"/>
      <c r="CB38" s="549"/>
      <c r="CC38" s="549"/>
      <c r="CD38"/>
      <c r="CE38" s="670"/>
      <c r="CF38" s="670"/>
      <c r="CG38" s="670"/>
      <c r="CH38" s="670"/>
      <c r="CI38" s="670"/>
      <c r="CJ38" s="670"/>
      <c r="CK38" s="670"/>
      <c r="CL38" s="670"/>
      <c r="CM38" s="670"/>
      <c r="CN38" s="670"/>
      <c r="CO38" s="670"/>
      <c r="CP38" s="674"/>
      <c r="CQ38" s="670"/>
      <c r="CR38" s="670"/>
      <c r="CS38" s="675"/>
      <c r="CT38" s="670"/>
      <c r="CU38" s="675"/>
      <c r="CV38" s="675"/>
      <c r="CW38" s="670"/>
      <c r="CX38" s="670"/>
      <c r="CY38" s="670"/>
      <c r="CZ38" s="670"/>
      <c r="DA38" s="670"/>
      <c r="DB38" s="670"/>
      <c r="DC38" s="670"/>
      <c r="DD38" s="670"/>
      <c r="DE38" s="671"/>
      <c r="DF38" s="671"/>
      <c r="DG38" s="670"/>
      <c r="DI38" s="393"/>
      <c r="DJ38" s="964"/>
      <c r="DK38" s="500"/>
      <c r="DL38" s="394" cm="1">
        <f t="array" ref="DL38">_xlfn.IFS(DM38=1,DK38,DM38=2,DJ38,DM38=0,DP38*SUMPRODUCT($DQ$5:$DX$5,DQ38:DX38))</f>
        <v>0</v>
      </c>
      <c r="DM38">
        <v>0</v>
      </c>
      <c r="DN38" s="291">
        <v>34</v>
      </c>
      <c r="DO38" s="525"/>
      <c r="DP38" s="526"/>
      <c r="DQ38" s="525"/>
      <c r="DR38" s="525"/>
      <c r="DS38" s="525"/>
      <c r="DT38" s="525"/>
      <c r="DU38" s="525"/>
      <c r="DV38" s="525"/>
      <c r="DW38" s="525"/>
      <c r="DX38" s="525"/>
      <c r="DY38"/>
      <c r="DZ38" s="435"/>
      <c r="EA38" s="463"/>
      <c r="EB38" s="462"/>
      <c r="EC38" s="462"/>
      <c r="ED38" s="462"/>
      <c r="EE38" s="462"/>
      <c r="EF38" s="462"/>
      <c r="EG38" s="462"/>
      <c r="EH38" s="462"/>
      <c r="EI38" s="462"/>
      <c r="EK38"/>
      <c r="EL38"/>
      <c r="EM38"/>
      <c r="EN38"/>
      <c r="EO38"/>
      <c r="EP38"/>
      <c r="EQ38"/>
      <c r="ER38"/>
      <c r="ES38"/>
      <c r="ET38"/>
      <c r="EU38"/>
      <c r="EV38"/>
    </row>
    <row r="39" spans="1:152" s="297" customFormat="1" ht="25.05" customHeight="1" thickBot="1">
      <c r="B39" s="204"/>
      <c r="C39" s="204"/>
      <c r="D39" s="325"/>
      <c r="E39" s="754" t="s">
        <v>5549</v>
      </c>
      <c r="F39" s="319"/>
      <c r="G39" s="497"/>
      <c r="H39"/>
      <c r="I39" s="318" t="s">
        <v>478</v>
      </c>
      <c r="J39" s="318" t="s">
        <v>478</v>
      </c>
      <c r="K39" s="318" t="s">
        <v>478</v>
      </c>
      <c r="L39" s="318" t="s">
        <v>478</v>
      </c>
      <c r="M39" s="318" t="s">
        <v>478</v>
      </c>
      <c r="N39" s="318" t="s">
        <v>478</v>
      </c>
      <c r="O39" s="318" t="s">
        <v>478</v>
      </c>
      <c r="P39" s="318" t="s">
        <v>478</v>
      </c>
      <c r="Q39" s="318" t="s">
        <v>478</v>
      </c>
      <c r="R39" s="330"/>
      <c r="S39" s="400"/>
      <c r="T39" s="403"/>
      <c r="U39" s="403"/>
      <c r="V39" s="403"/>
      <c r="W39" s="402"/>
      <c r="X39" s="402"/>
      <c r="Y39" s="402"/>
      <c r="Z39"/>
      <c r="AA39" s="682"/>
      <c r="AB39" s="338"/>
      <c r="AC39" s="331"/>
      <c r="AD39" s="331"/>
      <c r="AE39" s="331"/>
      <c r="AF39" s="331"/>
      <c r="AG39" s="331"/>
      <c r="AH39" s="331"/>
      <c r="AI39" s="331"/>
      <c r="AJ39" s="331"/>
      <c r="AK39" s="331"/>
      <c r="AL39" s="331"/>
      <c r="AM39" s="331"/>
      <c r="AN39" s="331"/>
      <c r="AO39" s="331"/>
      <c r="AP39" s="331"/>
      <c r="AQ39" s="331"/>
      <c r="AR39" s="331"/>
      <c r="AS39" s="331"/>
      <c r="AT39" s="331"/>
      <c r="AU39" s="331"/>
      <c r="AV39" s="331"/>
      <c r="AW39" s="331"/>
      <c r="AX39" s="331"/>
      <c r="AY39" s="331"/>
      <c r="AZ39" s="331"/>
      <c r="BA39" s="331"/>
      <c r="BB39" s="331"/>
      <c r="BC39" s="331"/>
      <c r="BD39" s="331"/>
      <c r="BE39" s="331"/>
      <c r="BF39" s="331"/>
      <c r="BG39"/>
      <c r="BH39" s="748">
        <f>BH38+BH31</f>
        <v>1000.0000000000001</v>
      </c>
      <c r="BI39" s="748">
        <f>BI31+BI38</f>
        <v>50575.426416695271</v>
      </c>
      <c r="BJ39" s="748">
        <f>BJ31+BJ38</f>
        <v>3866567.2784148804</v>
      </c>
      <c r="BK39" s="749">
        <f>IFERROR(+BI39/$BH$39,0)</f>
        <v>50.575426416695265</v>
      </c>
      <c r="BL39" s="749">
        <f>IFERROR(+BJ39/$BH$39,0)</f>
        <v>3866.5672784148801</v>
      </c>
      <c r="BM39">
        <v>0</v>
      </c>
      <c r="BN39" s="204"/>
      <c r="BO39" s="399"/>
      <c r="BP39" s="399"/>
      <c r="BQ39" s="399"/>
      <c r="BR39" s="304"/>
      <c r="BS39" s="549"/>
      <c r="BT39" s="549"/>
      <c r="BU39" s="549"/>
      <c r="BV39" s="549"/>
      <c r="BW39" s="549"/>
      <c r="BX39" s="549"/>
      <c r="BY39" s="549"/>
      <c r="BZ39" s="549"/>
      <c r="CA39" s="549"/>
      <c r="CB39" s="549"/>
      <c r="CC39" s="549"/>
      <c r="CD39"/>
      <c r="CE39" s="670"/>
      <c r="CF39" s="670"/>
      <c r="CG39" s="670"/>
      <c r="CH39" s="670"/>
      <c r="CI39" s="670"/>
      <c r="CJ39" s="670"/>
      <c r="CK39" s="670"/>
      <c r="CL39" s="670"/>
      <c r="CM39" s="670"/>
      <c r="CN39" s="670"/>
      <c r="CO39" s="670"/>
      <c r="CP39" s="674"/>
      <c r="CQ39" s="670"/>
      <c r="CR39" s="670"/>
      <c r="CS39" s="675"/>
      <c r="CT39" s="670"/>
      <c r="CU39" s="675"/>
      <c r="CV39" s="675"/>
      <c r="CW39" s="670"/>
      <c r="CX39" s="670"/>
      <c r="CY39" s="670"/>
      <c r="CZ39" s="670"/>
      <c r="DA39" s="670"/>
      <c r="DB39" s="670"/>
      <c r="DC39" s="670"/>
      <c r="DD39" s="670"/>
      <c r="DE39" s="671"/>
      <c r="DF39" s="671"/>
      <c r="DG39" s="670"/>
      <c r="DI39" s="393"/>
      <c r="DJ39" s="964"/>
      <c r="DK39" s="500"/>
      <c r="DL39" s="394" cm="1">
        <f t="array" ref="DL39">_xlfn.IFS(DM39=1,DK39,DM39=2,DJ39,DM39=0,DP39*SUMPRODUCT($DQ$5:$DX$5,DQ39:DX39))</f>
        <v>0</v>
      </c>
      <c r="DM39">
        <v>0</v>
      </c>
      <c r="DN39" s="291">
        <v>35</v>
      </c>
      <c r="DO39" s="525"/>
      <c r="DP39" s="526"/>
      <c r="DQ39" s="525"/>
      <c r="DR39" s="525"/>
      <c r="DS39" s="525"/>
      <c r="DT39" s="525"/>
      <c r="DU39" s="525"/>
      <c r="DV39" s="525"/>
      <c r="DW39" s="525"/>
      <c r="DX39" s="525"/>
      <c r="DY39"/>
      <c r="DZ39" s="435"/>
      <c r="EA39" s="463"/>
      <c r="EB39" s="462"/>
      <c r="EC39" s="462"/>
      <c r="ED39" s="462"/>
      <c r="EE39" s="462"/>
      <c r="EF39" s="462"/>
      <c r="EG39" s="462"/>
      <c r="EH39" s="462"/>
      <c r="EI39" s="462"/>
      <c r="EK39"/>
      <c r="EL39"/>
      <c r="EM39"/>
      <c r="EN39"/>
      <c r="EO39"/>
      <c r="EP39"/>
      <c r="EQ39"/>
      <c r="ER39"/>
      <c r="ES39"/>
      <c r="ET39"/>
      <c r="EU39"/>
      <c r="EV39"/>
    </row>
    <row r="40" spans="1:152" s="297" customFormat="1" ht="25.05" customHeight="1" thickBot="1">
      <c r="B40" s="168" t="s">
        <v>530</v>
      </c>
      <c r="C40" s="204" t="s">
        <v>5567</v>
      </c>
      <c r="D40" s="325" t="s">
        <v>1106</v>
      </c>
      <c r="E40" s="324" t="s">
        <v>5812</v>
      </c>
      <c r="F40" s="319"/>
      <c r="G40" s="497" t="s">
        <v>5370</v>
      </c>
      <c r="H40"/>
      <c r="I40" s="318" t="s">
        <v>478</v>
      </c>
      <c r="J40" s="318" t="s">
        <v>478</v>
      </c>
      <c r="K40" s="318" t="s">
        <v>478</v>
      </c>
      <c r="L40" s="318" t="s">
        <v>478</v>
      </c>
      <c r="M40" s="353" t="s">
        <v>478</v>
      </c>
      <c r="N40" s="759">
        <f>DO40</f>
        <v>0.4</v>
      </c>
      <c r="O40" s="354" t="s">
        <v>478</v>
      </c>
      <c r="P40" s="318" t="s">
        <v>478</v>
      </c>
      <c r="Q40" s="318" t="s">
        <v>478</v>
      </c>
      <c r="R40" s="330"/>
      <c r="S40" s="400">
        <f t="shared" si="7"/>
        <v>8.8421554006597347E-2</v>
      </c>
      <c r="T40" s="403"/>
      <c r="U40" s="403"/>
      <c r="V40" s="403"/>
      <c r="W40" s="402"/>
      <c r="X40" s="402"/>
      <c r="Y40" s="402"/>
      <c r="Z40">
        <v>1571.4961467874016</v>
      </c>
      <c r="AA40" s="682">
        <f t="shared" ref="AA40:AA53" si="41">+BI40-Z40</f>
        <v>-70.856885231803062</v>
      </c>
      <c r="AB40" s="338">
        <f>S40*N40*(1-M37)</f>
        <v>3.5368621602638942E-2</v>
      </c>
      <c r="AC40" s="331"/>
      <c r="AD40" s="331"/>
      <c r="AE40" s="331"/>
      <c r="AF40" s="331"/>
      <c r="AG40" s="331"/>
      <c r="AH40" s="331"/>
      <c r="AI40" s="331"/>
      <c r="AJ40" s="331"/>
      <c r="AK40" s="331"/>
      <c r="AL40" s="331"/>
      <c r="AM40" s="331"/>
      <c r="AN40" s="331"/>
      <c r="AO40" s="331"/>
      <c r="AP40" s="331"/>
      <c r="AQ40" s="331"/>
      <c r="AR40" s="331"/>
      <c r="AS40" s="331"/>
      <c r="AT40" s="331"/>
      <c r="AU40" s="331"/>
      <c r="AV40" s="331">
        <f>-SUM(AV32:AV37)*N40</f>
        <v>400</v>
      </c>
      <c r="AW40" s="331">
        <f>-AV40</f>
        <v>-400</v>
      </c>
      <c r="AX40" s="331"/>
      <c r="AY40" s="331"/>
      <c r="AZ40" s="331"/>
      <c r="BA40" s="331"/>
      <c r="BB40" s="331"/>
      <c r="BC40" s="331"/>
      <c r="BD40" s="331"/>
      <c r="BE40" s="331"/>
      <c r="BF40" s="331"/>
      <c r="BG40"/>
      <c r="BH40" s="341">
        <f t="shared" ref="BH40:BH54" si="42">-SUMIF(AC40:AZ40,"&lt;0",AC40:AZ40)</f>
        <v>400</v>
      </c>
      <c r="BI40" s="341">
        <f t="shared" ref="BI40:BI54" si="43">$BH40*DP40</f>
        <v>1500.6392615555985</v>
      </c>
      <c r="BJ40" s="341">
        <f t="shared" ref="BJ40:BJ54" si="44">$BH40*DL40</f>
        <v>88421.554006597347</v>
      </c>
      <c r="BK40" s="336">
        <f t="shared" si="12"/>
        <v>1.5006392615555986</v>
      </c>
      <c r="BL40" s="336">
        <f t="shared" si="13"/>
        <v>8.8421554006597347E-2</v>
      </c>
      <c r="BM40">
        <v>1</v>
      </c>
      <c r="BN40" s="204"/>
      <c r="BO40" s="541"/>
      <c r="BP40" s="399"/>
      <c r="BQ40" s="399"/>
      <c r="BR40" s="304"/>
      <c r="BS40" s="204"/>
      <c r="BT40" s="204"/>
      <c r="BU40" s="204"/>
      <c r="BV40" s="204"/>
      <c r="BW40" s="204"/>
      <c r="BX40" s="204"/>
      <c r="BY40" s="204"/>
      <c r="BZ40" s="204"/>
      <c r="CA40" s="204"/>
      <c r="CB40" s="546"/>
      <c r="CC40" s="551"/>
      <c r="CD40"/>
      <c r="CE40" s="670"/>
      <c r="CF40" s="670"/>
      <c r="CG40" s="670"/>
      <c r="CH40" s="670"/>
      <c r="CI40" s="670"/>
      <c r="CJ40" s="670"/>
      <c r="CK40" s="670"/>
      <c r="CL40" s="670"/>
      <c r="CM40" s="670"/>
      <c r="CN40" s="670"/>
      <c r="CO40" s="670"/>
      <c r="CP40" s="672"/>
      <c r="CQ40" s="670"/>
      <c r="CR40" s="670"/>
      <c r="CS40" s="670"/>
      <c r="CT40" s="670"/>
      <c r="CU40" s="670"/>
      <c r="CV40" s="670"/>
      <c r="CW40" s="670">
        <v>1</v>
      </c>
      <c r="CX40" s="670">
        <v>-1</v>
      </c>
      <c r="CY40" s="670"/>
      <c r="CZ40" s="670"/>
      <c r="DA40" s="670"/>
      <c r="DB40" s="670"/>
      <c r="DC40" s="670"/>
      <c r="DD40" s="670"/>
      <c r="DE40" s="671"/>
      <c r="DF40" s="671"/>
      <c r="DG40" s="670"/>
      <c r="DI40" s="393"/>
      <c r="DJ40" s="964"/>
      <c r="DK40" s="500" t="e">
        <f>VLOOKUP(C40,'Ecoinvent Processes'!$B$1:$N$28,8,FALSE)*1000</f>
        <v>#N/A</v>
      </c>
      <c r="DL40" s="394" cm="1">
        <f t="array" ref="DL40">_xlfn.IFS(DM40=1,DK40,DM40=2,DJ40,DM40=0,DP40*SUMPRODUCT($DQ$5:$DX$5,DQ40:DX40))</f>
        <v>221.05388501649335</v>
      </c>
      <c r="DM40">
        <v>0</v>
      </c>
      <c r="DN40" s="291">
        <v>36</v>
      </c>
      <c r="DO40" s="525">
        <f>SUM(DO41:DO42)</f>
        <v>0.4</v>
      </c>
      <c r="DP40" s="526">
        <v>3.7515981538889962</v>
      </c>
      <c r="DQ40" s="525">
        <f>'FE - ACV Aluminum'!$CN$112</f>
        <v>0</v>
      </c>
      <c r="DR40" s="525">
        <f>'FE - ACV Aluminum'!$CN$113</f>
        <v>0</v>
      </c>
      <c r="DS40" s="525">
        <f>'FE - ACV Aluminum'!$CN$114</f>
        <v>4.0000000000000001E-3</v>
      </c>
      <c r="DT40" s="525">
        <f>'FE - ACV Aluminum'!$CN$115</f>
        <v>0</v>
      </c>
      <c r="DU40" s="525">
        <f>'FE - ACV Aluminum'!$CN$116</f>
        <v>0</v>
      </c>
      <c r="DV40" s="525">
        <f>'FE - ACV Aluminum'!$CN$117</f>
        <v>0.56000000000000005</v>
      </c>
      <c r="DW40" s="525">
        <f>'FE - ACV Aluminum'!$CN$118</f>
        <v>0.436</v>
      </c>
      <c r="DX40" s="525">
        <f>'FE - ACV Aluminum'!$CN$119</f>
        <v>0</v>
      </c>
      <c r="DY40"/>
      <c r="DZ40" s="461">
        <v>0.32</v>
      </c>
      <c r="EA40" s="446">
        <v>2.620898774165866</v>
      </c>
      <c r="EB40" s="447">
        <v>0</v>
      </c>
      <c r="EC40" s="447">
        <v>0</v>
      </c>
      <c r="ED40" s="447">
        <v>1.0547202745760298E-3</v>
      </c>
      <c r="EE40" s="447">
        <v>0.21959344627893509</v>
      </c>
      <c r="EF40" s="447">
        <v>7.7266459156078493E-2</v>
      </c>
      <c r="EG40" s="447">
        <v>0.70208537429041051</v>
      </c>
      <c r="EH40" s="447">
        <v>0</v>
      </c>
      <c r="EI40" s="447">
        <v>0</v>
      </c>
      <c r="EK40"/>
      <c r="EL40"/>
      <c r="EM40"/>
      <c r="EN40"/>
      <c r="EO40"/>
      <c r="EP40"/>
      <c r="EQ40"/>
      <c r="ER40"/>
      <c r="ES40"/>
      <c r="ET40"/>
      <c r="EU40"/>
      <c r="EV40"/>
    </row>
    <row r="41" spans="1:152" s="297" customFormat="1" ht="25.05" customHeight="1">
      <c r="A41" s="297" t="s">
        <v>645</v>
      </c>
      <c r="B41" s="204" t="s">
        <v>523</v>
      </c>
      <c r="C41" s="204" t="s">
        <v>5258</v>
      </c>
      <c r="D41" s="325" t="s">
        <v>5257</v>
      </c>
      <c r="E41" s="342" t="s">
        <v>557</v>
      </c>
      <c r="F41" s="319"/>
      <c r="G41" s="497" t="str">
        <f>VLOOKUP(C41,'Ecoinvent Processes'!$B$1:$N$28,1,FALSE)</f>
        <v>Aluminum Sheet</v>
      </c>
      <c r="H41"/>
      <c r="I41" s="318" t="s">
        <v>478</v>
      </c>
      <c r="J41" s="318" t="s">
        <v>478</v>
      </c>
      <c r="K41" s="318" t="s">
        <v>478</v>
      </c>
      <c r="L41" s="318" t="s">
        <v>478</v>
      </c>
      <c r="M41" s="318" t="s">
        <v>478</v>
      </c>
      <c r="N41" s="730" t="s">
        <v>478</v>
      </c>
      <c r="O41" s="737">
        <f>DO41</f>
        <v>0.26500000000000001</v>
      </c>
      <c r="P41" s="757" t="s">
        <v>478</v>
      </c>
      <c r="Q41" s="318" t="s">
        <v>478</v>
      </c>
      <c r="R41" s="330"/>
      <c r="S41" s="400">
        <f t="shared" si="7"/>
        <v>6.0615047060756488E-2</v>
      </c>
      <c r="T41" s="403"/>
      <c r="U41" s="403"/>
      <c r="V41" s="403"/>
      <c r="W41" s="402"/>
      <c r="X41" s="402"/>
      <c r="Y41" s="402"/>
      <c r="Z41">
        <v>2676.8577457439997</v>
      </c>
      <c r="AA41" s="682">
        <f t="shared" si="41"/>
        <v>-1648.1343707440012</v>
      </c>
      <c r="AB41" s="338">
        <f>S41*O41</f>
        <v>1.6062987471100472E-2</v>
      </c>
      <c r="AC41" s="331"/>
      <c r="AD41" s="331"/>
      <c r="AE41" s="331"/>
      <c r="AF41" s="331"/>
      <c r="AG41" s="331"/>
      <c r="AH41" s="331"/>
      <c r="AI41" s="331"/>
      <c r="AJ41" s="331"/>
      <c r="AK41" s="331"/>
      <c r="AL41" s="331"/>
      <c r="AM41" s="331"/>
      <c r="AN41" s="331"/>
      <c r="AO41" s="331"/>
      <c r="AP41" s="331"/>
      <c r="AQ41" s="331"/>
      <c r="AR41" s="331"/>
      <c r="AS41" s="331"/>
      <c r="AT41" s="331"/>
      <c r="AU41" s="331"/>
      <c r="AV41" s="331"/>
      <c r="AW41" s="331">
        <f>$AV$10*O41</f>
        <v>265</v>
      </c>
      <c r="AX41" s="331">
        <f>-AW41</f>
        <v>-265</v>
      </c>
      <c r="AY41" s="331"/>
      <c r="AZ41" s="331"/>
      <c r="BA41" s="331"/>
      <c r="BB41" s="331"/>
      <c r="BC41" s="331"/>
      <c r="BD41" s="331"/>
      <c r="BE41" s="331"/>
      <c r="BF41" s="331"/>
      <c r="BG41">
        <f t="shared" ref="BG41:BG42" si="45">BI41/BH41</f>
        <v>3.881974999999994</v>
      </c>
      <c r="BH41" s="341">
        <f t="shared" si="42"/>
        <v>265</v>
      </c>
      <c r="BI41" s="341">
        <f t="shared" si="43"/>
        <v>1028.7233749999984</v>
      </c>
      <c r="BJ41" s="341">
        <f t="shared" si="44"/>
        <v>60615.047060756486</v>
      </c>
      <c r="BK41" s="336">
        <f t="shared" si="12"/>
        <v>1.0287233749999984</v>
      </c>
      <c r="BL41" s="336">
        <f t="shared" si="13"/>
        <v>6.0615047060756488E-2</v>
      </c>
      <c r="BM41">
        <v>1</v>
      </c>
      <c r="BN41" s="204"/>
      <c r="BO41" s="541"/>
      <c r="BP41" s="399"/>
      <c r="BQ41" s="399"/>
      <c r="BR41" s="304"/>
      <c r="BS41" s="387"/>
      <c r="BT41" s="387"/>
      <c r="BU41" s="387"/>
      <c r="BV41" s="387"/>
      <c r="BW41" s="387"/>
      <c r="BX41" s="387"/>
      <c r="BY41" s="387"/>
      <c r="BZ41" s="387"/>
      <c r="CA41" s="387"/>
      <c r="CB41" s="387"/>
      <c r="CC41" s="387"/>
      <c r="CD41"/>
      <c r="CE41" s="670"/>
      <c r="CF41" s="670"/>
      <c r="CG41" s="670"/>
      <c r="CH41" s="670"/>
      <c r="CI41" s="670"/>
      <c r="CJ41" s="670"/>
      <c r="CK41" s="670"/>
      <c r="CL41" s="670"/>
      <c r="CM41" s="670"/>
      <c r="CN41" s="670"/>
      <c r="CO41" s="670"/>
      <c r="CP41" s="670"/>
      <c r="CQ41" s="670"/>
      <c r="CR41" s="670"/>
      <c r="CS41" s="670"/>
      <c r="CT41" s="670"/>
      <c r="CU41" s="670"/>
      <c r="CV41" s="670"/>
      <c r="CW41" s="670"/>
      <c r="CX41" s="670">
        <v>1</v>
      </c>
      <c r="CY41" s="670">
        <v>-1</v>
      </c>
      <c r="CZ41" s="670"/>
      <c r="DA41" s="670"/>
      <c r="DB41" s="670"/>
      <c r="DC41" s="670"/>
      <c r="DD41" s="670"/>
      <c r="DE41" s="671"/>
      <c r="DF41" s="671"/>
      <c r="DG41" s="670"/>
      <c r="DI41" s="393"/>
      <c r="DJ41" s="964"/>
      <c r="DK41" s="500">
        <f>VLOOKUP(C41,'Ecoinvent Processes'!$B$1:$N$28,8,FALSE)*1000</f>
        <v>478.08</v>
      </c>
      <c r="DL41" s="394" cm="1">
        <f t="array" ref="DL41">_xlfn.IFS(DM41=1,DK41,DM41=2,DJ41,DM41=0,DP41*SUMPRODUCT($DQ$5:$DX$5,DQ41:DX41))</f>
        <v>228.7360266443641</v>
      </c>
      <c r="DM41">
        <v>0</v>
      </c>
      <c r="DN41" s="291">
        <v>38</v>
      </c>
      <c r="DO41" s="525">
        <f>'FE - ACV Aluminum'!CN40</f>
        <v>0.26500000000000001</v>
      </c>
      <c r="DP41" s="526">
        <f>'FE - ACV Aluminum'!CN62</f>
        <v>3.8819749999999944</v>
      </c>
      <c r="DQ41" s="525">
        <f>'FE - ACV Aluminum'!$CN$112</f>
        <v>0</v>
      </c>
      <c r="DR41" s="525">
        <f>'FE - ACV Aluminum'!$CN$113</f>
        <v>0</v>
      </c>
      <c r="DS41" s="525">
        <f>'FE - ACV Aluminum'!$CN$114</f>
        <v>4.0000000000000001E-3</v>
      </c>
      <c r="DT41" s="525">
        <f>'FE - ACV Aluminum'!$CN$115</f>
        <v>0</v>
      </c>
      <c r="DU41" s="525">
        <f>'FE - ACV Aluminum'!$CN$116</f>
        <v>0</v>
      </c>
      <c r="DV41" s="525">
        <f>'FE - ACV Aluminum'!$CN$117</f>
        <v>0.56000000000000005</v>
      </c>
      <c r="DW41" s="525">
        <f>'FE - ACV Aluminum'!$CN$118</f>
        <v>0.436</v>
      </c>
      <c r="DX41" s="525">
        <f>'FE - ACV Aluminum'!$CN$119</f>
        <v>0</v>
      </c>
      <c r="DY41"/>
      <c r="DZ41" s="461">
        <v>0.53600000000000003</v>
      </c>
      <c r="EA41" s="446">
        <v>5.2001200000000001</v>
      </c>
      <c r="EB41" s="447">
        <v>0</v>
      </c>
      <c r="EC41" s="447">
        <v>0</v>
      </c>
      <c r="ED41" s="447">
        <v>0</v>
      </c>
      <c r="EE41" s="447">
        <v>0.1452307692</v>
      </c>
      <c r="EF41" s="447">
        <v>0</v>
      </c>
      <c r="EG41" s="447">
        <v>0.85477258217118057</v>
      </c>
      <c r="EH41" s="447">
        <v>0</v>
      </c>
      <c r="EI41" s="447">
        <v>0</v>
      </c>
      <c r="EK41"/>
      <c r="EL41"/>
      <c r="EM41"/>
      <c r="EN41"/>
      <c r="EO41"/>
      <c r="EP41"/>
      <c r="EQ41"/>
      <c r="ER41"/>
      <c r="ES41"/>
      <c r="ET41"/>
    </row>
    <row r="42" spans="1:152" s="297" customFormat="1" ht="25.05" customHeight="1" thickBot="1">
      <c r="A42" s="297" t="s">
        <v>645</v>
      </c>
      <c r="B42" s="204" t="s">
        <v>523</v>
      </c>
      <c r="C42" s="204" t="s">
        <v>5272</v>
      </c>
      <c r="D42" s="325" t="s">
        <v>5259</v>
      </c>
      <c r="E42" s="324" t="s">
        <v>525</v>
      </c>
      <c r="F42" s="319"/>
      <c r="G42" s="497" t="str">
        <f>VLOOKUP(C42,'Ecoinvent Processes'!$B$1:$N$28,1,FALSE)</f>
        <v>Aluminum Rod/Bar</v>
      </c>
      <c r="H42"/>
      <c r="I42" s="318" t="s">
        <v>478</v>
      </c>
      <c r="J42" s="318" t="s">
        <v>478</v>
      </c>
      <c r="K42" s="318" t="s">
        <v>478</v>
      </c>
      <c r="L42" s="318" t="s">
        <v>478</v>
      </c>
      <c r="M42" s="318" t="s">
        <v>478</v>
      </c>
      <c r="N42" s="353" t="s">
        <v>478</v>
      </c>
      <c r="O42" s="738">
        <f>DO42</f>
        <v>0.13500000000000001</v>
      </c>
      <c r="P42" s="758" t="s">
        <v>478</v>
      </c>
      <c r="Q42" s="318" t="s">
        <v>478</v>
      </c>
      <c r="R42" s="330"/>
      <c r="S42" s="400">
        <f t="shared" si="7"/>
        <v>5.4332081058473897E-2</v>
      </c>
      <c r="T42" s="403"/>
      <c r="U42" s="403"/>
      <c r="V42" s="403"/>
      <c r="W42" s="402"/>
      <c r="X42" s="402"/>
      <c r="Y42" s="402"/>
      <c r="Z42">
        <v>1717.4904991086009</v>
      </c>
      <c r="AA42" s="682">
        <f t="shared" si="41"/>
        <v>-795.39797410860126</v>
      </c>
      <c r="AB42" s="338">
        <f>S42*O42</f>
        <v>7.334830942893977E-3</v>
      </c>
      <c r="AC42" s="331"/>
      <c r="AD42" s="331"/>
      <c r="AE42" s="331"/>
      <c r="AF42" s="331"/>
      <c r="AG42" s="331"/>
      <c r="AH42" s="331"/>
      <c r="AI42" s="331"/>
      <c r="AJ42" s="331"/>
      <c r="AK42" s="331"/>
      <c r="AL42" s="331"/>
      <c r="AM42" s="331"/>
      <c r="AN42" s="331"/>
      <c r="AO42" s="331"/>
      <c r="AP42" s="331"/>
      <c r="AQ42" s="331"/>
      <c r="AR42" s="331"/>
      <c r="AS42" s="331"/>
      <c r="AT42" s="331"/>
      <c r="AU42" s="331"/>
      <c r="AV42" s="331"/>
      <c r="AW42" s="331">
        <f>$AV$10*O42</f>
        <v>135</v>
      </c>
      <c r="AX42" s="331">
        <f>-AW42</f>
        <v>-135</v>
      </c>
      <c r="AY42" s="331"/>
      <c r="AZ42" s="331"/>
      <c r="BA42" s="331"/>
      <c r="BB42" s="331"/>
      <c r="BC42" s="331"/>
      <c r="BD42" s="331"/>
      <c r="BE42" s="331"/>
      <c r="BF42" s="331"/>
      <c r="BG42">
        <f t="shared" si="45"/>
        <v>6.8303149999999979</v>
      </c>
      <c r="BH42" s="341">
        <f t="shared" si="42"/>
        <v>135</v>
      </c>
      <c r="BI42" s="341">
        <f t="shared" si="43"/>
        <v>922.09252499999968</v>
      </c>
      <c r="BJ42" s="341">
        <f t="shared" si="44"/>
        <v>54332.081058473894</v>
      </c>
      <c r="BK42" s="336">
        <f t="shared" si="12"/>
        <v>0.92209252499999972</v>
      </c>
      <c r="BL42" s="336">
        <f t="shared" si="13"/>
        <v>5.4332081058473897E-2</v>
      </c>
      <c r="BM42">
        <v>1</v>
      </c>
      <c r="BN42" s="204"/>
      <c r="BO42" s="541"/>
      <c r="BP42" s="399"/>
      <c r="BQ42" s="399"/>
      <c r="BR42" s="304"/>
      <c r="BS42" s="387"/>
      <c r="BT42" s="387"/>
      <c r="BU42" s="387"/>
      <c r="BV42" s="387"/>
      <c r="BW42" s="387"/>
      <c r="BX42" s="387"/>
      <c r="BY42" s="387"/>
      <c r="BZ42" s="387"/>
      <c r="CA42" s="387"/>
      <c r="CB42" s="387"/>
      <c r="CC42" s="387"/>
      <c r="CD42"/>
      <c r="CE42" s="670"/>
      <c r="CF42" s="670"/>
      <c r="CG42" s="670"/>
      <c r="CH42" s="670"/>
      <c r="CI42" s="670"/>
      <c r="CJ42" s="670"/>
      <c r="CK42" s="670"/>
      <c r="CL42" s="670"/>
      <c r="CM42" s="670"/>
      <c r="CN42" s="670"/>
      <c r="CO42" s="670"/>
      <c r="CP42" s="676"/>
      <c r="CQ42" s="670"/>
      <c r="CR42" s="670"/>
      <c r="CS42" s="670"/>
      <c r="CT42" s="670"/>
      <c r="CU42" s="670"/>
      <c r="CV42" s="670"/>
      <c r="CW42" s="670"/>
      <c r="CX42" s="670">
        <v>1</v>
      </c>
      <c r="CY42" s="670">
        <v>-1</v>
      </c>
      <c r="CZ42" s="670"/>
      <c r="DA42" s="670"/>
      <c r="DB42" s="670"/>
      <c r="DC42" s="670"/>
      <c r="DD42" s="670"/>
      <c r="DE42" s="671"/>
      <c r="DF42" s="671"/>
      <c r="DG42" s="670"/>
      <c r="DI42" s="393"/>
      <c r="DJ42" s="964"/>
      <c r="DK42" s="500">
        <f>VLOOKUP(C42,'Ecoinvent Processes'!$B$1:$N$28,8,FALSE)*1000</f>
        <v>804.86</v>
      </c>
      <c r="DL42" s="394" cm="1">
        <f t="array" ref="DL42">_xlfn.IFS(DM42=1,DK42,DM42=2,DJ42,DM42=0,DP42*SUMPRODUCT($DQ$5:$DX$5,DQ42:DX42))</f>
        <v>402.45985969239922</v>
      </c>
      <c r="DM42">
        <v>0</v>
      </c>
      <c r="DN42" s="291">
        <v>39</v>
      </c>
      <c r="DO42" s="525">
        <f>'FE - ACV Aluminum'!CN41</f>
        <v>0.13500000000000001</v>
      </c>
      <c r="DP42" s="526">
        <f>'FE - ACV Aluminum'!CN63</f>
        <v>6.8303149999999979</v>
      </c>
      <c r="DQ42" s="525">
        <f>'FE - ACV Aluminum'!$CN$112</f>
        <v>0</v>
      </c>
      <c r="DR42" s="525">
        <f>'FE - ACV Aluminum'!$CN$113</f>
        <v>0</v>
      </c>
      <c r="DS42" s="525">
        <f>'FE - ACV Aluminum'!$CN$114</f>
        <v>4.0000000000000001E-3</v>
      </c>
      <c r="DT42" s="525">
        <f>'FE - ACV Aluminum'!$CN$115</f>
        <v>0</v>
      </c>
      <c r="DU42" s="525">
        <f>'FE - ACV Aluminum'!$CN$116</f>
        <v>0</v>
      </c>
      <c r="DV42" s="525">
        <f>'FE - ACV Aluminum'!$CN$117</f>
        <v>0.56000000000000005</v>
      </c>
      <c r="DW42" s="525">
        <f>'FE - ACV Aluminum'!$CN$118</f>
        <v>0.436</v>
      </c>
      <c r="DX42" s="525">
        <f>'FE - ACV Aluminum'!$CN$119</f>
        <v>0</v>
      </c>
      <c r="DY42"/>
      <c r="DZ42" s="435">
        <v>0.33799999999999997</v>
      </c>
      <c r="EA42" s="446">
        <v>1.8972</v>
      </c>
      <c r="EB42" s="447">
        <v>0</v>
      </c>
      <c r="EC42" s="447">
        <v>0</v>
      </c>
      <c r="ED42" s="447">
        <v>0</v>
      </c>
      <c r="EE42" s="447">
        <v>0</v>
      </c>
      <c r="EF42" s="447">
        <v>0</v>
      </c>
      <c r="EG42" s="447">
        <v>1</v>
      </c>
      <c r="EH42" s="447">
        <v>0</v>
      </c>
      <c r="EI42" s="447">
        <v>0</v>
      </c>
      <c r="EK42"/>
      <c r="EL42"/>
      <c r="EM42"/>
      <c r="EN42"/>
      <c r="EO42"/>
      <c r="EP42"/>
      <c r="EQ42"/>
      <c r="ER42"/>
      <c r="ES42"/>
      <c r="ET42"/>
    </row>
    <row r="43" spans="1:152" s="297" customFormat="1" ht="25.05" customHeight="1" thickBot="1">
      <c r="B43" s="204"/>
      <c r="C43" s="204"/>
      <c r="D43" s="325"/>
      <c r="E43" s="754" t="s">
        <v>5551</v>
      </c>
      <c r="F43" s="319"/>
      <c r="G43" s="497"/>
      <c r="H43"/>
      <c r="I43" s="318" t="s">
        <v>478</v>
      </c>
      <c r="J43" s="318" t="s">
        <v>478</v>
      </c>
      <c r="K43" s="318" t="s">
        <v>478</v>
      </c>
      <c r="L43" s="318" t="s">
        <v>478</v>
      </c>
      <c r="M43" s="318" t="s">
        <v>478</v>
      </c>
      <c r="N43" s="318" t="s">
        <v>478</v>
      </c>
      <c r="O43" s="318" t="s">
        <v>478</v>
      </c>
      <c r="P43" s="318" t="s">
        <v>478</v>
      </c>
      <c r="Q43" s="318" t="s">
        <v>478</v>
      </c>
      <c r="R43" s="330"/>
      <c r="S43" s="400"/>
      <c r="T43" s="403"/>
      <c r="U43" s="403"/>
      <c r="V43" s="403"/>
      <c r="W43" s="402"/>
      <c r="X43" s="402"/>
      <c r="Y43" s="402"/>
      <c r="Z43"/>
      <c r="AA43" s="682"/>
      <c r="AB43" s="338"/>
      <c r="AC43" s="331"/>
      <c r="AD43" s="331"/>
      <c r="AE43" s="331"/>
      <c r="AF43" s="331"/>
      <c r="AG43" s="331"/>
      <c r="AH43" s="331"/>
      <c r="AI43" s="331"/>
      <c r="AJ43" s="331"/>
      <c r="AK43" s="331"/>
      <c r="AL43" s="331"/>
      <c r="AM43" s="331"/>
      <c r="AN43" s="331"/>
      <c r="AO43" s="331"/>
      <c r="AP43" s="331"/>
      <c r="AQ43" s="331"/>
      <c r="AR43" s="331"/>
      <c r="AS43" s="331"/>
      <c r="AT43" s="331"/>
      <c r="AU43" s="331"/>
      <c r="AV43" s="331"/>
      <c r="AW43" s="331"/>
      <c r="AX43" s="331"/>
      <c r="AY43" s="331"/>
      <c r="AZ43" s="331"/>
      <c r="BA43" s="331"/>
      <c r="BB43" s="331"/>
      <c r="BC43" s="331"/>
      <c r="BD43" s="331"/>
      <c r="BE43" s="331"/>
      <c r="BF43" s="331"/>
      <c r="BG43"/>
      <c r="BH43" s="748">
        <f>BH39</f>
        <v>1000.0000000000001</v>
      </c>
      <c r="BI43" s="748">
        <f>BI39+SUM(BI40:BI42)</f>
        <v>54026.881578250868</v>
      </c>
      <c r="BJ43" s="748">
        <f>BJ39+SUM(BJ40:BJ42)</f>
        <v>4069935.9605407082</v>
      </c>
      <c r="BK43" s="749">
        <f>IFERROR(+BI43/$BH$43,0)</f>
        <v>54.026881578250865</v>
      </c>
      <c r="BL43" s="749">
        <f>IFERROR(+BJ43/$BH$43,0)</f>
        <v>4069.9359605407076</v>
      </c>
      <c r="BM43">
        <v>0</v>
      </c>
      <c r="BN43" s="204"/>
      <c r="BO43" s="399"/>
      <c r="BP43" s="399"/>
      <c r="BQ43" s="399"/>
      <c r="BR43" s="304"/>
      <c r="BS43" s="387"/>
      <c r="BT43" s="387"/>
      <c r="BU43" s="387"/>
      <c r="BV43" s="387"/>
      <c r="BW43" s="387"/>
      <c r="BX43" s="387"/>
      <c r="BY43" s="387"/>
      <c r="BZ43" s="387"/>
      <c r="CA43" s="387"/>
      <c r="CB43" s="387"/>
      <c r="CC43" s="387"/>
      <c r="CD43"/>
      <c r="CE43" s="670"/>
      <c r="CF43" s="670"/>
      <c r="CG43" s="670"/>
      <c r="CH43" s="670"/>
      <c r="CI43" s="670"/>
      <c r="CJ43" s="670"/>
      <c r="CK43" s="670"/>
      <c r="CL43" s="670"/>
      <c r="CM43" s="670"/>
      <c r="CN43" s="670"/>
      <c r="CO43" s="670"/>
      <c r="CP43" s="676"/>
      <c r="CQ43" s="670"/>
      <c r="CR43" s="670"/>
      <c r="CS43" s="670"/>
      <c r="CT43" s="670"/>
      <c r="CU43" s="670"/>
      <c r="CV43" s="670"/>
      <c r="CW43" s="670"/>
      <c r="CX43" s="670"/>
      <c r="CY43" s="670"/>
      <c r="CZ43" s="670"/>
      <c r="DA43" s="670"/>
      <c r="DB43" s="670"/>
      <c r="DC43" s="670"/>
      <c r="DD43" s="670"/>
      <c r="DE43" s="671"/>
      <c r="DF43" s="671"/>
      <c r="DG43" s="670"/>
      <c r="DI43" s="393"/>
      <c r="DJ43" s="964"/>
      <c r="DK43" s="500"/>
      <c r="DL43" s="394" cm="1">
        <f t="array" ref="DL43">_xlfn.IFS(DM43=1,DK43,DM43=2,DJ43,DM43=0,DP43*SUMPRODUCT($DQ$5:$DX$5,DQ43:DX43))</f>
        <v>0</v>
      </c>
      <c r="DM43">
        <v>0</v>
      </c>
      <c r="DN43" s="291">
        <v>40</v>
      </c>
      <c r="DO43" s="525"/>
      <c r="DP43" s="526"/>
      <c r="DQ43" s="525"/>
      <c r="DR43" s="525"/>
      <c r="DS43" s="525"/>
      <c r="DT43" s="525"/>
      <c r="DU43" s="525"/>
      <c r="DV43" s="525"/>
      <c r="DW43" s="525"/>
      <c r="DX43" s="525"/>
      <c r="DY43"/>
      <c r="DZ43" s="435"/>
      <c r="EA43" s="446"/>
      <c r="EB43" s="447"/>
      <c r="EC43" s="447"/>
      <c r="ED43" s="447"/>
      <c r="EE43" s="447"/>
      <c r="EF43" s="447"/>
      <c r="EG43" s="447"/>
      <c r="EH43" s="447"/>
      <c r="EI43" s="447"/>
      <c r="EK43"/>
      <c r="EL43"/>
      <c r="EM43"/>
      <c r="EN43"/>
      <c r="EO43"/>
      <c r="EP43"/>
      <c r="EQ43"/>
      <c r="ER43"/>
      <c r="ES43"/>
      <c r="ET43"/>
    </row>
    <row r="44" spans="1:152" s="297" customFormat="1" ht="25.05" customHeight="1" thickBot="1">
      <c r="B44" s="204"/>
      <c r="C44" s="204"/>
      <c r="D44" s="325"/>
      <c r="E44" s="324" t="s">
        <v>5550</v>
      </c>
      <c r="F44" s="319"/>
      <c r="G44" s="497"/>
      <c r="H44"/>
      <c r="I44" s="318" t="s">
        <v>478</v>
      </c>
      <c r="J44" s="318" t="s">
        <v>478</v>
      </c>
      <c r="K44" s="318" t="s">
        <v>478</v>
      </c>
      <c r="L44" s="318" t="s">
        <v>478</v>
      </c>
      <c r="M44" s="318" t="s">
        <v>478</v>
      </c>
      <c r="N44" s="759">
        <f>DO44</f>
        <v>0.6</v>
      </c>
      <c r="O44" s="318" t="s">
        <v>478</v>
      </c>
      <c r="P44" s="731" t="s">
        <v>478</v>
      </c>
      <c r="Q44" s="318" t="s">
        <v>478</v>
      </c>
      <c r="R44" s="330"/>
      <c r="S44" s="400">
        <f t="shared" si="7"/>
        <v>0.11353490693643482</v>
      </c>
      <c r="T44" s="403"/>
      <c r="U44" s="403"/>
      <c r="V44" s="403"/>
      <c r="W44" s="402"/>
      <c r="X44" s="402"/>
      <c r="Y44" s="402"/>
      <c r="Z44"/>
      <c r="AA44" s="682"/>
      <c r="AB44" s="338" t="e">
        <f>S44*N44*(1-M41)</f>
        <v>#VALUE!</v>
      </c>
      <c r="AC44" s="331"/>
      <c r="AD44" s="331"/>
      <c r="AE44" s="331"/>
      <c r="AF44" s="331"/>
      <c r="AG44" s="331"/>
      <c r="AH44" s="331"/>
      <c r="AI44" s="331"/>
      <c r="AJ44" s="331"/>
      <c r="AK44" s="331"/>
      <c r="AL44" s="331"/>
      <c r="AM44" s="331"/>
      <c r="AN44" s="331"/>
      <c r="AO44" s="331"/>
      <c r="AP44" s="331"/>
      <c r="AQ44" s="331"/>
      <c r="AR44" s="331"/>
      <c r="AS44" s="331"/>
      <c r="AT44" s="331"/>
      <c r="AU44" s="331"/>
      <c r="AV44" s="331">
        <f>$AV$10*DO44</f>
        <v>600</v>
      </c>
      <c r="AW44" s="331">
        <f>-AV44</f>
        <v>-600</v>
      </c>
      <c r="AX44" s="331"/>
      <c r="AY44" s="331"/>
      <c r="AZ44" s="331"/>
      <c r="BA44" s="331"/>
      <c r="BB44" s="331"/>
      <c r="BC44" s="331"/>
      <c r="BD44" s="331"/>
      <c r="BE44" s="331"/>
      <c r="BF44" s="331"/>
      <c r="BG44"/>
      <c r="BH44" s="341">
        <f t="shared" ref="BH44" si="46">-SUMIF(AC44:AZ44,"&lt;0",AC44:AZ44)</f>
        <v>600</v>
      </c>
      <c r="BI44" s="341">
        <f t="shared" ref="BI44" si="47">$BH44*DP44</f>
        <v>1572.5392644995195</v>
      </c>
      <c r="BJ44" s="341">
        <f t="shared" ref="BJ44" si="48">$BH44*DL44</f>
        <v>113534.90693643483</v>
      </c>
      <c r="BK44" s="336">
        <f t="shared" ref="BK44" si="49">IFERROR(+BI44/$AV$10,0)</f>
        <v>1.5725392644995195</v>
      </c>
      <c r="BL44" s="336">
        <f t="shared" ref="BL44" si="50">IFERROR((+BJ44/$AV$10)/1000,0)</f>
        <v>0.11353490693643482</v>
      </c>
      <c r="BM44">
        <v>1</v>
      </c>
      <c r="BN44" s="204"/>
      <c r="BO44" s="541"/>
      <c r="BP44" s="399"/>
      <c r="BQ44" s="399"/>
      <c r="BR44" s="304"/>
      <c r="BS44" s="387"/>
      <c r="BT44" s="387"/>
      <c r="BU44" s="387"/>
      <c r="BV44" s="387"/>
      <c r="BW44" s="387"/>
      <c r="BX44" s="387"/>
      <c r="BY44" s="387"/>
      <c r="BZ44" s="387"/>
      <c r="CA44" s="387"/>
      <c r="CB44" s="387"/>
      <c r="CC44" s="387"/>
      <c r="CD44"/>
      <c r="CE44" s="670"/>
      <c r="CF44" s="670"/>
      <c r="CG44" s="670"/>
      <c r="CH44" s="670"/>
      <c r="CI44" s="670"/>
      <c r="CJ44" s="670"/>
      <c r="CK44" s="670"/>
      <c r="CL44" s="670"/>
      <c r="CM44" s="670"/>
      <c r="CN44" s="670"/>
      <c r="CO44" s="670"/>
      <c r="CP44" s="676"/>
      <c r="CQ44" s="670"/>
      <c r="CR44" s="670"/>
      <c r="CS44" s="670"/>
      <c r="CT44" s="670"/>
      <c r="CU44" s="670"/>
      <c r="CV44" s="670"/>
      <c r="CW44" s="670"/>
      <c r="CX44" s="670"/>
      <c r="CY44" s="670"/>
      <c r="CZ44" s="670"/>
      <c r="DA44" s="670"/>
      <c r="DB44" s="670"/>
      <c r="DC44" s="670"/>
      <c r="DD44" s="670"/>
      <c r="DE44" s="671"/>
      <c r="DF44" s="671"/>
      <c r="DG44" s="670"/>
      <c r="DI44" s="393"/>
      <c r="DJ44" s="964"/>
      <c r="DK44" s="500"/>
      <c r="DL44" s="394" cm="1">
        <f t="array" ref="DL44">_xlfn.IFS(DM44=1,DK44,DM44=2,DJ44,DM44=0,DP44*SUMPRODUCT($DQ$5:$DX$5,DQ44:DX44))</f>
        <v>189.22484489405804</v>
      </c>
      <c r="DM44">
        <v>0</v>
      </c>
      <c r="DN44" s="291">
        <v>41</v>
      </c>
      <c r="DO44" s="525">
        <f>DO45</f>
        <v>0.6</v>
      </c>
      <c r="DP44" s="526">
        <v>2.620898774165866</v>
      </c>
      <c r="DQ44" s="525">
        <f>'FE - ACV Aluminum'!$CN$122</f>
        <v>0</v>
      </c>
      <c r="DR44" s="525">
        <f>'FE - ACV Aluminum'!$CN$123</f>
        <v>0</v>
      </c>
      <c r="DS44" s="525">
        <f>'FE - ACV Aluminum'!$CN$124</f>
        <v>0</v>
      </c>
      <c r="DT44" s="525">
        <f>'FE - ACV Aluminum'!$CN$125</f>
        <v>0.16</v>
      </c>
      <c r="DU44" s="525">
        <f>'FE - ACV Aluminum'!$CN$126</f>
        <v>0</v>
      </c>
      <c r="DV44" s="525">
        <f>'FE - ACV Aluminum'!$CN$127</f>
        <v>0.11</v>
      </c>
      <c r="DW44" s="525">
        <f>'FE - ACV Aluminum'!$CN$128</f>
        <v>0.73</v>
      </c>
      <c r="DX44" s="525">
        <f>'FE - ACV Aluminum'!$CN$129</f>
        <v>0</v>
      </c>
      <c r="DY44"/>
      <c r="DZ44" s="435"/>
      <c r="EA44" s="446"/>
      <c r="EB44" s="447"/>
      <c r="EC44" s="447"/>
      <c r="ED44" s="447"/>
      <c r="EE44" s="447"/>
      <c r="EF44" s="447"/>
      <c r="EG44" s="447"/>
      <c r="EH44" s="447"/>
      <c r="EI44" s="447"/>
      <c r="EK44"/>
      <c r="EL44"/>
      <c r="EM44"/>
      <c r="EN44"/>
      <c r="EO44"/>
      <c r="EP44"/>
      <c r="EQ44"/>
      <c r="ER44"/>
      <c r="ES44"/>
      <c r="ET44"/>
    </row>
    <row r="45" spans="1:152" s="297" customFormat="1" ht="25.05" customHeight="1" thickBot="1">
      <c r="A45" s="297" t="s">
        <v>645</v>
      </c>
      <c r="B45" s="204" t="s">
        <v>522</v>
      </c>
      <c r="C45" s="204" t="s">
        <v>5256</v>
      </c>
      <c r="D45" s="325" t="s">
        <v>5179</v>
      </c>
      <c r="E45" s="324" t="s">
        <v>5475</v>
      </c>
      <c r="F45" s="319"/>
      <c r="G45" s="497" t="str">
        <f>VLOOKUP(C45,'Ecoinvent Processes'!$B$1:$N$28,1,FALSE)</f>
        <v>Cast Aluminium</v>
      </c>
      <c r="H45"/>
      <c r="I45" s="318" t="s">
        <v>478</v>
      </c>
      <c r="J45" s="318" t="s">
        <v>478</v>
      </c>
      <c r="K45" s="318" t="s">
        <v>478</v>
      </c>
      <c r="L45" s="318" t="s">
        <v>478</v>
      </c>
      <c r="M45" s="318" t="s">
        <v>478</v>
      </c>
      <c r="N45" s="318" t="s">
        <v>478</v>
      </c>
      <c r="O45" s="759">
        <f>DO45</f>
        <v>0.6</v>
      </c>
      <c r="P45" s="758" t="s">
        <v>478</v>
      </c>
      <c r="Q45" s="354" t="s">
        <v>478</v>
      </c>
      <c r="R45" s="330"/>
      <c r="S45" s="400">
        <f>BL45</f>
        <v>0.21175568752994911</v>
      </c>
      <c r="T45" s="403"/>
      <c r="U45" s="403"/>
      <c r="V45" s="403"/>
      <c r="W45" s="402"/>
      <c r="X45" s="402"/>
      <c r="Y45" s="402"/>
      <c r="Z45">
        <v>2931.0214452365994</v>
      </c>
      <c r="AA45" s="682">
        <f>+BI45-Z45</f>
        <v>1.9455347634002464</v>
      </c>
      <c r="AB45" s="338">
        <f>S45*O45</f>
        <v>0.12705341251796945</v>
      </c>
      <c r="AC45" s="331"/>
      <c r="AD45" s="331"/>
      <c r="AE45" s="331"/>
      <c r="AF45" s="331"/>
      <c r="AG45" s="331"/>
      <c r="AH45" s="331"/>
      <c r="AI45" s="331"/>
      <c r="AJ45" s="331"/>
      <c r="AK45" s="331"/>
      <c r="AL45" s="331"/>
      <c r="AM45" s="331"/>
      <c r="AN45" s="331"/>
      <c r="AO45" s="331"/>
      <c r="AP45" s="331"/>
      <c r="AQ45" s="331"/>
      <c r="AR45" s="331"/>
      <c r="AS45" s="331"/>
      <c r="AT45" s="331"/>
      <c r="AU45" s="331"/>
      <c r="AV45" s="331"/>
      <c r="AW45" s="331">
        <f>-AW44</f>
        <v>600</v>
      </c>
      <c r="AX45" s="331">
        <f>-AW45</f>
        <v>-600</v>
      </c>
      <c r="AY45" s="331"/>
      <c r="AZ45" s="331"/>
      <c r="BA45" s="331"/>
      <c r="BB45" s="331"/>
      <c r="BC45" s="331"/>
      <c r="BD45" s="331"/>
      <c r="BE45" s="331"/>
      <c r="BF45" s="331"/>
      <c r="BG45"/>
      <c r="BH45" s="341">
        <f>-SUMIF(AC45:AZ45,"&lt;0",AC45:AZ45)</f>
        <v>600</v>
      </c>
      <c r="BI45" s="341">
        <f>$BH45*DP45</f>
        <v>2932.9669799999997</v>
      </c>
      <c r="BJ45" s="341">
        <f>$BH45*DL45</f>
        <v>211755.68752994912</v>
      </c>
      <c r="BK45" s="336">
        <f>IFERROR(+BI45/$AV$10,0)</f>
        <v>2.9329669799999998</v>
      </c>
      <c r="BL45" s="336">
        <f>IFERROR((+BJ45/$AV$10)/1000,0)</f>
        <v>0.21175568752994911</v>
      </c>
      <c r="BM45">
        <v>1</v>
      </c>
      <c r="BN45" s="204"/>
      <c r="BO45" s="541"/>
      <c r="BP45" s="399"/>
      <c r="BQ45" s="399"/>
      <c r="BR45" s="304"/>
      <c r="BS45" s="387"/>
      <c r="BT45" s="387"/>
      <c r="BU45" s="387"/>
      <c r="BV45" s="387"/>
      <c r="BW45" s="387"/>
      <c r="BX45" s="387"/>
      <c r="BY45" s="387"/>
      <c r="BZ45" s="387"/>
      <c r="CA45" s="387"/>
      <c r="CB45" s="387"/>
      <c r="CC45" s="387"/>
      <c r="CD45"/>
      <c r="CE45" s="670"/>
      <c r="CF45" s="670"/>
      <c r="CG45" s="670"/>
      <c r="CH45" s="670"/>
      <c r="CI45" s="670"/>
      <c r="CJ45" s="670"/>
      <c r="CK45" s="670"/>
      <c r="CL45" s="670"/>
      <c r="CM45" s="670"/>
      <c r="CN45" s="670"/>
      <c r="CO45" s="670"/>
      <c r="CP45" s="676"/>
      <c r="CQ45" s="670"/>
      <c r="CR45" s="670"/>
      <c r="CS45" s="670"/>
      <c r="CT45" s="670"/>
      <c r="CU45" s="670"/>
      <c r="CV45" s="670"/>
      <c r="CW45" s="670"/>
      <c r="CX45" s="670">
        <v>1</v>
      </c>
      <c r="CY45" s="670">
        <v>-1</v>
      </c>
      <c r="CZ45" s="670"/>
      <c r="DA45" s="670"/>
      <c r="DB45" s="670"/>
      <c r="DC45" s="670"/>
      <c r="DD45" s="670"/>
      <c r="DE45" s="671"/>
      <c r="DF45" s="671"/>
      <c r="DG45" s="670"/>
      <c r="DI45" s="393"/>
      <c r="DJ45" s="964"/>
      <c r="DK45" s="500">
        <f>VLOOKUP(C45,'Ecoinvent Processes'!$B$1:$N$28,8,FALSE)*1000</f>
        <v>33318.03</v>
      </c>
      <c r="DL45" s="394" cm="1">
        <f t="array" ref="DL45">_xlfn.IFS(DM45=1,DK45,DM45=2,DJ45,DM45=0,DP45*SUMPRODUCT($DQ$5:$DX$5,DQ45:DX45))</f>
        <v>352.92614588324852</v>
      </c>
      <c r="DM45">
        <v>0</v>
      </c>
      <c r="DN45" s="291">
        <v>42</v>
      </c>
      <c r="DO45" s="525">
        <f>'FE - ACV Aluminum'!CN42</f>
        <v>0.6</v>
      </c>
      <c r="DP45" s="526">
        <f>'FE - ACV Aluminum'!CN61</f>
        <v>4.8882782999999996</v>
      </c>
      <c r="DQ45" s="525">
        <f>'FE - ACV Aluminum'!$CN$122</f>
        <v>0</v>
      </c>
      <c r="DR45" s="525">
        <f>'FE - ACV Aluminum'!$CN$123</f>
        <v>0</v>
      </c>
      <c r="DS45" s="525">
        <f>'FE - ACV Aluminum'!$CN$124</f>
        <v>0</v>
      </c>
      <c r="DT45" s="525">
        <f>'FE - ACV Aluminum'!$CN$125</f>
        <v>0.16</v>
      </c>
      <c r="DU45" s="525">
        <f>'FE - ACV Aluminum'!$CN$126</f>
        <v>0</v>
      </c>
      <c r="DV45" s="525">
        <f>'FE - ACV Aluminum'!$CN$127</f>
        <v>0.11</v>
      </c>
      <c r="DW45" s="525">
        <f>'FE - ACV Aluminum'!$CN$128</f>
        <v>0.73</v>
      </c>
      <c r="DX45" s="525">
        <f>'FE - ACV Aluminum'!$CN$129</f>
        <v>0</v>
      </c>
      <c r="DY45"/>
      <c r="DZ45" s="436">
        <v>0.126</v>
      </c>
      <c r="EA45" s="446">
        <v>46.828742924872699</v>
      </c>
      <c r="EB45" s="447">
        <v>0</v>
      </c>
      <c r="EC45" s="447">
        <v>0</v>
      </c>
      <c r="ED45" s="447">
        <v>5.1094374066317184E-3</v>
      </c>
      <c r="EE45" s="447">
        <v>0.30773733316767382</v>
      </c>
      <c r="EF45" s="447">
        <v>0</v>
      </c>
      <c r="EG45" s="447">
        <v>0.68715322942569446</v>
      </c>
      <c r="EH45" s="447">
        <v>0</v>
      </c>
      <c r="EI45" s="447">
        <v>0</v>
      </c>
      <c r="EK45"/>
      <c r="EL45"/>
      <c r="EN45"/>
      <c r="EO45"/>
      <c r="EP45"/>
      <c r="EQ45"/>
      <c r="ER45"/>
      <c r="ES45"/>
      <c r="ET45"/>
    </row>
    <row r="46" spans="1:152" s="297" customFormat="1" ht="24.6" customHeight="1" thickBot="1">
      <c r="B46" s="204" t="s">
        <v>515</v>
      </c>
      <c r="C46" s="204" t="s">
        <v>5199</v>
      </c>
      <c r="D46" s="325"/>
      <c r="E46" s="724" t="s">
        <v>526</v>
      </c>
      <c r="F46" s="319"/>
      <c r="G46" s="497" t="e">
        <f>VLOOKUP(C46,'Ecoinvent Processes'!$B$1:$N$28,1,FALSE)</f>
        <v>#N/A</v>
      </c>
      <c r="H46"/>
      <c r="I46" s="318" t="s">
        <v>478</v>
      </c>
      <c r="J46" s="318" t="s">
        <v>478</v>
      </c>
      <c r="K46" s="318" t="s">
        <v>478</v>
      </c>
      <c r="L46" s="318" t="s">
        <v>478</v>
      </c>
      <c r="M46" s="318" t="s">
        <v>478</v>
      </c>
      <c r="N46" s="320" t="s">
        <v>478</v>
      </c>
      <c r="O46" s="760" t="s">
        <v>478</v>
      </c>
      <c r="P46" s="759">
        <f t="shared" ref="P46:P51" si="51">DO46</f>
        <v>1</v>
      </c>
      <c r="Q46" s="354" t="s">
        <v>478</v>
      </c>
      <c r="R46" s="330"/>
      <c r="S46" s="400">
        <f t="shared" si="7"/>
        <v>0</v>
      </c>
      <c r="T46" s="403"/>
      <c r="U46" s="403"/>
      <c r="V46" s="403"/>
      <c r="W46" s="402"/>
      <c r="X46" s="402"/>
      <c r="Y46" s="402"/>
      <c r="Z46">
        <v>0</v>
      </c>
      <c r="AA46" s="682">
        <f t="shared" si="41"/>
        <v>0</v>
      </c>
      <c r="AB46" s="338">
        <f>S46*P46</f>
        <v>0</v>
      </c>
      <c r="AC46" s="331"/>
      <c r="AD46" s="331"/>
      <c r="AE46" s="331"/>
      <c r="AF46" s="331"/>
      <c r="AG46" s="331"/>
      <c r="AH46" s="331"/>
      <c r="AI46" s="331"/>
      <c r="AJ46" s="331"/>
      <c r="AK46" s="331"/>
      <c r="AL46" s="331"/>
      <c r="AM46" s="331"/>
      <c r="AN46" s="331"/>
      <c r="AO46" s="331"/>
      <c r="AP46" s="331"/>
      <c r="AQ46" s="331"/>
      <c r="AR46" s="331"/>
      <c r="AS46" s="331"/>
      <c r="AT46" s="331"/>
      <c r="AU46" s="331"/>
      <c r="AV46" s="331"/>
      <c r="AW46" s="331"/>
      <c r="AX46" s="331">
        <f>-SUM($AX$41:$AX$45)*P46</f>
        <v>1000</v>
      </c>
      <c r="AY46" s="331">
        <f>-AX46</f>
        <v>-1000</v>
      </c>
      <c r="AZ46" s="331"/>
      <c r="BA46" s="331"/>
      <c r="BB46" s="331"/>
      <c r="BC46" s="331"/>
      <c r="BD46" s="331"/>
      <c r="BE46" s="331"/>
      <c r="BF46" s="331"/>
      <c r="BG46"/>
      <c r="BH46" s="341">
        <f t="shared" si="42"/>
        <v>1000</v>
      </c>
      <c r="BI46" s="341">
        <f t="shared" si="43"/>
        <v>0</v>
      </c>
      <c r="BJ46" s="341">
        <f t="shared" si="44"/>
        <v>0</v>
      </c>
      <c r="BK46" s="336">
        <f t="shared" si="12"/>
        <v>0</v>
      </c>
      <c r="BL46" s="336">
        <f t="shared" si="13"/>
        <v>0</v>
      </c>
      <c r="BM46">
        <v>1</v>
      </c>
      <c r="BN46" s="204"/>
      <c r="BO46" s="541"/>
      <c r="BP46" s="399"/>
      <c r="BQ46" s="399"/>
      <c r="BR46" s="304"/>
      <c r="BS46" s="387"/>
      <c r="BT46" s="387"/>
      <c r="BU46" s="387"/>
      <c r="BV46" s="387"/>
      <c r="BW46" s="387"/>
      <c r="BX46" s="387"/>
      <c r="BY46" s="387"/>
      <c r="BZ46" s="387"/>
      <c r="CA46" s="387"/>
      <c r="CB46" s="387"/>
      <c r="CC46" s="387"/>
      <c r="CD46"/>
      <c r="CE46" s="670"/>
      <c r="CF46" s="670"/>
      <c r="CG46" s="670"/>
      <c r="CH46" s="670"/>
      <c r="CI46" s="670"/>
      <c r="CJ46" s="670"/>
      <c r="CK46" s="670"/>
      <c r="CL46" s="670"/>
      <c r="CM46" s="670"/>
      <c r="CN46" s="670"/>
      <c r="CO46" s="670"/>
      <c r="CP46" s="676"/>
      <c r="CQ46" s="670"/>
      <c r="CR46" s="670"/>
      <c r="CS46" s="670"/>
      <c r="CT46" s="670"/>
      <c r="CU46" s="670"/>
      <c r="CV46" s="670"/>
      <c r="CW46" s="670"/>
      <c r="CX46" s="670"/>
      <c r="CY46" s="670">
        <v>1</v>
      </c>
      <c r="CZ46" s="670">
        <v>-1</v>
      </c>
      <c r="DA46" s="670"/>
      <c r="DB46" s="670"/>
      <c r="DC46" s="670"/>
      <c r="DD46" s="670"/>
      <c r="DE46" s="671"/>
      <c r="DF46" s="671"/>
      <c r="DG46" s="670"/>
      <c r="DI46" s="393"/>
      <c r="DJ46" s="964"/>
      <c r="DK46" s="500">
        <v>0</v>
      </c>
      <c r="DL46" s="394" cm="1">
        <f t="array" ref="DL46">_xlfn.IFS(DM46=1,DK46,DM46=2,DJ46,DM46=0,DP46*SUMPRODUCT($DQ$5:$DX$5,DQ46:DX46))</f>
        <v>0</v>
      </c>
      <c r="DM46">
        <v>0</v>
      </c>
      <c r="DN46" s="291">
        <v>43</v>
      </c>
      <c r="DO46" s="525">
        <f>'FE - ACV Aluminum'!CN43</f>
        <v>1</v>
      </c>
      <c r="DP46" s="526">
        <v>0</v>
      </c>
      <c r="DQ46" s="525">
        <f>'FE - ACV Aluminum'!$CN$122</f>
        <v>0</v>
      </c>
      <c r="DR46" s="525">
        <f>'FE - ACV Aluminum'!$CN$123</f>
        <v>0</v>
      </c>
      <c r="DS46" s="525">
        <f>'FE - ACV Aluminum'!$CN$124</f>
        <v>0</v>
      </c>
      <c r="DT46" s="525">
        <f>'FE - ACV Aluminum'!$CN$125</f>
        <v>0.16</v>
      </c>
      <c r="DU46" s="525">
        <f>'FE - ACV Aluminum'!$CN$126</f>
        <v>0</v>
      </c>
      <c r="DV46" s="525">
        <f>'FE - ACV Aluminum'!$CN$127</f>
        <v>0.11</v>
      </c>
      <c r="DW46" s="525">
        <f>'FE - ACV Aluminum'!$CN$128</f>
        <v>0.73</v>
      </c>
      <c r="DX46" s="525">
        <f>'FE - ACV Aluminum'!$CN$129</f>
        <v>0</v>
      </c>
      <c r="DY46"/>
      <c r="DZ46" s="435">
        <f>1-SUM(DZ47:DZ51)</f>
        <v>0.20000000000000007</v>
      </c>
      <c r="EA46" s="446">
        <v>0</v>
      </c>
      <c r="EB46" s="447">
        <v>0</v>
      </c>
      <c r="EC46" s="447">
        <v>0</v>
      </c>
      <c r="ED46" s="447">
        <v>0</v>
      </c>
      <c r="EE46" s="447">
        <v>0</v>
      </c>
      <c r="EF46" s="447">
        <v>0</v>
      </c>
      <c r="EG46" s="447">
        <v>0</v>
      </c>
      <c r="EH46" s="447">
        <v>0</v>
      </c>
      <c r="EI46" s="447">
        <v>0</v>
      </c>
      <c r="EK46"/>
      <c r="EL46"/>
      <c r="EM46"/>
      <c r="EN46"/>
      <c r="EO46"/>
      <c r="EP46"/>
      <c r="EQ46"/>
      <c r="ER46"/>
      <c r="ES46"/>
      <c r="ET46"/>
    </row>
    <row r="47" spans="1:152" s="297" customFormat="1" ht="25.05" customHeight="1">
      <c r="B47" s="204" t="s">
        <v>515</v>
      </c>
      <c r="C47" s="204" t="s">
        <v>5260</v>
      </c>
      <c r="D47" s="325"/>
      <c r="E47" s="725" t="s">
        <v>196</v>
      </c>
      <c r="F47" s="319"/>
      <c r="G47" s="497" t="str">
        <f>VLOOKUP(C47,'Ecoinvent Processes'!$B$1:$N$28,1,FALSE)</f>
        <v xml:space="preserve">Aluminum Stamping </v>
      </c>
      <c r="H47"/>
      <c r="I47" s="318" t="s">
        <v>478</v>
      </c>
      <c r="J47" s="318" t="s">
        <v>478</v>
      </c>
      <c r="K47" s="318" t="s">
        <v>478</v>
      </c>
      <c r="L47" s="318" t="s">
        <v>478</v>
      </c>
      <c r="M47" s="318" t="s">
        <v>478</v>
      </c>
      <c r="N47" s="318" t="s">
        <v>478</v>
      </c>
      <c r="O47" s="730" t="s">
        <v>478</v>
      </c>
      <c r="P47" s="732">
        <f t="shared" si="51"/>
        <v>0</v>
      </c>
      <c r="Q47" s="354" t="s">
        <v>478</v>
      </c>
      <c r="R47" s="330"/>
      <c r="S47" s="400">
        <f t="shared" si="7"/>
        <v>0</v>
      </c>
      <c r="T47" s="403"/>
      <c r="U47" s="403"/>
      <c r="V47" s="403"/>
      <c r="W47" s="402"/>
      <c r="X47" s="402"/>
      <c r="Y47" s="402"/>
      <c r="Z47">
        <v>630</v>
      </c>
      <c r="AA47" s="682">
        <f t="shared" si="41"/>
        <v>-630</v>
      </c>
      <c r="AB47" s="338">
        <f>S47*P47</f>
        <v>0</v>
      </c>
      <c r="AC47" s="331"/>
      <c r="AD47" s="331"/>
      <c r="AE47" s="331"/>
      <c r="AF47" s="331"/>
      <c r="AG47" s="331"/>
      <c r="AH47" s="331"/>
      <c r="AI47" s="331"/>
      <c r="AJ47" s="331"/>
      <c r="AK47" s="331"/>
      <c r="AL47" s="331"/>
      <c r="AM47" s="331"/>
      <c r="AN47" s="331"/>
      <c r="AO47" s="331"/>
      <c r="AP47" s="331"/>
      <c r="AQ47" s="331"/>
      <c r="AR47" s="331"/>
      <c r="AS47" s="331"/>
      <c r="AT47" s="331"/>
      <c r="AU47" s="331"/>
      <c r="AV47" s="331"/>
      <c r="AW47" s="331"/>
      <c r="AX47" s="331">
        <f t="shared" ref="AX47:AX51" si="52">-SUM($AX$41:$AX$45)*P47</f>
        <v>0</v>
      </c>
      <c r="AY47" s="331">
        <f>-AX47</f>
        <v>0</v>
      </c>
      <c r="AZ47" s="331"/>
      <c r="BA47" s="331"/>
      <c r="BB47" s="331"/>
      <c r="BC47" s="331"/>
      <c r="BD47" s="331"/>
      <c r="BE47" s="331"/>
      <c r="BF47" s="331"/>
      <c r="BG47"/>
      <c r="BH47" s="341">
        <f t="shared" si="42"/>
        <v>0</v>
      </c>
      <c r="BI47" s="341">
        <f>$BH47*DP47</f>
        <v>0</v>
      </c>
      <c r="BJ47" s="341">
        <f t="shared" si="44"/>
        <v>0</v>
      </c>
      <c r="BK47" s="336">
        <f t="shared" si="12"/>
        <v>0</v>
      </c>
      <c r="BL47" s="336">
        <f t="shared" si="13"/>
        <v>0</v>
      </c>
      <c r="BM47">
        <v>1</v>
      </c>
      <c r="BN47" s="204"/>
      <c r="BO47" s="541"/>
      <c r="BP47" s="399"/>
      <c r="BQ47" s="399"/>
      <c r="BR47" s="304"/>
      <c r="BS47" s="387"/>
      <c r="BT47" s="387"/>
      <c r="BU47" s="387"/>
      <c r="BV47" s="387"/>
      <c r="BW47" s="387"/>
      <c r="BX47" s="387"/>
      <c r="BY47" s="387"/>
      <c r="BZ47" s="387"/>
      <c r="CA47" s="387"/>
      <c r="CB47" s="387"/>
      <c r="CC47" s="387"/>
      <c r="CD47"/>
      <c r="CE47" s="670"/>
      <c r="CF47" s="670"/>
      <c r="CG47" s="670"/>
      <c r="CH47" s="670"/>
      <c r="CI47" s="670"/>
      <c r="CJ47" s="670"/>
      <c r="CK47" s="670"/>
      <c r="CL47" s="670"/>
      <c r="CM47" s="670"/>
      <c r="CN47" s="670"/>
      <c r="CO47" s="670"/>
      <c r="CP47" s="676"/>
      <c r="CQ47" s="670"/>
      <c r="CR47" s="670"/>
      <c r="CS47" s="670"/>
      <c r="CT47" s="670"/>
      <c r="CU47" s="670"/>
      <c r="CV47" s="670"/>
      <c r="CW47" s="670"/>
      <c r="CX47" s="670"/>
      <c r="CY47" s="670">
        <v>1</v>
      </c>
      <c r="CZ47" s="670">
        <v>-1</v>
      </c>
      <c r="DA47" s="670"/>
      <c r="DB47" s="670"/>
      <c r="DC47" s="670"/>
      <c r="DD47" s="670"/>
      <c r="DE47" s="671"/>
      <c r="DF47" s="671"/>
      <c r="DG47" s="670"/>
      <c r="DI47" s="393"/>
      <c r="DJ47" s="964"/>
      <c r="DK47" s="500">
        <f>VLOOKUP(C47,'Ecoinvent Processes'!$B$1:$N$28,8,FALSE)*1000</f>
        <v>203.44</v>
      </c>
      <c r="DL47" s="394" cm="1">
        <f t="array" ref="DL47">_xlfn.IFS(DM47=1,DK47,DM47=2,DJ47,DM47=0,DP47*SUMPRODUCT($DQ$5:$DX$5,DQ47:DX47))</f>
        <v>129.95722084600777</v>
      </c>
      <c r="DM47">
        <v>0</v>
      </c>
      <c r="DN47" s="291">
        <v>44</v>
      </c>
      <c r="DO47" s="525">
        <f>'FE - ACV Aluminum'!CN44</f>
        <v>0</v>
      </c>
      <c r="DP47" s="526">
        <v>1.8</v>
      </c>
      <c r="DQ47" s="525">
        <f>'FE - ACV Aluminum'!$CN$122</f>
        <v>0</v>
      </c>
      <c r="DR47" s="525">
        <f>'FE - ACV Aluminum'!$CN$123</f>
        <v>0</v>
      </c>
      <c r="DS47" s="525">
        <f>'FE - ACV Aluminum'!$CN$124</f>
        <v>0</v>
      </c>
      <c r="DT47" s="525">
        <f>'FE - ACV Aluminum'!$CN$125</f>
        <v>0.16</v>
      </c>
      <c r="DU47" s="525">
        <f>'FE - ACV Aluminum'!$CN$126</f>
        <v>0</v>
      </c>
      <c r="DV47" s="525">
        <f>'FE - ACV Aluminum'!$CN$127</f>
        <v>0.11</v>
      </c>
      <c r="DW47" s="525">
        <f>'FE - ACV Aluminum'!$CN$128</f>
        <v>0.73</v>
      </c>
      <c r="DX47" s="525">
        <f>'FE - ACV Aluminum'!$CN$129</f>
        <v>0</v>
      </c>
      <c r="DY47"/>
      <c r="DZ47" s="461">
        <v>0.35</v>
      </c>
      <c r="EA47" s="446">
        <v>1.8</v>
      </c>
      <c r="EB47" s="447">
        <v>0</v>
      </c>
      <c r="EC47" s="447">
        <v>0</v>
      </c>
      <c r="ED47" s="447">
        <v>0</v>
      </c>
      <c r="EE47" s="447">
        <v>0</v>
      </c>
      <c r="EF47" s="447">
        <v>0</v>
      </c>
      <c r="EG47" s="447">
        <v>1</v>
      </c>
      <c r="EH47" s="447">
        <v>0</v>
      </c>
      <c r="EI47" s="447">
        <v>0</v>
      </c>
      <c r="EK47"/>
      <c r="EL47"/>
      <c r="EM47"/>
      <c r="EN47"/>
      <c r="EO47"/>
      <c r="EP47"/>
      <c r="EQ47"/>
      <c r="ER47"/>
      <c r="ES47"/>
      <c r="ET47"/>
    </row>
    <row r="48" spans="1:152" s="297" customFormat="1" ht="25.05" customHeight="1">
      <c r="B48" s="204"/>
      <c r="C48" s="204" t="s">
        <v>5261</v>
      </c>
      <c r="D48" s="325" t="s">
        <v>5153</v>
      </c>
      <c r="E48" s="726" t="s">
        <v>5193</v>
      </c>
      <c r="F48" s="319"/>
      <c r="G48" s="497" t="str">
        <f>VLOOKUP(C48,'Ecoinvent Processes'!$B$1:$N$28,1,FALSE)</f>
        <v>Aluminum Drilling</v>
      </c>
      <c r="H48"/>
      <c r="I48" s="318" t="s">
        <v>478</v>
      </c>
      <c r="J48" s="318" t="s">
        <v>478</v>
      </c>
      <c r="K48" s="318" t="s">
        <v>478</v>
      </c>
      <c r="L48" s="318" t="s">
        <v>478</v>
      </c>
      <c r="M48" s="318" t="s">
        <v>478</v>
      </c>
      <c r="N48" s="318" t="s">
        <v>478</v>
      </c>
      <c r="O48" s="353" t="s">
        <v>478</v>
      </c>
      <c r="P48" s="733">
        <f t="shared" si="51"/>
        <v>0</v>
      </c>
      <c r="Q48" s="354" t="s">
        <v>478</v>
      </c>
      <c r="R48" s="330"/>
      <c r="S48" s="400">
        <f t="shared" si="7"/>
        <v>0</v>
      </c>
      <c r="T48" s="403"/>
      <c r="U48" s="403"/>
      <c r="V48" s="403"/>
      <c r="W48" s="402"/>
      <c r="X48" s="402"/>
      <c r="Y48" s="402"/>
      <c r="Z48">
        <v>82.414238039831517</v>
      </c>
      <c r="AA48" s="682">
        <f t="shared" si="41"/>
        <v>-82.414238039831517</v>
      </c>
      <c r="AB48" s="338">
        <f t="shared" ref="AB48:AB50" si="53">S48*P48</f>
        <v>0</v>
      </c>
      <c r="AC48" s="331"/>
      <c r="AD48" s="331"/>
      <c r="AE48" s="331"/>
      <c r="AF48" s="331"/>
      <c r="AG48" s="331"/>
      <c r="AH48" s="331"/>
      <c r="AI48" s="331"/>
      <c r="AJ48" s="331"/>
      <c r="AK48" s="331"/>
      <c r="AL48" s="331"/>
      <c r="AM48" s="331"/>
      <c r="AN48" s="331"/>
      <c r="AO48" s="331"/>
      <c r="AP48" s="331"/>
      <c r="AQ48" s="331"/>
      <c r="AR48" s="331"/>
      <c r="AS48" s="331"/>
      <c r="AT48" s="331"/>
      <c r="AU48" s="331"/>
      <c r="AV48" s="331"/>
      <c r="AW48" s="331"/>
      <c r="AX48" s="331">
        <f t="shared" si="52"/>
        <v>0</v>
      </c>
      <c r="AY48" s="331">
        <f t="shared" ref="AY48:AY50" si="54">-AX48</f>
        <v>0</v>
      </c>
      <c r="AZ48" s="331"/>
      <c r="BA48" s="331"/>
      <c r="BB48" s="331"/>
      <c r="BC48" s="331"/>
      <c r="BD48" s="331"/>
      <c r="BE48" s="331"/>
      <c r="BF48" s="331"/>
      <c r="BG48"/>
      <c r="BH48" s="341">
        <f t="shared" si="42"/>
        <v>0</v>
      </c>
      <c r="BI48" s="341">
        <f t="shared" si="43"/>
        <v>0</v>
      </c>
      <c r="BJ48" s="341">
        <f t="shared" si="44"/>
        <v>0</v>
      </c>
      <c r="BK48" s="336">
        <f t="shared" si="12"/>
        <v>0</v>
      </c>
      <c r="BL48" s="336">
        <f t="shared" si="13"/>
        <v>0</v>
      </c>
      <c r="BM48">
        <v>1</v>
      </c>
      <c r="BN48" s="204"/>
      <c r="BO48" s="541"/>
      <c r="BP48" s="399"/>
      <c r="BQ48" s="399"/>
      <c r="BR48" s="304"/>
      <c r="BS48" s="387"/>
      <c r="BT48" s="387"/>
      <c r="BU48" s="387"/>
      <c r="BV48" s="387"/>
      <c r="BW48" s="387"/>
      <c r="BX48" s="387"/>
      <c r="BY48" s="387"/>
      <c r="BZ48" s="387"/>
      <c r="CA48" s="387"/>
      <c r="CB48" s="387"/>
      <c r="CC48" s="387"/>
      <c r="CD48"/>
      <c r="CE48" s="670"/>
      <c r="CF48" s="670"/>
      <c r="CG48" s="670"/>
      <c r="CH48" s="670"/>
      <c r="CI48" s="670"/>
      <c r="CJ48" s="670"/>
      <c r="CK48" s="670"/>
      <c r="CL48" s="670"/>
      <c r="CM48" s="670"/>
      <c r="CN48" s="670"/>
      <c r="CO48" s="670"/>
      <c r="CP48" s="676"/>
      <c r="CQ48" s="670"/>
      <c r="CR48" s="670"/>
      <c r="CS48" s="670"/>
      <c r="CT48" s="670"/>
      <c r="CU48" s="670"/>
      <c r="CV48" s="670"/>
      <c r="CW48" s="670"/>
      <c r="CX48" s="670"/>
      <c r="CY48" s="670">
        <v>1</v>
      </c>
      <c r="CZ48" s="670">
        <v>-1</v>
      </c>
      <c r="DA48" s="670"/>
      <c r="DB48" s="670"/>
      <c r="DC48" s="670"/>
      <c r="DD48" s="670"/>
      <c r="DE48" s="671"/>
      <c r="DF48" s="671"/>
      <c r="DG48" s="670"/>
      <c r="DI48" s="393"/>
      <c r="DJ48" s="964"/>
      <c r="DK48" s="500">
        <f>VLOOKUP(C48,'Ecoinvent Processes'!$B$1:$N$28,8,FALSE)*1000</f>
        <v>13106.99</v>
      </c>
      <c r="DL48" s="394" cm="1">
        <f t="array" ref="DL48">_xlfn.IFS(DM48=1,DK48,DM48=2,DJ48,DM48=0,DP48*SUMPRODUCT($DQ$5:$DX$5,DQ48:DX48))</f>
        <v>59.50180740998799</v>
      </c>
      <c r="DM48">
        <v>0</v>
      </c>
      <c r="DN48" s="291">
        <v>45</v>
      </c>
      <c r="DO48" s="525">
        <f>'FE - ACV Aluminum'!CN45</f>
        <v>0</v>
      </c>
      <c r="DP48" s="526">
        <v>0.82414238039831522</v>
      </c>
      <c r="DQ48" s="525">
        <f>'FE - ACV Aluminum'!$CN$122</f>
        <v>0</v>
      </c>
      <c r="DR48" s="525">
        <f>'FE - ACV Aluminum'!$CN$123</f>
        <v>0</v>
      </c>
      <c r="DS48" s="525">
        <f>'FE - ACV Aluminum'!$CN$124</f>
        <v>0</v>
      </c>
      <c r="DT48" s="525">
        <f>'FE - ACV Aluminum'!$CN$125</f>
        <v>0.16</v>
      </c>
      <c r="DU48" s="525">
        <f>'FE - ACV Aluminum'!$CN$126</f>
        <v>0</v>
      </c>
      <c r="DV48" s="525">
        <f>'FE - ACV Aluminum'!$CN$127</f>
        <v>0.11</v>
      </c>
      <c r="DW48" s="525">
        <f>'FE - ACV Aluminum'!$CN$128</f>
        <v>0.73</v>
      </c>
      <c r="DX48" s="525">
        <f>'FE - ACV Aluminum'!$CN$129</f>
        <v>0</v>
      </c>
      <c r="DY48"/>
      <c r="DZ48" s="461">
        <v>0.1</v>
      </c>
      <c r="EA48" s="446">
        <v>0.82414238039831522</v>
      </c>
      <c r="EB48" s="447">
        <v>0</v>
      </c>
      <c r="EC48" s="447">
        <v>0</v>
      </c>
      <c r="ED48" s="447">
        <v>0</v>
      </c>
      <c r="EE48" s="447">
        <v>0</v>
      </c>
      <c r="EF48" s="447">
        <v>0</v>
      </c>
      <c r="EG48" s="447">
        <v>1</v>
      </c>
      <c r="EH48" s="447">
        <v>0</v>
      </c>
      <c r="EI48" s="447">
        <v>0</v>
      </c>
      <c r="EK48"/>
      <c r="EL48"/>
      <c r="EM48"/>
      <c r="EN48"/>
      <c r="EO48"/>
      <c r="EP48"/>
      <c r="EQ48"/>
      <c r="ER48"/>
      <c r="ES48"/>
      <c r="ET48"/>
    </row>
    <row r="49" spans="2:150" s="297" customFormat="1" ht="25.05" customHeight="1">
      <c r="B49" s="204"/>
      <c r="C49" s="204" t="s">
        <v>5262</v>
      </c>
      <c r="D49" s="325" t="s">
        <v>5160</v>
      </c>
      <c r="E49" s="726" t="s">
        <v>5210</v>
      </c>
      <c r="F49" s="319"/>
      <c r="G49" s="497" t="str">
        <f>VLOOKUP(C49,'Ecoinvent Processes'!$B$1:$N$28,1,FALSE)</f>
        <v>Aluminum Milling</v>
      </c>
      <c r="H49"/>
      <c r="I49" s="318" t="s">
        <v>478</v>
      </c>
      <c r="J49" s="318" t="s">
        <v>478</v>
      </c>
      <c r="K49" s="318" t="s">
        <v>478</v>
      </c>
      <c r="L49" s="318" t="s">
        <v>478</v>
      </c>
      <c r="M49" s="318" t="s">
        <v>478</v>
      </c>
      <c r="N49" s="318" t="s">
        <v>478</v>
      </c>
      <c r="O49" s="353" t="s">
        <v>478</v>
      </c>
      <c r="P49" s="733">
        <f t="shared" si="51"/>
        <v>0</v>
      </c>
      <c r="Q49" s="354" t="s">
        <v>478</v>
      </c>
      <c r="R49" s="330"/>
      <c r="S49" s="400">
        <f t="shared" si="7"/>
        <v>0</v>
      </c>
      <c r="T49" s="403"/>
      <c r="U49" s="403"/>
      <c r="V49" s="403"/>
      <c r="W49" s="402"/>
      <c r="X49" s="402"/>
      <c r="Y49" s="402"/>
      <c r="Z49">
        <v>192.18042100825255</v>
      </c>
      <c r="AA49" s="682">
        <f t="shared" si="41"/>
        <v>-192.18042100825255</v>
      </c>
      <c r="AB49" s="338">
        <f t="shared" si="53"/>
        <v>0</v>
      </c>
      <c r="AC49" s="331"/>
      <c r="AD49" s="331"/>
      <c r="AE49" s="331"/>
      <c r="AF49" s="331"/>
      <c r="AG49" s="331"/>
      <c r="AH49" s="331"/>
      <c r="AI49" s="331"/>
      <c r="AJ49" s="331"/>
      <c r="AK49" s="331"/>
      <c r="AL49" s="331"/>
      <c r="AM49" s="331"/>
      <c r="AN49" s="331"/>
      <c r="AO49" s="331"/>
      <c r="AP49" s="331"/>
      <c r="AQ49" s="331"/>
      <c r="AR49" s="331"/>
      <c r="AS49" s="331"/>
      <c r="AT49" s="331"/>
      <c r="AU49" s="331"/>
      <c r="AV49" s="331"/>
      <c r="AW49" s="331"/>
      <c r="AX49" s="331">
        <f t="shared" si="52"/>
        <v>0</v>
      </c>
      <c r="AY49" s="331">
        <f t="shared" si="54"/>
        <v>0</v>
      </c>
      <c r="AZ49" s="331"/>
      <c r="BA49" s="331"/>
      <c r="BB49" s="331"/>
      <c r="BC49" s="331"/>
      <c r="BD49" s="331"/>
      <c r="BE49" s="331"/>
      <c r="BF49" s="331"/>
      <c r="BG49"/>
      <c r="BH49" s="341">
        <f t="shared" si="42"/>
        <v>0</v>
      </c>
      <c r="BI49" s="341">
        <f t="shared" si="43"/>
        <v>0</v>
      </c>
      <c r="BJ49" s="341">
        <f t="shared" si="44"/>
        <v>0</v>
      </c>
      <c r="BK49" s="336">
        <f t="shared" si="12"/>
        <v>0</v>
      </c>
      <c r="BL49" s="336">
        <f t="shared" si="13"/>
        <v>0</v>
      </c>
      <c r="BM49">
        <v>1</v>
      </c>
      <c r="BN49" s="204"/>
      <c r="BO49" s="541"/>
      <c r="BP49" s="399"/>
      <c r="BQ49" s="399"/>
      <c r="BR49" s="304"/>
      <c r="BS49" s="387"/>
      <c r="BT49" s="387"/>
      <c r="BU49" s="387"/>
      <c r="BV49" s="387"/>
      <c r="BW49" s="387"/>
      <c r="BX49" s="387"/>
      <c r="BY49" s="387"/>
      <c r="BZ49" s="387"/>
      <c r="CA49" s="387"/>
      <c r="CB49" s="387"/>
      <c r="CC49" s="387"/>
      <c r="CD49"/>
      <c r="CE49" s="670"/>
      <c r="CF49" s="670"/>
      <c r="CG49" s="670"/>
      <c r="CH49" s="670"/>
      <c r="CI49" s="670"/>
      <c r="CJ49" s="670"/>
      <c r="CK49" s="670"/>
      <c r="CL49" s="670"/>
      <c r="CM49" s="670"/>
      <c r="CN49" s="670"/>
      <c r="CO49" s="670"/>
      <c r="CP49" s="676"/>
      <c r="CQ49" s="670"/>
      <c r="CR49" s="670"/>
      <c r="CS49" s="670"/>
      <c r="CT49" s="670"/>
      <c r="CU49" s="670"/>
      <c r="CV49" s="670"/>
      <c r="CW49" s="670"/>
      <c r="CX49" s="670"/>
      <c r="CY49" s="670">
        <v>1</v>
      </c>
      <c r="CZ49" s="670">
        <v>-1</v>
      </c>
      <c r="DA49" s="670"/>
      <c r="DB49" s="670"/>
      <c r="DC49" s="670"/>
      <c r="DD49" s="670"/>
      <c r="DE49" s="671"/>
      <c r="DF49" s="671"/>
      <c r="DG49" s="670"/>
      <c r="DI49" s="393"/>
      <c r="DJ49" s="964"/>
      <c r="DK49" s="500">
        <f>VLOOKUP(C49,'Ecoinvent Processes'!$B$1:$N$28,8,FALSE)*1000</f>
        <v>13156.76</v>
      </c>
      <c r="DL49" s="394" cm="1">
        <f t="array" ref="DL49">_xlfn.IFS(DM49=1,DK49,DM49=2,DJ49,DM49=0,DP49*SUMPRODUCT($DQ$5:$DX$5,DQ49:DX49))</f>
        <v>92.500864500919349</v>
      </c>
      <c r="DM49">
        <v>0</v>
      </c>
      <c r="DN49" s="291">
        <v>46</v>
      </c>
      <c r="DO49" s="525">
        <f>'FE - ACV Aluminum'!CN46</f>
        <v>0</v>
      </c>
      <c r="DP49" s="526">
        <v>1.2812028067216836</v>
      </c>
      <c r="DQ49" s="525">
        <f>'FE - ACV Aluminum'!$CN$122</f>
        <v>0</v>
      </c>
      <c r="DR49" s="525">
        <f>'FE - ACV Aluminum'!$CN$123</f>
        <v>0</v>
      </c>
      <c r="DS49" s="525">
        <f>'FE - ACV Aluminum'!$CN$124</f>
        <v>0</v>
      </c>
      <c r="DT49" s="525">
        <f>'FE - ACV Aluminum'!$CN$125</f>
        <v>0.16</v>
      </c>
      <c r="DU49" s="525">
        <f>'FE - ACV Aluminum'!$CN$126</f>
        <v>0</v>
      </c>
      <c r="DV49" s="525">
        <f>'FE - ACV Aluminum'!$CN$127</f>
        <v>0.11</v>
      </c>
      <c r="DW49" s="525">
        <f>'FE - ACV Aluminum'!$CN$128</f>
        <v>0.73</v>
      </c>
      <c r="DX49" s="525">
        <f>'FE - ACV Aluminum'!$CN$129</f>
        <v>0</v>
      </c>
      <c r="DY49"/>
      <c r="DZ49" s="461">
        <v>0.15</v>
      </c>
      <c r="EA49" s="446">
        <v>1.2812028067216836</v>
      </c>
      <c r="EB49" s="447">
        <v>0</v>
      </c>
      <c r="EC49" s="447">
        <v>0</v>
      </c>
      <c r="ED49" s="447">
        <v>0</v>
      </c>
      <c r="EE49" s="447">
        <v>0</v>
      </c>
      <c r="EF49" s="447">
        <v>0</v>
      </c>
      <c r="EG49" s="447">
        <v>1</v>
      </c>
      <c r="EH49" s="447">
        <v>0</v>
      </c>
      <c r="EI49" s="447">
        <v>0</v>
      </c>
      <c r="EK49"/>
      <c r="EL49"/>
      <c r="EM49"/>
      <c r="EN49"/>
      <c r="EO49"/>
      <c r="EP49"/>
      <c r="EQ49"/>
      <c r="ER49"/>
      <c r="ES49"/>
      <c r="ET49"/>
    </row>
    <row r="50" spans="2:150" s="297" customFormat="1" ht="25.05" customHeight="1">
      <c r="B50" s="204"/>
      <c r="C50" s="204" t="s">
        <v>5263</v>
      </c>
      <c r="D50" s="325" t="s">
        <v>5169</v>
      </c>
      <c r="E50" s="726" t="s">
        <v>5211</v>
      </c>
      <c r="F50" s="319"/>
      <c r="G50" s="497" t="str">
        <f>VLOOKUP(C50,'Ecoinvent Processes'!$B$1:$N$28,1,FALSE)</f>
        <v>Aluminum Turning</v>
      </c>
      <c r="H50"/>
      <c r="I50" s="318" t="s">
        <v>478</v>
      </c>
      <c r="J50" s="318" t="s">
        <v>478</v>
      </c>
      <c r="K50" s="318" t="s">
        <v>478</v>
      </c>
      <c r="L50" s="318" t="s">
        <v>478</v>
      </c>
      <c r="M50" s="318" t="s">
        <v>478</v>
      </c>
      <c r="N50" s="318" t="s">
        <v>478</v>
      </c>
      <c r="O50" s="353" t="s">
        <v>478</v>
      </c>
      <c r="P50" s="733">
        <f t="shared" si="51"/>
        <v>0</v>
      </c>
      <c r="Q50" s="354" t="s">
        <v>478</v>
      </c>
      <c r="R50" s="330"/>
      <c r="S50" s="400">
        <f t="shared" si="7"/>
        <v>0</v>
      </c>
      <c r="T50" s="403"/>
      <c r="U50" s="403"/>
      <c r="V50" s="403"/>
      <c r="W50" s="402"/>
      <c r="X50" s="402"/>
      <c r="Y50" s="402"/>
      <c r="Z50">
        <v>658.61337204869403</v>
      </c>
      <c r="AA50" s="682">
        <f t="shared" si="41"/>
        <v>-658.61337204869403</v>
      </c>
      <c r="AB50" s="338">
        <f t="shared" si="53"/>
        <v>0</v>
      </c>
      <c r="AC50" s="331"/>
      <c r="AD50" s="331"/>
      <c r="AE50" s="331"/>
      <c r="AF50" s="331"/>
      <c r="AG50" s="331"/>
      <c r="AH50" s="331"/>
      <c r="AI50" s="331"/>
      <c r="AJ50" s="331"/>
      <c r="AK50" s="331"/>
      <c r="AL50" s="331"/>
      <c r="AM50" s="331"/>
      <c r="AN50" s="331"/>
      <c r="AO50" s="331"/>
      <c r="AP50" s="331"/>
      <c r="AQ50" s="331"/>
      <c r="AR50" s="331"/>
      <c r="AS50" s="331"/>
      <c r="AT50" s="331"/>
      <c r="AU50" s="331"/>
      <c r="AV50" s="331"/>
      <c r="AW50" s="331"/>
      <c r="AX50" s="331">
        <f t="shared" si="52"/>
        <v>0</v>
      </c>
      <c r="AY50" s="331">
        <f t="shared" si="54"/>
        <v>0</v>
      </c>
      <c r="AZ50" s="331"/>
      <c r="BA50" s="331"/>
      <c r="BB50" s="331"/>
      <c r="BC50" s="331"/>
      <c r="BD50" s="331"/>
      <c r="BE50" s="331"/>
      <c r="BF50" s="331"/>
      <c r="BG50"/>
      <c r="BH50" s="341">
        <f t="shared" si="42"/>
        <v>0</v>
      </c>
      <c r="BI50" s="341">
        <f t="shared" si="43"/>
        <v>0</v>
      </c>
      <c r="BJ50" s="341">
        <f t="shared" si="44"/>
        <v>0</v>
      </c>
      <c r="BK50" s="336">
        <f t="shared" si="12"/>
        <v>0</v>
      </c>
      <c r="BL50" s="336">
        <f t="shared" si="13"/>
        <v>0</v>
      </c>
      <c r="BM50">
        <v>1</v>
      </c>
      <c r="BN50" s="204"/>
      <c r="BO50" s="541"/>
      <c r="BP50" s="399"/>
      <c r="BQ50" s="399"/>
      <c r="BR50" s="304"/>
      <c r="BS50" s="387"/>
      <c r="BT50" s="387"/>
      <c r="BU50" s="387"/>
      <c r="BV50" s="387"/>
      <c r="BW50" s="387"/>
      <c r="BX50" s="387"/>
      <c r="BY50" s="387"/>
      <c r="BZ50" s="387"/>
      <c r="CA50" s="387"/>
      <c r="CB50" s="387"/>
      <c r="CC50" s="387"/>
      <c r="CD50"/>
      <c r="CE50" s="670"/>
      <c r="CF50" s="670"/>
      <c r="CG50" s="670"/>
      <c r="CH50" s="670"/>
      <c r="CI50" s="670"/>
      <c r="CJ50" s="670"/>
      <c r="CK50" s="670"/>
      <c r="CL50" s="670"/>
      <c r="CM50" s="670"/>
      <c r="CN50" s="670"/>
      <c r="CO50" s="670"/>
      <c r="CP50" s="676"/>
      <c r="CQ50" s="670"/>
      <c r="CR50" s="670"/>
      <c r="CS50" s="670"/>
      <c r="CT50" s="670"/>
      <c r="CU50" s="670"/>
      <c r="CV50" s="670"/>
      <c r="CW50" s="670"/>
      <c r="CX50" s="670"/>
      <c r="CY50" s="670">
        <v>1</v>
      </c>
      <c r="CZ50" s="670">
        <v>-1</v>
      </c>
      <c r="DA50" s="670"/>
      <c r="DB50" s="670"/>
      <c r="DC50" s="670"/>
      <c r="DD50" s="670"/>
      <c r="DE50" s="671"/>
      <c r="DF50" s="671"/>
      <c r="DG50" s="670"/>
      <c r="DI50" s="393"/>
      <c r="DJ50" s="964"/>
      <c r="DK50" s="500">
        <f>VLOOKUP(C50,'Ecoinvent Processes'!$B$1:$N$28,8,FALSE)*1000</f>
        <v>13725.98</v>
      </c>
      <c r="DL50" s="394" cm="1">
        <f t="array" ref="DL50">_xlfn.IFS(DM50=1,DK50,DM50=2,DJ50,DM50=0,DP50*SUMPRODUCT($DQ$5:$DX$5,DQ50:DX50))</f>
        <v>475.50868579703337</v>
      </c>
      <c r="DM50">
        <v>0</v>
      </c>
      <c r="DN50" s="291">
        <v>47</v>
      </c>
      <c r="DO50" s="525">
        <f>'FE - ACV Aluminum'!CN47</f>
        <v>0</v>
      </c>
      <c r="DP50" s="526">
        <v>6.5861337204869406</v>
      </c>
      <c r="DQ50" s="525">
        <f>'FE - ACV Aluminum'!$CN$122</f>
        <v>0</v>
      </c>
      <c r="DR50" s="525">
        <f>'FE - ACV Aluminum'!$CN$123</f>
        <v>0</v>
      </c>
      <c r="DS50" s="525">
        <f>'FE - ACV Aluminum'!$CN$124</f>
        <v>0</v>
      </c>
      <c r="DT50" s="525">
        <f>'FE - ACV Aluminum'!$CN$125</f>
        <v>0.16</v>
      </c>
      <c r="DU50" s="525">
        <f>'FE - ACV Aluminum'!$CN$126</f>
        <v>0</v>
      </c>
      <c r="DV50" s="525">
        <f>'FE - ACV Aluminum'!$CN$127</f>
        <v>0.11</v>
      </c>
      <c r="DW50" s="525">
        <f>'FE - ACV Aluminum'!$CN$128</f>
        <v>0.73</v>
      </c>
      <c r="DX50" s="525">
        <f>'FE - ACV Aluminum'!$CN$129</f>
        <v>0</v>
      </c>
      <c r="DY50"/>
      <c r="DZ50" s="461">
        <v>0.1</v>
      </c>
      <c r="EA50" s="446">
        <v>6.5861337204869406</v>
      </c>
      <c r="EB50" s="447">
        <v>0</v>
      </c>
      <c r="EC50" s="447">
        <v>0</v>
      </c>
      <c r="ED50" s="447">
        <v>0</v>
      </c>
      <c r="EE50" s="447">
        <v>0</v>
      </c>
      <c r="EF50" s="447">
        <v>0</v>
      </c>
      <c r="EG50" s="447">
        <v>1</v>
      </c>
      <c r="EH50" s="447">
        <v>0</v>
      </c>
      <c r="EI50" s="447">
        <v>0</v>
      </c>
      <c r="EK50"/>
      <c r="EL50"/>
      <c r="EM50"/>
      <c r="EN50"/>
      <c r="EO50"/>
      <c r="EP50"/>
      <c r="EQ50"/>
      <c r="ER50"/>
      <c r="ES50"/>
      <c r="ET50"/>
    </row>
    <row r="51" spans="2:150" s="297" customFormat="1" ht="25.05" customHeight="1" thickBot="1">
      <c r="B51" s="204" t="s">
        <v>515</v>
      </c>
      <c r="C51" s="204" t="s">
        <v>5264</v>
      </c>
      <c r="D51" s="325" t="s">
        <v>5173</v>
      </c>
      <c r="E51" s="727" t="s">
        <v>5212</v>
      </c>
      <c r="F51" s="319"/>
      <c r="G51" s="497" t="str">
        <f>VLOOKUP(C51,'Ecoinvent Processes'!$B$1:$N$28,1,FALSE)</f>
        <v>Aluminum Welding</v>
      </c>
      <c r="H51"/>
      <c r="I51" s="318" t="s">
        <v>478</v>
      </c>
      <c r="J51" s="318" t="s">
        <v>478</v>
      </c>
      <c r="K51" s="318" t="s">
        <v>478</v>
      </c>
      <c r="L51" s="318" t="s">
        <v>478</v>
      </c>
      <c r="M51" s="318" t="s">
        <v>478</v>
      </c>
      <c r="N51" s="318" t="s">
        <v>478</v>
      </c>
      <c r="O51" s="730" t="s">
        <v>478</v>
      </c>
      <c r="P51" s="734">
        <f t="shared" si="51"/>
        <v>0</v>
      </c>
      <c r="Q51" s="756" t="s">
        <v>478</v>
      </c>
      <c r="R51" s="330"/>
      <c r="S51" s="400">
        <f t="shared" si="7"/>
        <v>0</v>
      </c>
      <c r="T51" s="403"/>
      <c r="U51" s="403"/>
      <c r="V51" s="403"/>
      <c r="W51" s="402"/>
      <c r="X51" s="402"/>
      <c r="Y51" s="402"/>
      <c r="Z51">
        <v>27</v>
      </c>
      <c r="AA51" s="682">
        <f t="shared" si="41"/>
        <v>-27</v>
      </c>
      <c r="AB51" s="338">
        <f>S51*P51</f>
        <v>0</v>
      </c>
      <c r="AC51" s="331"/>
      <c r="AD51" s="331"/>
      <c r="AE51" s="331"/>
      <c r="AF51" s="331"/>
      <c r="AG51" s="331"/>
      <c r="AH51" s="331"/>
      <c r="AI51" s="331"/>
      <c r="AJ51" s="331"/>
      <c r="AK51" s="331"/>
      <c r="AL51" s="331"/>
      <c r="AM51" s="331"/>
      <c r="AN51" s="331"/>
      <c r="AO51" s="331"/>
      <c r="AP51" s="331"/>
      <c r="AQ51" s="331"/>
      <c r="AR51" s="331"/>
      <c r="AS51" s="331"/>
      <c r="AT51" s="331"/>
      <c r="AU51" s="331"/>
      <c r="AV51" s="331"/>
      <c r="AW51" s="331"/>
      <c r="AX51" s="331">
        <f t="shared" si="52"/>
        <v>0</v>
      </c>
      <c r="AY51" s="331">
        <f>-AX51</f>
        <v>0</v>
      </c>
      <c r="AZ51" s="331"/>
      <c r="BA51" s="331"/>
      <c r="BB51" s="331"/>
      <c r="BC51" s="331"/>
      <c r="BD51" s="331"/>
      <c r="BE51" s="331"/>
      <c r="BF51" s="331"/>
      <c r="BG51"/>
      <c r="BH51" s="341">
        <f t="shared" si="42"/>
        <v>0</v>
      </c>
      <c r="BI51" s="341">
        <f t="shared" si="43"/>
        <v>0</v>
      </c>
      <c r="BJ51" s="341">
        <f t="shared" si="44"/>
        <v>0</v>
      </c>
      <c r="BK51" s="336">
        <f t="shared" si="12"/>
        <v>0</v>
      </c>
      <c r="BL51" s="336">
        <f t="shared" si="13"/>
        <v>0</v>
      </c>
      <c r="BM51">
        <v>1</v>
      </c>
      <c r="BN51" s="204"/>
      <c r="BO51" s="541"/>
      <c r="BP51" s="399"/>
      <c r="BQ51" s="399"/>
      <c r="BR51" s="304"/>
      <c r="BS51" s="387"/>
      <c r="BT51" s="387"/>
      <c r="BU51" s="387"/>
      <c r="BV51" s="387"/>
      <c r="BW51" s="387"/>
      <c r="BX51" s="387"/>
      <c r="BY51" s="387"/>
      <c r="BZ51" s="387"/>
      <c r="CA51" s="387"/>
      <c r="CB51" s="387"/>
      <c r="CC51" s="387"/>
      <c r="CD51"/>
      <c r="CE51" s="670"/>
      <c r="CF51" s="670"/>
      <c r="CG51" s="670"/>
      <c r="CH51" s="670"/>
      <c r="CI51" s="670"/>
      <c r="CJ51" s="670"/>
      <c r="CK51" s="670"/>
      <c r="CL51" s="670"/>
      <c r="CM51" s="670"/>
      <c r="CN51" s="670"/>
      <c r="CO51" s="670"/>
      <c r="CP51" s="676"/>
      <c r="CQ51" s="670"/>
      <c r="CR51" s="670"/>
      <c r="CS51" s="670"/>
      <c r="CT51" s="670"/>
      <c r="CU51" s="670"/>
      <c r="CV51" s="670"/>
      <c r="CW51" s="670"/>
      <c r="CX51" s="670"/>
      <c r="CY51" s="670">
        <v>1</v>
      </c>
      <c r="CZ51" s="670">
        <v>-1</v>
      </c>
      <c r="DA51" s="670"/>
      <c r="DB51" s="670"/>
      <c r="DC51" s="670"/>
      <c r="DD51" s="670"/>
      <c r="DE51" s="671"/>
      <c r="DF51" s="671"/>
      <c r="DG51" s="670"/>
      <c r="DI51" s="393"/>
      <c r="DJ51" s="964"/>
      <c r="DK51" s="500">
        <f>VLOOKUP(C51,'Ecoinvent Processes'!$B$1:$N$28,8,FALSE)*1000</f>
        <v>266.62</v>
      </c>
      <c r="DL51" s="394" cm="1">
        <f t="array" ref="DL51">_xlfn.IFS(DM51=1,DK51,DM51=2,DJ51,DM51=0,DP51*SUMPRODUCT($DQ$5:$DX$5,DQ51:DX51))</f>
        <v>19.493583126901164</v>
      </c>
      <c r="DM51">
        <v>0</v>
      </c>
      <c r="DN51" s="291">
        <v>48</v>
      </c>
      <c r="DO51" s="525">
        <f>'FE - ACV Aluminum'!CN48</f>
        <v>0</v>
      </c>
      <c r="DP51" s="526">
        <v>0.27</v>
      </c>
      <c r="DQ51" s="525">
        <f>'FE - ACV Aluminum'!$CN$122</f>
        <v>0</v>
      </c>
      <c r="DR51" s="525">
        <f>'FE - ACV Aluminum'!$CN$123</f>
        <v>0</v>
      </c>
      <c r="DS51" s="525">
        <f>'FE - ACV Aluminum'!$CN$124</f>
        <v>0</v>
      </c>
      <c r="DT51" s="525">
        <f>'FE - ACV Aluminum'!$CN$125</f>
        <v>0.16</v>
      </c>
      <c r="DU51" s="525">
        <f>'FE - ACV Aluminum'!$CN$126</f>
        <v>0</v>
      </c>
      <c r="DV51" s="525">
        <f>'FE - ACV Aluminum'!$CN$127</f>
        <v>0.11</v>
      </c>
      <c r="DW51" s="525">
        <f>'FE - ACV Aluminum'!$CN$128</f>
        <v>0.73</v>
      </c>
      <c r="DX51" s="525">
        <f>'FE - ACV Aluminum'!$CN$129</f>
        <v>0</v>
      </c>
      <c r="DY51"/>
      <c r="DZ51" s="461">
        <v>0.1</v>
      </c>
      <c r="EA51" s="446">
        <v>0.27</v>
      </c>
      <c r="EB51" s="447">
        <v>0</v>
      </c>
      <c r="EC51" s="447">
        <v>0</v>
      </c>
      <c r="ED51" s="447">
        <v>0</v>
      </c>
      <c r="EE51" s="447">
        <v>0</v>
      </c>
      <c r="EF51" s="447">
        <v>0</v>
      </c>
      <c r="EG51" s="447">
        <v>1</v>
      </c>
      <c r="EH51" s="447">
        <v>0</v>
      </c>
      <c r="EI51" s="447">
        <v>0</v>
      </c>
      <c r="EK51"/>
      <c r="EL51"/>
      <c r="EM51"/>
      <c r="EN51"/>
      <c r="EO51"/>
      <c r="EP51"/>
      <c r="EQ51"/>
      <c r="ER51"/>
      <c r="ES51"/>
      <c r="ET51"/>
    </row>
    <row r="52" spans="2:150" s="297" customFormat="1" ht="25.05" customHeight="1">
      <c r="B52" s="204" t="s">
        <v>516</v>
      </c>
      <c r="C52" s="204" t="s">
        <v>5202</v>
      </c>
      <c r="D52" s="325"/>
      <c r="E52" s="728" t="s">
        <v>480</v>
      </c>
      <c r="F52" s="319"/>
      <c r="G52" s="497" t="e">
        <f>VLOOKUP(C52,'Ecoinvent Processes'!$B$1:$N$28,1,FALSE)</f>
        <v>#N/A</v>
      </c>
      <c r="H52"/>
      <c r="I52" s="318" t="s">
        <v>478</v>
      </c>
      <c r="J52" s="318" t="s">
        <v>478</v>
      </c>
      <c r="K52" s="318" t="s">
        <v>478</v>
      </c>
      <c r="L52" s="318" t="s">
        <v>478</v>
      </c>
      <c r="M52" s="318" t="s">
        <v>478</v>
      </c>
      <c r="N52" s="318" t="s">
        <v>478</v>
      </c>
      <c r="O52" s="320" t="s">
        <v>478</v>
      </c>
      <c r="P52" s="730" t="s">
        <v>478</v>
      </c>
      <c r="Q52" s="732">
        <f>DO52</f>
        <v>1</v>
      </c>
      <c r="R52" s="330"/>
      <c r="S52" s="400">
        <f t="shared" si="7"/>
        <v>0</v>
      </c>
      <c r="T52" s="403"/>
      <c r="U52" s="403"/>
      <c r="V52" s="403"/>
      <c r="W52" s="402"/>
      <c r="X52" s="402"/>
      <c r="Y52" s="402"/>
      <c r="Z52">
        <v>0</v>
      </c>
      <c r="AA52" s="682">
        <f t="shared" si="41"/>
        <v>0</v>
      </c>
      <c r="AB52" s="338">
        <f>S52*Q52</f>
        <v>0</v>
      </c>
      <c r="AC52" s="331"/>
      <c r="AD52" s="331"/>
      <c r="AE52" s="331"/>
      <c r="AF52" s="331"/>
      <c r="AG52" s="331"/>
      <c r="AH52" s="331"/>
      <c r="AI52" s="331"/>
      <c r="AJ52" s="331"/>
      <c r="AK52" s="331"/>
      <c r="AL52" s="331"/>
      <c r="AM52" s="331"/>
      <c r="AN52" s="331"/>
      <c r="AO52" s="331"/>
      <c r="AP52" s="331"/>
      <c r="AQ52" s="331"/>
      <c r="AR52" s="331"/>
      <c r="AS52" s="331"/>
      <c r="AT52" s="331"/>
      <c r="AU52" s="331"/>
      <c r="AV52" s="331"/>
      <c r="AW52" s="331"/>
      <c r="AX52" s="331"/>
      <c r="AY52" s="331">
        <f>-SUM($AY$46:$AY$51)*Q52</f>
        <v>1000</v>
      </c>
      <c r="AZ52" s="331">
        <f>-AY52</f>
        <v>-1000</v>
      </c>
      <c r="BA52" s="331"/>
      <c r="BB52" s="331"/>
      <c r="BC52" s="331"/>
      <c r="BD52" s="331"/>
      <c r="BE52" s="331"/>
      <c r="BF52" s="331"/>
      <c r="BG52"/>
      <c r="BH52" s="341">
        <f t="shared" si="42"/>
        <v>1000</v>
      </c>
      <c r="BI52" s="341">
        <f t="shared" si="43"/>
        <v>0</v>
      </c>
      <c r="BJ52" s="341">
        <f t="shared" si="44"/>
        <v>0</v>
      </c>
      <c r="BK52" s="336">
        <f t="shared" si="12"/>
        <v>0</v>
      </c>
      <c r="BL52" s="336">
        <f t="shared" si="13"/>
        <v>0</v>
      </c>
      <c r="BM52">
        <v>1</v>
      </c>
      <c r="BN52" s="204"/>
      <c r="BO52" s="541"/>
      <c r="BP52" s="399"/>
      <c r="BQ52" s="399"/>
      <c r="BR52" s="304"/>
      <c r="BS52" s="387"/>
      <c r="BT52" s="387"/>
      <c r="BU52" s="387"/>
      <c r="BV52" s="387"/>
      <c r="BW52" s="387"/>
      <c r="BX52" s="387"/>
      <c r="BY52" s="387"/>
      <c r="BZ52" s="387"/>
      <c r="CA52" s="387"/>
      <c r="CB52" s="387"/>
      <c r="CC52" s="387"/>
      <c r="CD52"/>
      <c r="CE52" s="670"/>
      <c r="CF52" s="670"/>
      <c r="CG52" s="670"/>
      <c r="CH52" s="670"/>
      <c r="CI52" s="670"/>
      <c r="CJ52" s="670"/>
      <c r="CK52" s="670"/>
      <c r="CL52" s="670"/>
      <c r="CM52" s="670"/>
      <c r="CN52" s="670"/>
      <c r="CO52" s="670"/>
      <c r="CP52" s="676"/>
      <c r="CQ52" s="670"/>
      <c r="CR52" s="670"/>
      <c r="CS52" s="670"/>
      <c r="CT52" s="670"/>
      <c r="CU52" s="670"/>
      <c r="CV52" s="670"/>
      <c r="CW52" s="670"/>
      <c r="CX52" s="670"/>
      <c r="CY52" s="670"/>
      <c r="CZ52" s="670">
        <v>1</v>
      </c>
      <c r="DA52" s="670">
        <v>-1</v>
      </c>
      <c r="DB52" s="670"/>
      <c r="DC52" s="670"/>
      <c r="DD52" s="670"/>
      <c r="DE52" s="671"/>
      <c r="DF52" s="671"/>
      <c r="DG52" s="670"/>
      <c r="DI52" s="393"/>
      <c r="DJ52" s="964"/>
      <c r="DK52" s="500">
        <v>0</v>
      </c>
      <c r="DL52" s="394" cm="1">
        <f t="array" ref="DL52">_xlfn.IFS(DM52=1,DK52,DM52=2,DJ52,DM52=0,DP52*SUMPRODUCT($DQ$5:$DX$5,DQ52:DX52))</f>
        <v>0</v>
      </c>
      <c r="DM52">
        <v>0</v>
      </c>
      <c r="DN52" s="291">
        <v>49</v>
      </c>
      <c r="DO52" s="525">
        <f>'FE - ACV Aluminum'!CN49</f>
        <v>1</v>
      </c>
      <c r="DP52" s="526">
        <v>0</v>
      </c>
      <c r="DQ52" s="525">
        <f>'FE - ACV Aluminum'!$CN$122</f>
        <v>0</v>
      </c>
      <c r="DR52" s="525">
        <f>'FE - ACV Aluminum'!$CN$123</f>
        <v>0</v>
      </c>
      <c r="DS52" s="525">
        <f>'FE - ACV Aluminum'!$CN$124</f>
        <v>0</v>
      </c>
      <c r="DT52" s="525">
        <f>'FE - ACV Aluminum'!$CN$125</f>
        <v>0.16</v>
      </c>
      <c r="DU52" s="525">
        <f>'FE - ACV Aluminum'!$CN$126</f>
        <v>0</v>
      </c>
      <c r="DV52" s="525">
        <f>'FE - ACV Aluminum'!$CN$127</f>
        <v>0.11</v>
      </c>
      <c r="DW52" s="525">
        <f>'FE - ACV Aluminum'!$CN$128</f>
        <v>0.73</v>
      </c>
      <c r="DX52" s="525">
        <f>'FE - ACV Aluminum'!$CN$129</f>
        <v>0</v>
      </c>
      <c r="DY52"/>
      <c r="DZ52" s="435">
        <f>1-SUM(DZ53:DZ54)</f>
        <v>0.46716928886538478</v>
      </c>
      <c r="EA52" s="446">
        <v>0</v>
      </c>
      <c r="EB52" s="447">
        <v>0</v>
      </c>
      <c r="EC52" s="447">
        <v>0</v>
      </c>
      <c r="ED52" s="447">
        <v>0</v>
      </c>
      <c r="EE52" s="447">
        <v>0</v>
      </c>
      <c r="EF52" s="447">
        <v>0</v>
      </c>
      <c r="EG52" s="447">
        <v>0</v>
      </c>
      <c r="EH52" s="447">
        <v>0</v>
      </c>
      <c r="EI52" s="447">
        <v>0</v>
      </c>
      <c r="EK52"/>
      <c r="EL52"/>
      <c r="EM52"/>
      <c r="EN52"/>
      <c r="EO52"/>
      <c r="EP52"/>
      <c r="EQ52"/>
      <c r="ER52"/>
      <c r="ES52"/>
      <c r="ET52"/>
    </row>
    <row r="53" spans="2:150" s="297" customFormat="1" ht="25.05" customHeight="1">
      <c r="B53" s="204" t="s">
        <v>516</v>
      </c>
      <c r="C53" s="204" t="s">
        <v>5266</v>
      </c>
      <c r="D53" s="325" t="s">
        <v>5265</v>
      </c>
      <c r="E53" s="725" t="s">
        <v>5194</v>
      </c>
      <c r="F53" s="319"/>
      <c r="G53" s="497" t="str">
        <f>VLOOKUP(C53,'Ecoinvent Processes'!$B$1:$N$28,1,FALSE)</f>
        <v>Aluminum Powder Coating</v>
      </c>
      <c r="H53"/>
      <c r="I53" s="318" t="s">
        <v>478</v>
      </c>
      <c r="J53" s="318" t="s">
        <v>478</v>
      </c>
      <c r="K53" s="318" t="s">
        <v>478</v>
      </c>
      <c r="L53" s="318" t="s">
        <v>478</v>
      </c>
      <c r="M53" s="318" t="s">
        <v>478</v>
      </c>
      <c r="N53" s="318" t="s">
        <v>478</v>
      </c>
      <c r="O53" s="320" t="s">
        <v>478</v>
      </c>
      <c r="P53" s="730" t="s">
        <v>478</v>
      </c>
      <c r="Q53" s="733">
        <f>DO53</f>
        <v>0</v>
      </c>
      <c r="R53" s="330"/>
      <c r="S53" s="400">
        <f t="shared" si="7"/>
        <v>0</v>
      </c>
      <c r="T53" s="403"/>
      <c r="U53" s="403"/>
      <c r="V53" s="403"/>
      <c r="W53" s="402"/>
      <c r="X53" s="402"/>
      <c r="Y53" s="402"/>
      <c r="Z53">
        <v>863.72952000000009</v>
      </c>
      <c r="AA53" s="682">
        <f t="shared" si="41"/>
        <v>-863.72952000000009</v>
      </c>
      <c r="AB53" s="338">
        <f>S53*Q53</f>
        <v>0</v>
      </c>
      <c r="AC53" s="331"/>
      <c r="AD53" s="331"/>
      <c r="AE53" s="331"/>
      <c r="AF53" s="331"/>
      <c r="AG53" s="331"/>
      <c r="AH53" s="331"/>
      <c r="AI53" s="331"/>
      <c r="AJ53" s="331"/>
      <c r="AK53" s="331"/>
      <c r="AL53" s="331"/>
      <c r="AM53" s="331"/>
      <c r="AN53" s="331"/>
      <c r="AO53" s="331"/>
      <c r="AP53" s="331"/>
      <c r="AQ53" s="331"/>
      <c r="AR53" s="331"/>
      <c r="AS53" s="331"/>
      <c r="AT53" s="331"/>
      <c r="AU53" s="331"/>
      <c r="AV53" s="331"/>
      <c r="AW53" s="331"/>
      <c r="AX53" s="331"/>
      <c r="AY53" s="331">
        <f t="shared" ref="AY53:AY54" si="55">-SUM($AY$46:$AY$51)*Q53</f>
        <v>0</v>
      </c>
      <c r="AZ53" s="331">
        <f>-AY53</f>
        <v>0</v>
      </c>
      <c r="BA53" s="331"/>
      <c r="BB53" s="331"/>
      <c r="BC53" s="331"/>
      <c r="BD53" s="331"/>
      <c r="BE53" s="331"/>
      <c r="BF53" s="331"/>
      <c r="BG53"/>
      <c r="BH53" s="341">
        <f t="shared" si="42"/>
        <v>0</v>
      </c>
      <c r="BI53" s="341">
        <f t="shared" si="43"/>
        <v>0</v>
      </c>
      <c r="BJ53" s="341">
        <f t="shared" si="44"/>
        <v>0</v>
      </c>
      <c r="BK53" s="336">
        <f t="shared" si="12"/>
        <v>0</v>
      </c>
      <c r="BL53" s="336">
        <f t="shared" si="13"/>
        <v>0</v>
      </c>
      <c r="BM53">
        <v>1</v>
      </c>
      <c r="BN53" s="204"/>
      <c r="BO53" s="541"/>
      <c r="BP53" s="399"/>
      <c r="BQ53" s="399"/>
      <c r="BR53" s="304"/>
      <c r="BS53" s="387"/>
      <c r="BT53" s="387"/>
      <c r="BU53" s="387"/>
      <c r="BV53" s="387"/>
      <c r="BW53" s="387"/>
      <c r="BX53" s="387"/>
      <c r="BY53" s="387"/>
      <c r="BZ53" s="387"/>
      <c r="CA53" s="387"/>
      <c r="CB53" s="387"/>
      <c r="CC53" s="387"/>
      <c r="CD53"/>
      <c r="CE53" s="670"/>
      <c r="CF53" s="670"/>
      <c r="CG53" s="670"/>
      <c r="CH53" s="670"/>
      <c r="CI53" s="670"/>
      <c r="CJ53" s="670"/>
      <c r="CK53" s="670"/>
      <c r="CL53" s="670"/>
      <c r="CM53" s="670"/>
      <c r="CN53" s="670"/>
      <c r="CO53" s="670"/>
      <c r="CP53" s="676"/>
      <c r="CQ53" s="670"/>
      <c r="CR53" s="670"/>
      <c r="CS53" s="670"/>
      <c r="CT53" s="670"/>
      <c r="CU53" s="670"/>
      <c r="CV53" s="670"/>
      <c r="CW53" s="670"/>
      <c r="CX53" s="670"/>
      <c r="CY53" s="670"/>
      <c r="CZ53" s="670">
        <v>1</v>
      </c>
      <c r="DA53" s="670">
        <v>-1</v>
      </c>
      <c r="DB53" s="670"/>
      <c r="DC53" s="670"/>
      <c r="DD53" s="670"/>
      <c r="DE53" s="671"/>
      <c r="DF53" s="671"/>
      <c r="DG53" s="670"/>
      <c r="DI53" s="393"/>
      <c r="DJ53" s="964"/>
      <c r="DK53" s="500">
        <f>VLOOKUP(C53,'Ecoinvent Processes'!$B$1:$N$28,8,FALSE)*1000</f>
        <v>2779.2599999999998</v>
      </c>
      <c r="DL53" s="394" cm="1">
        <f t="array" ref="DL53">_xlfn.IFS(DM53=1,DK53,DM53=2,DJ53,DM53=0,DP53*SUMPRODUCT($DQ$5:$DX$5,DQ53:DX53))</f>
        <v>2078.6645922565976</v>
      </c>
      <c r="DM53">
        <v>0</v>
      </c>
      <c r="DN53" s="291">
        <v>50</v>
      </c>
      <c r="DO53" s="525">
        <f>'FE - ACV Aluminum'!CN50</f>
        <v>0</v>
      </c>
      <c r="DP53" s="526">
        <v>28.790984000000002</v>
      </c>
      <c r="DQ53" s="525">
        <f>'FE - ACV Aluminum'!$CN$122</f>
        <v>0</v>
      </c>
      <c r="DR53" s="525">
        <f>'FE - ACV Aluminum'!$CN$123</f>
        <v>0</v>
      </c>
      <c r="DS53" s="525">
        <f>'FE - ACV Aluminum'!$CN$124</f>
        <v>0</v>
      </c>
      <c r="DT53" s="525">
        <f>'FE - ACV Aluminum'!$CN$125</f>
        <v>0.16</v>
      </c>
      <c r="DU53" s="525">
        <f>'FE - ACV Aluminum'!$CN$126</f>
        <v>0</v>
      </c>
      <c r="DV53" s="525">
        <f>'FE - ACV Aluminum'!$CN$127</f>
        <v>0.11</v>
      </c>
      <c r="DW53" s="525">
        <f>'FE - ACV Aluminum'!$CN$128</f>
        <v>0.73</v>
      </c>
      <c r="DX53" s="525">
        <f>'FE - ACV Aluminum'!$CN$129</f>
        <v>0</v>
      </c>
      <c r="DY53"/>
      <c r="DZ53" s="461">
        <v>0.03</v>
      </c>
      <c r="EA53" s="446">
        <v>28.790984000000002</v>
      </c>
      <c r="EB53" s="447">
        <v>0</v>
      </c>
      <c r="EC53" s="447">
        <v>0</v>
      </c>
      <c r="ED53" s="447">
        <v>0</v>
      </c>
      <c r="EE53" s="447">
        <v>0.837951</v>
      </c>
      <c r="EF53" s="447">
        <v>0</v>
      </c>
      <c r="EG53" s="447">
        <v>0.162049</v>
      </c>
      <c r="EH53" s="447">
        <v>0</v>
      </c>
      <c r="EI53" s="447">
        <v>0</v>
      </c>
      <c r="EK53"/>
      <c r="EL53"/>
      <c r="EM53"/>
      <c r="EN53"/>
      <c r="EO53"/>
      <c r="EP53"/>
      <c r="EQ53"/>
      <c r="ER53"/>
      <c r="ES53"/>
      <c r="ET53"/>
    </row>
    <row r="54" spans="2:150" s="297" customFormat="1" ht="25.05" customHeight="1" thickBot="1">
      <c r="B54" s="204" t="s">
        <v>516</v>
      </c>
      <c r="C54" s="204" t="s">
        <v>5200</v>
      </c>
      <c r="D54" s="325"/>
      <c r="E54" s="729" t="s">
        <v>5195</v>
      </c>
      <c r="F54" s="319"/>
      <c r="G54" s="497" t="e">
        <f>VLOOKUP(C54,'Ecoinvent Processes'!$B$1:$N$28,1,FALSE)</f>
        <v>#N/A</v>
      </c>
      <c r="H54"/>
      <c r="I54" s="318" t="s">
        <v>478</v>
      </c>
      <c r="J54" s="318" t="s">
        <v>478</v>
      </c>
      <c r="K54" s="318" t="s">
        <v>478</v>
      </c>
      <c r="L54" s="318" t="s">
        <v>478</v>
      </c>
      <c r="M54" s="318" t="s">
        <v>478</v>
      </c>
      <c r="N54" s="318" t="s">
        <v>478</v>
      </c>
      <c r="O54" s="320" t="s">
        <v>478</v>
      </c>
      <c r="P54" s="730" t="s">
        <v>478</v>
      </c>
      <c r="Q54" s="734">
        <f>DO54</f>
        <v>0</v>
      </c>
      <c r="R54" s="330"/>
      <c r="S54" s="400">
        <f t="shared" si="7"/>
        <v>0</v>
      </c>
      <c r="T54" s="403"/>
      <c r="U54" s="403"/>
      <c r="V54" s="403"/>
      <c r="W54" s="402"/>
      <c r="X54" s="402"/>
      <c r="Y54" s="402"/>
      <c r="Z54">
        <v>500</v>
      </c>
      <c r="AA54" s="682">
        <f>+Z54-BH54</f>
        <v>500</v>
      </c>
      <c r="AB54" s="338">
        <f>S54*Q54</f>
        <v>0</v>
      </c>
      <c r="AC54" s="331"/>
      <c r="AD54" s="331"/>
      <c r="AE54" s="331"/>
      <c r="AF54" s="331"/>
      <c r="AG54" s="331"/>
      <c r="AH54" s="331"/>
      <c r="AI54" s="331"/>
      <c r="AJ54" s="331"/>
      <c r="AK54" s="331"/>
      <c r="AL54" s="331"/>
      <c r="AM54" s="331"/>
      <c r="AN54" s="331"/>
      <c r="AO54" s="331"/>
      <c r="AP54" s="331"/>
      <c r="AQ54" s="331"/>
      <c r="AR54" s="331"/>
      <c r="AS54" s="331"/>
      <c r="AT54" s="331"/>
      <c r="AU54" s="331"/>
      <c r="AV54" s="331"/>
      <c r="AW54" s="331"/>
      <c r="AX54" s="331"/>
      <c r="AY54" s="331">
        <f t="shared" si="55"/>
        <v>0</v>
      </c>
      <c r="AZ54" s="331">
        <f>-AY54</f>
        <v>0</v>
      </c>
      <c r="BA54" s="331"/>
      <c r="BB54" s="331"/>
      <c r="BC54" s="331"/>
      <c r="BD54" s="331"/>
      <c r="BE54" s="331"/>
      <c r="BF54" s="331"/>
      <c r="BG54"/>
      <c r="BH54" s="341">
        <f t="shared" si="42"/>
        <v>0</v>
      </c>
      <c r="BI54" s="341">
        <f t="shared" si="43"/>
        <v>0</v>
      </c>
      <c r="BJ54" s="341">
        <f t="shared" si="44"/>
        <v>0</v>
      </c>
      <c r="BK54" s="336">
        <f t="shared" si="12"/>
        <v>0</v>
      </c>
      <c r="BL54" s="336">
        <f t="shared" si="13"/>
        <v>0</v>
      </c>
      <c r="BM54">
        <v>1</v>
      </c>
      <c r="BN54" s="204"/>
      <c r="BO54" s="541"/>
      <c r="BP54" s="399"/>
      <c r="BQ54" s="399"/>
      <c r="BR54" s="304"/>
      <c r="BS54" s="387"/>
      <c r="BT54" s="387"/>
      <c r="BU54" s="387"/>
      <c r="BV54" s="387"/>
      <c r="BW54" s="387"/>
      <c r="BX54" s="387"/>
      <c r="BY54" s="387"/>
      <c r="BZ54" s="387"/>
      <c r="CA54" s="387"/>
      <c r="CB54" s="387"/>
      <c r="CC54" s="387"/>
      <c r="CD54"/>
      <c r="CE54" s="670"/>
      <c r="CF54" s="670"/>
      <c r="CG54" s="670"/>
      <c r="CH54" s="670"/>
      <c r="CI54" s="670"/>
      <c r="CJ54" s="670"/>
      <c r="CK54" s="670"/>
      <c r="CL54" s="670"/>
      <c r="CM54" s="670"/>
      <c r="CN54" s="670"/>
      <c r="CO54" s="670"/>
      <c r="CP54" s="676"/>
      <c r="CQ54" s="670"/>
      <c r="CR54" s="670"/>
      <c r="CS54" s="670"/>
      <c r="CT54" s="670"/>
      <c r="CU54" s="670"/>
      <c r="CV54" s="670"/>
      <c r="CW54" s="670"/>
      <c r="CX54" s="670"/>
      <c r="CY54" s="670"/>
      <c r="CZ54" s="670">
        <v>1</v>
      </c>
      <c r="DA54" s="670">
        <v>-1</v>
      </c>
      <c r="DB54" s="670"/>
      <c r="DC54" s="670"/>
      <c r="DD54" s="670"/>
      <c r="DE54" s="671"/>
      <c r="DF54" s="671"/>
      <c r="DG54" s="670"/>
      <c r="DI54" s="393"/>
      <c r="DJ54" s="964"/>
      <c r="DK54" s="500">
        <v>0</v>
      </c>
      <c r="DL54" s="394" cm="1">
        <f t="array" ref="DL54">_xlfn.IFS(DM54=1,DK54,DM54=2,DJ54,DM54=0,DP54*SUMPRODUCT($DQ$5:$DX$5,DQ54:DX54))</f>
        <v>72.198456025559864</v>
      </c>
      <c r="DM54">
        <v>0</v>
      </c>
      <c r="DN54" s="291">
        <v>52</v>
      </c>
      <c r="DO54" s="525">
        <f>'FE - ACV Aluminum'!CN51</f>
        <v>0</v>
      </c>
      <c r="DP54" s="526">
        <v>1</v>
      </c>
      <c r="DQ54" s="525">
        <f>'FE - ACV Aluminum'!$CN$122</f>
        <v>0</v>
      </c>
      <c r="DR54" s="525">
        <f>'FE - ACV Aluminum'!$CN$123</f>
        <v>0</v>
      </c>
      <c r="DS54" s="525">
        <f>'FE - ACV Aluminum'!$CN$124</f>
        <v>0</v>
      </c>
      <c r="DT54" s="525">
        <f>'FE - ACV Aluminum'!$CN$125</f>
        <v>0.16</v>
      </c>
      <c r="DU54" s="525">
        <f>'FE - ACV Aluminum'!$CN$126</f>
        <v>0</v>
      </c>
      <c r="DV54" s="525">
        <f>'FE - ACV Aluminum'!$CN$127</f>
        <v>0.11</v>
      </c>
      <c r="DW54" s="525">
        <f>'FE - ACV Aluminum'!$CN$128</f>
        <v>0.73</v>
      </c>
      <c r="DX54" s="525">
        <f>'FE - ACV Aluminum'!$CN$129</f>
        <v>0</v>
      </c>
      <c r="DY54"/>
      <c r="DZ54" s="461">
        <v>0.50283071113461519</v>
      </c>
      <c r="EA54" s="395">
        <v>1</v>
      </c>
      <c r="EB54" s="396">
        <v>0</v>
      </c>
      <c r="EC54" s="396">
        <v>0</v>
      </c>
      <c r="ED54" s="396">
        <v>1</v>
      </c>
      <c r="EE54" s="396">
        <v>0</v>
      </c>
      <c r="EF54" s="396">
        <v>0</v>
      </c>
      <c r="EG54" s="396">
        <v>0</v>
      </c>
      <c r="EH54" s="396">
        <v>0</v>
      </c>
      <c r="EI54" s="396">
        <v>0</v>
      </c>
      <c r="EK54"/>
      <c r="EL54"/>
      <c r="EM54"/>
      <c r="EN54"/>
      <c r="EO54"/>
      <c r="EP54"/>
      <c r="EQ54"/>
      <c r="ER54"/>
      <c r="ES54"/>
      <c r="ET54"/>
    </row>
    <row r="55" spans="2:150" s="297" customFormat="1" ht="19.95" customHeight="1">
      <c r="D55" s="283"/>
      <c r="E55" s="321"/>
      <c r="F55" s="321"/>
      <c r="G55" s="321"/>
      <c r="H55" s="321"/>
      <c r="J55" s="330"/>
      <c r="K55" s="330"/>
      <c r="L55" s="330"/>
      <c r="M55" s="330"/>
      <c r="N55" s="330"/>
      <c r="O55" s="330"/>
      <c r="P55" s="330"/>
      <c r="Q55" s="330"/>
      <c r="R55" s="330"/>
      <c r="S55"/>
      <c r="T55"/>
      <c r="U55"/>
      <c r="V55"/>
      <c r="W55"/>
      <c r="X55"/>
      <c r="Y55"/>
      <c r="Z55"/>
      <c r="AA55"/>
      <c r="BG55"/>
      <c r="BM55"/>
      <c r="BN55"/>
      <c r="DM55"/>
      <c r="DN55" s="291"/>
      <c r="DO55"/>
      <c r="DP55"/>
      <c r="DQ55"/>
      <c r="DR55"/>
      <c r="DS55"/>
      <c r="DT55"/>
      <c r="DU55"/>
      <c r="DV55"/>
      <c r="DW55"/>
      <c r="DX55"/>
      <c r="DY55"/>
      <c r="DZ55"/>
      <c r="EA55"/>
      <c r="EB55"/>
      <c r="EC55"/>
    </row>
    <row r="56" spans="2:150" s="297" customFormat="1" ht="19.95" hidden="1" customHeight="1" outlineLevel="1">
      <c r="D56" s="283"/>
      <c r="E56" s="321" t="e">
        <f>+#REF!</f>
        <v>#REF!</v>
      </c>
      <c r="F56" s="321"/>
      <c r="G56" s="321"/>
      <c r="H56" s="321"/>
      <c r="BG56"/>
      <c r="BM56"/>
      <c r="BN56"/>
      <c r="DM56"/>
      <c r="DO56"/>
      <c r="DP56"/>
      <c r="DQ56"/>
      <c r="DR56"/>
      <c r="DS56"/>
      <c r="DT56"/>
      <c r="DU56"/>
      <c r="DV56"/>
      <c r="DW56"/>
      <c r="DX56"/>
      <c r="DY56"/>
      <c r="DZ56"/>
      <c r="EA56"/>
      <c r="EB56"/>
      <c r="EC56"/>
    </row>
    <row r="57" spans="2:150" s="297" customFormat="1" ht="19.95" hidden="1" customHeight="1" outlineLevel="1">
      <c r="D57" s="283"/>
      <c r="E57" s="321" t="e">
        <f>+#REF!</f>
        <v>#REF!</v>
      </c>
      <c r="F57" s="321"/>
      <c r="G57" s="321"/>
      <c r="H57" s="321"/>
      <c r="BG57"/>
      <c r="BM57"/>
      <c r="BN57"/>
      <c r="DM57"/>
      <c r="DO57"/>
      <c r="DP57"/>
      <c r="DQ57"/>
      <c r="DR57"/>
      <c r="DS57"/>
      <c r="DT57"/>
      <c r="DU57"/>
      <c r="DV57"/>
      <c r="DW57"/>
      <c r="DX57"/>
      <c r="DY57"/>
      <c r="DZ57"/>
      <c r="EA57"/>
      <c r="EB57"/>
      <c r="EC57"/>
    </row>
    <row r="58" spans="2:150" s="297" customFormat="1" ht="19.95" hidden="1" customHeight="1" outlineLevel="1">
      <c r="D58" s="283"/>
      <c r="E58" s="321" t="e">
        <f>+#REF!</f>
        <v>#REF!</v>
      </c>
      <c r="F58" s="321"/>
      <c r="G58" s="321"/>
      <c r="H58" s="321"/>
      <c r="BG58"/>
      <c r="BM58"/>
      <c r="BN58"/>
      <c r="DM58"/>
      <c r="DO58"/>
      <c r="DP58"/>
      <c r="DQ58"/>
      <c r="DR58"/>
      <c r="DS58"/>
      <c r="DT58"/>
      <c r="DU58"/>
      <c r="DV58"/>
      <c r="DW58"/>
      <c r="DX58"/>
      <c r="DY58"/>
      <c r="DZ58"/>
      <c r="EA58"/>
      <c r="EB58"/>
      <c r="EC58"/>
    </row>
    <row r="59" spans="2:150" s="297" customFormat="1" ht="19.95" hidden="1" customHeight="1" outlineLevel="1">
      <c r="D59" s="283"/>
      <c r="E59" s="321" t="e">
        <f>+#REF!</f>
        <v>#REF!</v>
      </c>
      <c r="F59" s="321"/>
      <c r="G59" s="321"/>
      <c r="H59" s="321"/>
      <c r="BG59"/>
      <c r="BM59"/>
      <c r="BN59"/>
      <c r="DM59"/>
      <c r="DO59"/>
      <c r="DP59"/>
      <c r="DQ59"/>
      <c r="DR59"/>
      <c r="DS59"/>
      <c r="DT59"/>
      <c r="DU59"/>
      <c r="DV59"/>
      <c r="DW59"/>
      <c r="DX59"/>
      <c r="DY59"/>
      <c r="DZ59"/>
      <c r="EA59"/>
      <c r="EB59"/>
      <c r="EC59"/>
    </row>
    <row r="60" spans="2:150" s="297" customFormat="1" ht="19.95" hidden="1" customHeight="1" outlineLevel="1">
      <c r="D60" s="283"/>
      <c r="E60" s="321" t="e">
        <f>+#REF!</f>
        <v>#REF!</v>
      </c>
      <c r="F60" s="321"/>
      <c r="G60" s="321"/>
      <c r="H60" s="321"/>
      <c r="BG60"/>
      <c r="BM60"/>
      <c r="BN60"/>
      <c r="DM60"/>
      <c r="DO60"/>
      <c r="DP60"/>
      <c r="DQ60"/>
      <c r="DR60"/>
      <c r="DS60"/>
      <c r="DT60"/>
      <c r="DU60"/>
      <c r="DV60"/>
      <c r="DW60"/>
      <c r="DX60"/>
      <c r="DY60"/>
      <c r="DZ60"/>
      <c r="EA60"/>
      <c r="EB60"/>
      <c r="EC60"/>
    </row>
    <row r="61" spans="2:150" s="297" customFormat="1" ht="19.95" hidden="1" customHeight="1" outlineLevel="1">
      <c r="D61" s="283"/>
      <c r="E61" s="321" t="e">
        <f>+#REF!</f>
        <v>#REF!</v>
      </c>
      <c r="F61" s="321"/>
      <c r="G61" s="321"/>
      <c r="H61" s="321"/>
      <c r="BG61"/>
      <c r="BM61"/>
      <c r="BN61"/>
      <c r="DM61"/>
      <c r="DY61"/>
      <c r="DZ61"/>
      <c r="EA61"/>
      <c r="EB61"/>
      <c r="EC61"/>
    </row>
    <row r="62" spans="2:150" s="297" customFormat="1" ht="19.95" hidden="1" customHeight="1" outlineLevel="1">
      <c r="D62" s="283"/>
      <c r="E62" s="321" t="e">
        <f>+#REF!</f>
        <v>#REF!</v>
      </c>
      <c r="F62" s="321"/>
      <c r="G62" s="321"/>
      <c r="H62" s="321"/>
      <c r="BG62"/>
      <c r="BM62"/>
      <c r="BN62"/>
      <c r="DM62"/>
      <c r="DY62"/>
      <c r="DZ62"/>
      <c r="EA62"/>
      <c r="EB62"/>
      <c r="EC62"/>
    </row>
    <row r="63" spans="2:150" s="297" customFormat="1" ht="19.95" hidden="1" customHeight="1" outlineLevel="1">
      <c r="D63" s="283"/>
      <c r="E63" s="321" t="e">
        <f>+#REF!</f>
        <v>#REF!</v>
      </c>
      <c r="F63" s="321"/>
      <c r="G63" s="321"/>
      <c r="H63" s="321"/>
      <c r="BG63"/>
      <c r="BM63"/>
      <c r="BN63"/>
      <c r="DM63"/>
      <c r="DY63"/>
      <c r="DZ63"/>
      <c r="EA63"/>
      <c r="EB63"/>
      <c r="EC63"/>
    </row>
    <row r="64" spans="2:150" s="297" customFormat="1" ht="19.95" customHeight="1" collapsed="1">
      <c r="D64" s="283"/>
      <c r="F64" s="321" t="s">
        <v>5341</v>
      </c>
      <c r="G64" s="321" t="s">
        <v>5342</v>
      </c>
      <c r="H64" s="321"/>
      <c r="BG64"/>
      <c r="BM64"/>
      <c r="BN64"/>
      <c r="DM64"/>
      <c r="DY64"/>
      <c r="DZ64"/>
      <c r="EA64"/>
      <c r="EB64"/>
      <c r="EC64"/>
    </row>
    <row r="65" spans="4:133" s="297" customFormat="1" ht="19.95" customHeight="1">
      <c r="D65" s="283"/>
      <c r="F65" s="321"/>
      <c r="G65" s="321"/>
      <c r="H65" s="321"/>
      <c r="BG65"/>
      <c r="BM65"/>
      <c r="BN65"/>
      <c r="DM65"/>
      <c r="DY65"/>
      <c r="DZ65"/>
      <c r="EA65"/>
      <c r="EB65"/>
      <c r="EC65"/>
    </row>
    <row r="66" spans="4:133" s="297" customFormat="1" ht="19.95" customHeight="1">
      <c r="D66" s="283"/>
      <c r="E66" s="321"/>
      <c r="F66" s="321"/>
      <c r="G66" s="321"/>
      <c r="H66" s="321"/>
      <c r="BG66"/>
      <c r="BM66"/>
      <c r="BN66"/>
      <c r="DM66"/>
      <c r="DY66"/>
      <c r="DZ66"/>
      <c r="EA66"/>
      <c r="EB66"/>
      <c r="EC66"/>
    </row>
    <row r="67" spans="4:133" s="297" customFormat="1" ht="19.95" customHeight="1">
      <c r="D67" s="283"/>
      <c r="BG67"/>
      <c r="BM67"/>
      <c r="BN67"/>
      <c r="DM67"/>
      <c r="DY67"/>
      <c r="DZ67"/>
      <c r="EA67"/>
      <c r="EB67"/>
      <c r="EC67"/>
    </row>
    <row r="68" spans="4:133" s="297" customFormat="1" ht="19.95" customHeight="1">
      <c r="D68" s="283"/>
      <c r="BG68"/>
      <c r="BM68"/>
      <c r="BN68"/>
      <c r="DM68"/>
      <c r="DY68"/>
      <c r="DZ68"/>
      <c r="EA68"/>
      <c r="EB68"/>
      <c r="EC68"/>
    </row>
    <row r="69" spans="4:133" s="297" customFormat="1" ht="19.95" customHeight="1">
      <c r="D69" s="283"/>
      <c r="BG69"/>
      <c r="BM69"/>
      <c r="BN69"/>
      <c r="DM69"/>
      <c r="DY69"/>
      <c r="DZ69"/>
      <c r="EA69"/>
      <c r="EB69"/>
      <c r="EC69"/>
    </row>
    <row r="70" spans="4:133" s="297" customFormat="1" ht="19.95" customHeight="1">
      <c r="D70" s="283"/>
      <c r="BG70"/>
      <c r="BM70"/>
      <c r="BN70"/>
      <c r="DM70"/>
      <c r="DY70"/>
      <c r="DZ70"/>
      <c r="EA70"/>
      <c r="EB70"/>
      <c r="EC70"/>
    </row>
    <row r="71" spans="4:133" s="297" customFormat="1" ht="19.95" customHeight="1">
      <c r="D71" s="283"/>
      <c r="BG71"/>
      <c r="BM71"/>
      <c r="BN71"/>
      <c r="DM71"/>
      <c r="DY71"/>
      <c r="DZ71"/>
      <c r="EA71"/>
      <c r="EB71"/>
      <c r="EC71"/>
    </row>
    <row r="72" spans="4:133" s="297" customFormat="1" ht="19.95" customHeight="1">
      <c r="D72" s="283"/>
      <c r="BG72"/>
      <c r="BM72"/>
      <c r="BN72"/>
      <c r="DM72"/>
      <c r="DY72"/>
      <c r="DZ72"/>
      <c r="EA72"/>
      <c r="EB72"/>
      <c r="EC72"/>
    </row>
    <row r="73" spans="4:133" s="297" customFormat="1" ht="19.95" customHeight="1">
      <c r="D73" s="283"/>
      <c r="BG73"/>
      <c r="BM73"/>
      <c r="BN73"/>
      <c r="DM73"/>
      <c r="DY73"/>
      <c r="DZ73"/>
      <c r="EA73"/>
      <c r="EB73"/>
      <c r="EC73"/>
    </row>
    <row r="74" spans="4:133" s="297" customFormat="1" ht="19.95" customHeight="1">
      <c r="D74" s="283"/>
      <c r="BG74"/>
      <c r="BM74"/>
      <c r="BN74"/>
      <c r="DM74"/>
      <c r="DY74"/>
      <c r="DZ74"/>
      <c r="EA74"/>
      <c r="EB74"/>
      <c r="EC74"/>
    </row>
    <row r="75" spans="4:133" s="297" customFormat="1" ht="19.95" customHeight="1">
      <c r="D75" s="283"/>
      <c r="BG75"/>
      <c r="BM75"/>
      <c r="BN75"/>
      <c r="DM75"/>
      <c r="DY75"/>
      <c r="DZ75"/>
      <c r="EA75"/>
      <c r="EB75"/>
      <c r="EC75"/>
    </row>
    <row r="76" spans="4:133" s="297" customFormat="1" ht="19.95" customHeight="1">
      <c r="D76" s="283"/>
      <c r="BG76"/>
      <c r="BM76"/>
      <c r="BN76"/>
      <c r="DM76"/>
      <c r="DY76"/>
      <c r="DZ76"/>
      <c r="EA76"/>
      <c r="EB76"/>
      <c r="EC76"/>
    </row>
    <row r="77" spans="4:133" s="297" customFormat="1" ht="19.95" customHeight="1">
      <c r="D77" s="283"/>
      <c r="BG77"/>
      <c r="BM77"/>
      <c r="BN77"/>
      <c r="DM77"/>
      <c r="DY77"/>
      <c r="DZ77"/>
      <c r="EA77"/>
      <c r="EB77"/>
      <c r="EC77"/>
    </row>
    <row r="78" spans="4:133" s="297" customFormat="1" ht="19.95" customHeight="1">
      <c r="D78" s="283"/>
      <c r="BG78"/>
      <c r="BM78"/>
      <c r="BN78"/>
      <c r="DM78"/>
      <c r="DY78"/>
      <c r="DZ78"/>
      <c r="EA78"/>
      <c r="EB78"/>
      <c r="EC78"/>
    </row>
    <row r="79" spans="4:133" s="297" customFormat="1" ht="19.95" customHeight="1">
      <c r="D79" s="283"/>
      <c r="BG79"/>
      <c r="BM79"/>
      <c r="BN79"/>
      <c r="DM79"/>
    </row>
    <row r="80" spans="4:133" s="297" customFormat="1" ht="19.95" customHeight="1">
      <c r="D80" s="283"/>
      <c r="BG80"/>
      <c r="BM80"/>
      <c r="BN80"/>
      <c r="DM80"/>
    </row>
    <row r="81" spans="4:117" s="297" customFormat="1" ht="19.95" customHeight="1">
      <c r="D81" s="283"/>
      <c r="BG81"/>
      <c r="BM81"/>
      <c r="BN81"/>
      <c r="DM81"/>
    </row>
    <row r="82" spans="4:117" s="297" customFormat="1" ht="19.95" customHeight="1">
      <c r="D82" s="283"/>
      <c r="BG82"/>
      <c r="BM82"/>
      <c r="BN82"/>
    </row>
    <row r="83" spans="4:117" s="297" customFormat="1" ht="19.95" customHeight="1">
      <c r="D83" s="283"/>
      <c r="BG83"/>
      <c r="BM83"/>
      <c r="BN83"/>
    </row>
    <row r="84" spans="4:117" s="297" customFormat="1" ht="19.95" customHeight="1">
      <c r="D84" s="283"/>
    </row>
    <row r="85" spans="4:117" s="297" customFormat="1" ht="19.95" customHeight="1">
      <c r="D85" s="283"/>
    </row>
  </sheetData>
  <autoFilter ref="A10:EJ54" xr:uid="{C6F2AE1A-4D00-4374-A9EC-EC8B61BE57BA}"/>
  <mergeCells count="5">
    <mergeCell ref="BH3:BJ3"/>
    <mergeCell ref="BS3:CA3"/>
    <mergeCell ref="DQ8:DX8"/>
    <mergeCell ref="DI7:DL7"/>
    <mergeCell ref="DO7:DX7"/>
  </mergeCells>
  <phoneticPr fontId="29" type="noConversion"/>
  <conditionalFormatting sqref="BH5:BH6">
    <cfRule type="cellIs" dxfId="17" priority="1" operator="lessThan">
      <formula>0</formula>
    </cfRule>
  </conditionalFormatting>
  <pageMargins left="0.511811024" right="0.511811024" top="0.78740157499999996" bottom="0.78740157499999996" header="0.31496062000000002" footer="0.31496062000000002"/>
  <pageSetup paperSize="9" orientation="portrait" horizontalDpi="300" verticalDpi="300" r:id="rId1"/>
  <ignoredErrors>
    <ignoredError sqref="G12 G21 G29 G46 G52 G54 G22 G23" evalError="1"/>
    <ignoredError sqref="BH15" formula="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CD668-38FA-43B9-AD13-30A0BA54FCDF}">
  <dimension ref="E6:V54"/>
  <sheetViews>
    <sheetView showGridLines="0" topLeftCell="A2" zoomScale="62" zoomScaleNormal="100" workbookViewId="0">
      <selection activeCell="G51" sqref="G51"/>
    </sheetView>
  </sheetViews>
  <sheetFormatPr defaultRowHeight="14.4"/>
  <sheetData>
    <row r="6" spans="5:10">
      <c r="G6" s="1048" t="s">
        <v>182</v>
      </c>
      <c r="H6" s="1048"/>
    </row>
    <row r="7" spans="5:10">
      <c r="G7" s="1048"/>
      <c r="H7" s="1048"/>
    </row>
    <row r="9" spans="5:10">
      <c r="G9" s="1055" t="s">
        <v>482</v>
      </c>
      <c r="H9" s="1055"/>
    </row>
    <row r="11" spans="5:10">
      <c r="E11" s="1047" t="s">
        <v>484</v>
      </c>
      <c r="F11" s="1047"/>
      <c r="I11" s="1047" t="s">
        <v>485</v>
      </c>
      <c r="J11" s="1047"/>
    </row>
    <row r="12" spans="5:10">
      <c r="E12" s="1047"/>
      <c r="F12" s="1047"/>
      <c r="I12" s="1047"/>
      <c r="J12" s="1047"/>
    </row>
    <row r="14" spans="5:10">
      <c r="E14" s="1055" t="s">
        <v>512</v>
      </c>
      <c r="F14" s="1055"/>
      <c r="I14" s="1055" t="s">
        <v>511</v>
      </c>
      <c r="J14" s="1055"/>
    </row>
    <row r="16" spans="5:10">
      <c r="E16" s="1046" t="s">
        <v>486</v>
      </c>
      <c r="F16" s="1046"/>
      <c r="I16" s="1047" t="s">
        <v>487</v>
      </c>
      <c r="J16" s="1047"/>
    </row>
    <row r="17" spans="5:20">
      <c r="E17" s="1046"/>
      <c r="F17" s="1046"/>
      <c r="I17" s="1047"/>
      <c r="J17" s="1047"/>
    </row>
    <row r="19" spans="5:20">
      <c r="G19" s="1055" t="s">
        <v>517</v>
      </c>
      <c r="H19" s="1055"/>
    </row>
    <row r="20" spans="5:20">
      <c r="O20" s="1056" t="s">
        <v>555</v>
      </c>
      <c r="P20" s="1056"/>
    </row>
    <row r="21" spans="5:20">
      <c r="I21" s="1046" t="s">
        <v>488</v>
      </c>
      <c r="J21" s="1046"/>
      <c r="O21" s="1056"/>
      <c r="P21" s="1056"/>
    </row>
    <row r="22" spans="5:20">
      <c r="I22" s="1046"/>
      <c r="J22" s="1046"/>
    </row>
    <row r="23" spans="5:20">
      <c r="O23" s="1056" t="s">
        <v>509</v>
      </c>
      <c r="P23" s="1056"/>
    </row>
    <row r="24" spans="5:20">
      <c r="G24" s="1044" t="s">
        <v>105</v>
      </c>
      <c r="H24" s="1045"/>
      <c r="O24" s="1056"/>
      <c r="P24" s="1056"/>
    </row>
    <row r="26" spans="5:20">
      <c r="I26" s="1046" t="s">
        <v>489</v>
      </c>
      <c r="J26" s="1046"/>
      <c r="L26" s="1056" t="s">
        <v>503</v>
      </c>
      <c r="M26" s="1056"/>
      <c r="O26" s="1056" t="s">
        <v>502</v>
      </c>
      <c r="P26" s="1056"/>
    </row>
    <row r="27" spans="5:20">
      <c r="I27" s="1046"/>
      <c r="J27" s="1046"/>
      <c r="L27" s="1056"/>
      <c r="M27" s="1056"/>
      <c r="O27" s="1056"/>
      <c r="P27" s="1056"/>
    </row>
    <row r="28" spans="5:20">
      <c r="S28" s="1048" t="s">
        <v>556</v>
      </c>
      <c r="T28" s="1048"/>
    </row>
    <row r="29" spans="5:20">
      <c r="G29" s="1044" t="s">
        <v>513</v>
      </c>
      <c r="H29" s="1045"/>
      <c r="K29" s="1044" t="s">
        <v>5</v>
      </c>
      <c r="L29" s="1045"/>
      <c r="M29" s="1044" t="s">
        <v>244</v>
      </c>
      <c r="N29" s="1045"/>
      <c r="O29" s="1044" t="s">
        <v>109</v>
      </c>
      <c r="P29" s="1045"/>
      <c r="S29" s="1048"/>
      <c r="T29" s="1048"/>
    </row>
    <row r="31" spans="5:20" ht="14.4" customHeight="1">
      <c r="F31" s="1056" t="s">
        <v>554</v>
      </c>
      <c r="G31" s="1056"/>
      <c r="I31" s="1044" t="s">
        <v>505</v>
      </c>
      <c r="J31" s="1045"/>
      <c r="P31" s="1044" t="s">
        <v>553</v>
      </c>
      <c r="Q31" s="1045"/>
      <c r="S31" s="1044" t="s">
        <v>203</v>
      </c>
      <c r="T31" s="1045"/>
    </row>
    <row r="32" spans="5:20">
      <c r="F32" s="1056"/>
      <c r="G32" s="1056"/>
    </row>
    <row r="33" spans="11:21">
      <c r="K33" s="1047" t="s">
        <v>491</v>
      </c>
      <c r="L33" s="1047"/>
      <c r="O33" s="1047" t="s">
        <v>490</v>
      </c>
      <c r="P33" s="1047"/>
      <c r="S33" s="1047" t="s">
        <v>524</v>
      </c>
      <c r="T33" s="1047"/>
    </row>
    <row r="34" spans="11:21">
      <c r="K34" s="1047"/>
      <c r="L34" s="1047"/>
      <c r="O34" s="1047"/>
      <c r="P34" s="1047"/>
      <c r="S34" s="1047"/>
      <c r="T34" s="1047"/>
    </row>
    <row r="36" spans="11:21" ht="25.8" customHeight="1">
      <c r="K36" s="1044" t="s">
        <v>4</v>
      </c>
      <c r="L36" s="1045"/>
      <c r="M36" s="1044" t="s">
        <v>3</v>
      </c>
      <c r="N36" s="1045"/>
      <c r="O36" s="1049" t="s">
        <v>492</v>
      </c>
      <c r="P36" s="1050"/>
      <c r="S36" s="1044" t="s">
        <v>521</v>
      </c>
      <c r="T36" s="1045"/>
    </row>
    <row r="38" spans="11:21">
      <c r="Q38" s="1047" t="s">
        <v>530</v>
      </c>
      <c r="R38" s="1047"/>
      <c r="T38" s="1051" t="s">
        <v>562</v>
      </c>
      <c r="U38" s="1052"/>
    </row>
    <row r="39" spans="11:21">
      <c r="Q39" s="1047"/>
      <c r="R39" s="1047"/>
      <c r="T39" s="1053"/>
      <c r="U39" s="1054"/>
    </row>
    <row r="41" spans="11:21">
      <c r="O41" s="1046" t="s">
        <v>527</v>
      </c>
      <c r="P41" s="1046"/>
      <c r="S41" s="1046" t="s">
        <v>5358</v>
      </c>
      <c r="T41" s="1046"/>
    </row>
    <row r="42" spans="11:21">
      <c r="O42" s="1046"/>
      <c r="P42" s="1046"/>
      <c r="S42" s="1046"/>
      <c r="T42" s="1046"/>
    </row>
    <row r="43" spans="11:21">
      <c r="O43" s="1057"/>
      <c r="P43" s="1057"/>
    </row>
    <row r="44" spans="11:21">
      <c r="M44" s="1046" t="s">
        <v>557</v>
      </c>
      <c r="N44" s="1046"/>
      <c r="O44" s="1057"/>
      <c r="P44" s="1057"/>
      <c r="Q44" s="1046" t="s">
        <v>525</v>
      </c>
      <c r="R44" s="1046"/>
      <c r="T44" s="1046" t="s">
        <v>5475</v>
      </c>
      <c r="U44" s="1046"/>
    </row>
    <row r="45" spans="11:21">
      <c r="M45" s="1046"/>
      <c r="N45" s="1046"/>
      <c r="Q45" s="1046"/>
      <c r="R45" s="1046"/>
      <c r="T45" s="1046"/>
      <c r="U45" s="1046"/>
    </row>
    <row r="48" spans="11:21">
      <c r="Q48" s="1058" t="s">
        <v>558</v>
      </c>
      <c r="R48" s="1058"/>
    </row>
    <row r="50" spans="12:22">
      <c r="N50" s="1046" t="s">
        <v>559</v>
      </c>
      <c r="O50" s="1046"/>
      <c r="Q50" s="1046" t="s">
        <v>196</v>
      </c>
      <c r="R50" s="1046"/>
      <c r="T50" s="1046" t="s">
        <v>479</v>
      </c>
      <c r="U50" s="1046"/>
    </row>
    <row r="51" spans="12:22">
      <c r="N51" s="1046"/>
      <c r="O51" s="1046"/>
      <c r="Q51" s="1046"/>
      <c r="R51" s="1046"/>
      <c r="T51" s="1046"/>
      <c r="U51" s="1046"/>
    </row>
    <row r="53" spans="12:22">
      <c r="L53" s="1047" t="s">
        <v>480</v>
      </c>
      <c r="M53" s="1047"/>
      <c r="O53" s="1047" t="s">
        <v>5194</v>
      </c>
      <c r="P53" s="1047"/>
      <c r="R53" s="1047" t="s">
        <v>5269</v>
      </c>
      <c r="S53" s="1047"/>
      <c r="U53" s="1047" t="s">
        <v>5195</v>
      </c>
      <c r="V53" s="1047"/>
    </row>
    <row r="54" spans="12:22">
      <c r="L54" s="1047"/>
      <c r="M54" s="1047"/>
      <c r="O54" s="1047"/>
      <c r="P54" s="1047"/>
      <c r="R54" s="1047"/>
      <c r="S54" s="1047"/>
      <c r="U54" s="1047"/>
      <c r="V54" s="1047"/>
    </row>
  </sheetData>
  <mergeCells count="48">
    <mergeCell ref="L53:M54"/>
    <mergeCell ref="Q48:R48"/>
    <mergeCell ref="T50:U51"/>
    <mergeCell ref="Q50:R51"/>
    <mergeCell ref="N50:O51"/>
    <mergeCell ref="U53:V54"/>
    <mergeCell ref="R53:S54"/>
    <mergeCell ref="O53:P54"/>
    <mergeCell ref="E11:F12"/>
    <mergeCell ref="I11:J12"/>
    <mergeCell ref="M36:N36"/>
    <mergeCell ref="T44:U45"/>
    <mergeCell ref="S41:T42"/>
    <mergeCell ref="O41:P42"/>
    <mergeCell ref="O43:P44"/>
    <mergeCell ref="F31:G32"/>
    <mergeCell ref="O20:P21"/>
    <mergeCell ref="E16:F17"/>
    <mergeCell ref="I16:J17"/>
    <mergeCell ref="I14:J14"/>
    <mergeCell ref="E14:F14"/>
    <mergeCell ref="S31:T31"/>
    <mergeCell ref="Q38:R39"/>
    <mergeCell ref="S33:T34"/>
    <mergeCell ref="G9:H9"/>
    <mergeCell ref="G6:H7"/>
    <mergeCell ref="O23:P24"/>
    <mergeCell ref="O26:P27"/>
    <mergeCell ref="L26:M27"/>
    <mergeCell ref="G19:H19"/>
    <mergeCell ref="M44:N45"/>
    <mergeCell ref="Q44:R45"/>
    <mergeCell ref="I21:J22"/>
    <mergeCell ref="S28:T29"/>
    <mergeCell ref="O36:P36"/>
    <mergeCell ref="K36:L36"/>
    <mergeCell ref="S36:T36"/>
    <mergeCell ref="T38:U39"/>
    <mergeCell ref="G29:H29"/>
    <mergeCell ref="G24:H24"/>
    <mergeCell ref="I26:J27"/>
    <mergeCell ref="O33:P34"/>
    <mergeCell ref="K33:L34"/>
    <mergeCell ref="M29:N29"/>
    <mergeCell ref="K29:L29"/>
    <mergeCell ref="O29:P29"/>
    <mergeCell ref="I31:J31"/>
    <mergeCell ref="P31:Q31"/>
  </mergeCells>
  <pageMargins left="0.511811024" right="0.511811024" top="0.78740157499999996" bottom="0.78740157499999996" header="0.31496062000000002" footer="0.31496062000000002"/>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CCF74-8ADA-49AA-828C-CB99119B4D39}">
  <dimension ref="D2:N59"/>
  <sheetViews>
    <sheetView showGridLines="0" tabSelected="1" zoomScale="45" zoomScaleNormal="40" workbookViewId="0">
      <selection activeCell="X25" sqref="X25"/>
    </sheetView>
  </sheetViews>
  <sheetFormatPr defaultRowHeight="14.4"/>
  <cols>
    <col min="2" max="2" width="18.88671875" bestFit="1" customWidth="1"/>
    <col min="4" max="4" width="30.44140625" bestFit="1" customWidth="1"/>
    <col min="5" max="5" width="35.88671875" bestFit="1" customWidth="1"/>
    <col min="6" max="6" width="24.5546875" bestFit="1" customWidth="1"/>
    <col min="7" max="8" width="31.88671875" bestFit="1" customWidth="1"/>
    <col min="10" max="10" width="32.6640625" bestFit="1" customWidth="1"/>
    <col min="11" max="11" width="31.109375" bestFit="1" customWidth="1"/>
    <col min="13" max="13" width="22.44140625" bestFit="1" customWidth="1"/>
    <col min="14" max="14" width="18.6640625" bestFit="1" customWidth="1"/>
    <col min="15" max="15" width="18.21875" bestFit="1" customWidth="1"/>
    <col min="16" max="16" width="18.44140625" bestFit="1" customWidth="1"/>
    <col min="22" max="22" width="10.5546875" bestFit="1" customWidth="1"/>
  </cols>
  <sheetData>
    <row r="2" spans="5:10" ht="25.2">
      <c r="E2" s="1260" t="s">
        <v>5935</v>
      </c>
      <c r="J2" s="1260" t="s">
        <v>5943</v>
      </c>
    </row>
    <row r="3" spans="5:10" ht="25.2">
      <c r="E3" s="1261" t="s">
        <v>6</v>
      </c>
      <c r="J3" s="1261" t="s">
        <v>5587</v>
      </c>
    </row>
    <row r="9" spans="5:10" ht="25.2">
      <c r="F9" s="1259" t="s">
        <v>5585</v>
      </c>
    </row>
    <row r="10" spans="5:10" ht="25.2">
      <c r="F10" s="1260" t="s">
        <v>5936</v>
      </c>
    </row>
    <row r="17" spans="4:7" ht="25.2">
      <c r="E17" s="1260" t="s">
        <v>5937</v>
      </c>
    </row>
    <row r="18" spans="4:7" ht="25.2">
      <c r="E18" s="1261" t="s">
        <v>5</v>
      </c>
    </row>
    <row r="24" spans="4:7" ht="25.2">
      <c r="G24" s="1259" t="s">
        <v>5939</v>
      </c>
    </row>
    <row r="25" spans="4:7" ht="25.2">
      <c r="D25" s="1259" t="s">
        <v>5938</v>
      </c>
      <c r="G25" s="1260" t="s">
        <v>5941</v>
      </c>
    </row>
    <row r="26" spans="4:7" ht="25.2">
      <c r="D26" s="1260" t="s">
        <v>5940</v>
      </c>
    </row>
    <row r="27" spans="4:7" ht="25.2">
      <c r="D27" s="1260"/>
    </row>
    <row r="33" spans="5:14" ht="25.2">
      <c r="E33" s="1260" t="s">
        <v>5942</v>
      </c>
    </row>
    <row r="34" spans="5:14" ht="25.2">
      <c r="E34" s="1261" t="s">
        <v>32</v>
      </c>
    </row>
    <row r="39" spans="5:14" ht="25.2">
      <c r="J39" s="1259" t="s">
        <v>5944</v>
      </c>
    </row>
    <row r="40" spans="5:14" ht="25.2">
      <c r="J40" s="1260" t="s">
        <v>5945</v>
      </c>
    </row>
    <row r="48" spans="5:14" ht="25.2">
      <c r="N48" s="1259" t="s">
        <v>5572</v>
      </c>
    </row>
    <row r="49" spans="10:14" ht="25.2">
      <c r="N49" s="1260" t="s">
        <v>5947</v>
      </c>
    </row>
    <row r="51" spans="10:14" ht="25.2">
      <c r="J51" s="1259" t="s">
        <v>527</v>
      </c>
    </row>
    <row r="52" spans="10:14" ht="25.2">
      <c r="J52" s="1260" t="s">
        <v>5946</v>
      </c>
    </row>
    <row r="58" spans="10:14" ht="25.2">
      <c r="N58" s="1259" t="s">
        <v>5573</v>
      </c>
    </row>
    <row r="59" spans="10:14" ht="25.2">
      <c r="N59" s="1260" t="s">
        <v>5948</v>
      </c>
    </row>
  </sheetData>
  <pageMargins left="0.511811024" right="0.511811024" top="0.78740157499999996" bottom="0.78740157499999996" header="0.31496062000000002" footer="0.31496062000000002"/>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B704-1434-4139-AC8D-4B50FD871D33}">
  <sheetPr>
    <tabColor theme="9" tint="0.39997558519241921"/>
  </sheetPr>
  <dimension ref="A1:EO133"/>
  <sheetViews>
    <sheetView showGridLines="0" topLeftCell="A10" zoomScale="61" zoomScaleNormal="60" workbookViewId="0">
      <selection activeCell="CN7" sqref="CN7"/>
    </sheetView>
  </sheetViews>
  <sheetFormatPr defaultRowHeight="14.4" outlineLevelRow="1" outlineLevelCol="3"/>
  <cols>
    <col min="1" max="1" width="6.109375" customWidth="1"/>
    <col min="2" max="2" width="11.6640625" hidden="1" customWidth="1" outlineLevel="1"/>
    <col min="3" max="3" width="12" hidden="1" customWidth="1" outlineLevel="1"/>
    <col min="4" max="4" width="13.77734375" hidden="1" customWidth="1" outlineLevel="1"/>
    <col min="5" max="5" width="12.109375" hidden="1" customWidth="1" outlineLevel="1"/>
    <col min="6" max="6" width="11.44140625" hidden="1" customWidth="1" outlineLevel="2"/>
    <col min="7" max="7" width="16.44140625" hidden="1" customWidth="1" outlineLevel="1"/>
    <col min="8" max="8" width="8.6640625" hidden="1" customWidth="1" outlineLevel="1"/>
    <col min="9" max="9" width="5.6640625" hidden="1" customWidth="1" outlineLevel="2"/>
    <col min="10" max="10" width="32" hidden="1" customWidth="1" outlineLevel="1"/>
    <col min="11" max="13" width="8.109375" hidden="1" customWidth="1" outlineLevel="1"/>
    <col min="14" max="15" width="8.88671875" hidden="1" customWidth="1" outlineLevel="1"/>
    <col min="16" max="16" width="8.109375" hidden="1" customWidth="1" outlineLevel="1"/>
    <col min="17" max="17" width="13.21875" hidden="1" customWidth="1" outlineLevel="2"/>
    <col min="18" max="18" width="9.109375" hidden="1" customWidth="1" outlineLevel="2"/>
    <col min="19" max="19" width="11.88671875" hidden="1" customWidth="1" outlineLevel="2"/>
    <col min="20" max="20" width="9.44140625" hidden="1" customWidth="1" outlineLevel="2"/>
    <col min="21" max="21" width="5.77734375" hidden="1" customWidth="1" outlineLevel="1"/>
    <col min="22" max="23" width="7.88671875" hidden="1" customWidth="1" outlineLevel="2"/>
    <col min="24" max="25" width="9.33203125" hidden="1" customWidth="1" outlineLevel="2"/>
    <col min="26" max="28" width="11.88671875" hidden="1" customWidth="1" outlineLevel="2"/>
    <col min="29" max="29" width="34.5546875" hidden="1" customWidth="1" outlineLevel="2"/>
    <col min="30" max="30" width="8.88671875" hidden="1" customWidth="1" outlineLevel="2"/>
    <col min="31" max="31" width="5.77734375" hidden="1" customWidth="1" outlineLevel="1" collapsed="1"/>
    <col min="32" max="32" width="38.77734375" hidden="1" customWidth="1" outlineLevel="2"/>
    <col min="33" max="33" width="9.5546875" hidden="1" customWidth="1" outlineLevel="2"/>
    <col min="34" max="34" width="8.77734375" hidden="1" customWidth="1" outlineLevel="2"/>
    <col min="35" max="35" width="7.33203125" hidden="1" customWidth="1" outlineLevel="2"/>
    <col min="36" max="37" width="9.5546875" hidden="1" customWidth="1" outlineLevel="2"/>
    <col min="38" max="38" width="10" hidden="1" customWidth="1" outlineLevel="2"/>
    <col min="39" max="39" width="8.88671875" hidden="1" customWidth="1" outlineLevel="2"/>
    <col min="40" max="40" width="26.44140625" hidden="1" customWidth="1" outlineLevel="2"/>
    <col min="41" max="41" width="6.21875" hidden="1" customWidth="1" outlineLevel="2"/>
    <col min="42" max="42" width="7.33203125" hidden="1" customWidth="1" outlineLevel="2"/>
    <col min="43" max="43" width="10" hidden="1" customWidth="1" outlineLevel="2"/>
    <col min="44" max="44" width="5.77734375" hidden="1" customWidth="1" outlineLevel="1" collapsed="1"/>
    <col min="45" max="45" width="38.77734375" hidden="1" customWidth="1" outlineLevel="2"/>
    <col min="46" max="46" width="5.5546875" hidden="1" customWidth="1" outlineLevel="2"/>
    <col min="47" max="47" width="8.88671875" hidden="1" customWidth="1" outlineLevel="2"/>
    <col min="48" max="48" width="16.77734375" hidden="1" customWidth="1" outlineLevel="2"/>
    <col min="49" max="51" width="16.77734375" hidden="1" customWidth="1" outlineLevel="3"/>
    <col min="52" max="52" width="16.77734375" hidden="1" customWidth="1" outlineLevel="2"/>
    <col min="53" max="55" width="16.77734375" hidden="1" customWidth="1" outlineLevel="3"/>
    <col min="56" max="56" width="16.77734375" hidden="1" customWidth="1" outlineLevel="2"/>
    <col min="57" max="59" width="16.77734375" hidden="1" customWidth="1" outlineLevel="3"/>
    <col min="60" max="60" width="16.77734375" hidden="1" customWidth="1" outlineLevel="2"/>
    <col min="61" max="63" width="16.77734375" hidden="1" customWidth="1" outlineLevel="3"/>
    <col min="64" max="64" width="16.77734375" hidden="1" customWidth="1" outlineLevel="2"/>
    <col min="65" max="67" width="16.77734375" hidden="1" customWidth="1" outlineLevel="3"/>
    <col min="68" max="68" width="16.77734375" hidden="1" customWidth="1" outlineLevel="2"/>
    <col min="69" max="71" width="16.77734375" hidden="1" customWidth="1" outlineLevel="3"/>
    <col min="72" max="72" width="16.77734375" hidden="1" customWidth="1" outlineLevel="2"/>
    <col min="73" max="75" width="16.77734375" hidden="1" customWidth="1" outlineLevel="3"/>
    <col min="76" max="76" width="16.77734375" hidden="1" customWidth="1" outlineLevel="2"/>
    <col min="77" max="79" width="16.77734375" hidden="1" customWidth="1" outlineLevel="3"/>
    <col min="80" max="80" width="16.77734375" hidden="1" customWidth="1" outlineLevel="2"/>
    <col min="81" max="83" width="16.77734375" hidden="1" customWidth="1" outlineLevel="3"/>
    <col min="84" max="84" width="16.77734375" hidden="1" customWidth="1" outlineLevel="2"/>
    <col min="85" max="87" width="16.77734375" hidden="1" customWidth="1" outlineLevel="3"/>
    <col min="88" max="88" width="8.88671875" hidden="1" customWidth="1" outlineLevel="2"/>
    <col min="89" max="89" width="5.77734375" hidden="1" customWidth="1" outlineLevel="1" collapsed="1"/>
    <col min="90" max="90" width="8.88671875" style="719" collapsed="1"/>
    <col min="91" max="91" width="65.77734375" customWidth="1"/>
    <col min="92" max="92" width="11.109375" customWidth="1"/>
    <col min="93" max="93" width="15.77734375" customWidth="1" outlineLevel="1"/>
    <col min="94" max="94" width="5.5546875" customWidth="1" outlineLevel="1"/>
    <col min="95" max="95" width="65.77734375" bestFit="1" customWidth="1"/>
    <col min="96" max="118" width="13.44140625" hidden="1" customWidth="1" outlineLevel="1"/>
    <col min="119" max="119" width="13.44140625" customWidth="1" collapsed="1"/>
    <col min="120" max="120" width="13.44140625" customWidth="1"/>
    <col min="121" max="124" width="12.5546875" customWidth="1"/>
    <col min="125" max="126" width="36.77734375" hidden="1" customWidth="1" outlineLevel="1"/>
    <col min="127" max="127" width="13.77734375" customWidth="1" collapsed="1"/>
    <col min="128" max="128" width="14.77734375" hidden="1" customWidth="1" outlineLevel="1"/>
    <col min="129" max="129" width="25.77734375" hidden="1" customWidth="1" outlineLevel="1"/>
    <col min="130" max="132" width="14.77734375" hidden="1" customWidth="1" outlineLevel="1"/>
    <col min="133" max="133" width="14.88671875" bestFit="1" customWidth="1" collapsed="1"/>
    <col min="134" max="134" width="14.88671875" customWidth="1"/>
    <col min="135" max="135" width="25.21875" customWidth="1"/>
    <col min="136" max="136" width="43.77734375" customWidth="1"/>
    <col min="137" max="137" width="38.44140625" customWidth="1"/>
    <col min="138" max="138" width="27.88671875" customWidth="1"/>
    <col min="139" max="139" width="17.77734375" customWidth="1"/>
    <col min="140" max="143" width="0" hidden="1" customWidth="1" outlineLevel="1"/>
    <col min="144" max="144" width="10.77734375" hidden="1" customWidth="1" outlineLevel="1"/>
    <col min="145" max="145" width="49.44140625" bestFit="1" customWidth="1" collapsed="1"/>
  </cols>
  <sheetData>
    <row r="1" spans="1:145" ht="15.6" customHeight="1" thickBot="1">
      <c r="A1" s="625" t="s">
        <v>5489</v>
      </c>
      <c r="B1" s="625" t="s">
        <v>5490</v>
      </c>
      <c r="C1" s="625" t="s">
        <v>5491</v>
      </c>
      <c r="D1" s="625" t="s">
        <v>5492</v>
      </c>
      <c r="E1" s="625" t="s">
        <v>5494</v>
      </c>
      <c r="F1" s="625" t="s">
        <v>5493</v>
      </c>
    </row>
    <row r="2" spans="1:145" ht="29.4" thickBot="1">
      <c r="B2" s="628" t="s">
        <v>5463</v>
      </c>
      <c r="C2" s="1182" t="str">
        <f>CN7</f>
        <v>Calibragem Simapro</v>
      </c>
      <c r="D2" s="1183"/>
      <c r="E2" s="1183"/>
      <c r="F2" s="1183"/>
      <c r="G2" s="1183"/>
      <c r="H2" s="1183"/>
      <c r="I2" s="1183"/>
      <c r="J2" s="1183"/>
      <c r="K2" s="1183"/>
      <c r="L2" s="1183"/>
      <c r="M2" s="1183"/>
      <c r="N2" s="1183"/>
      <c r="O2" s="1183"/>
      <c r="P2" s="1184"/>
      <c r="Q2" s="626" t="s">
        <v>5490</v>
      </c>
      <c r="AG2" s="563" t="s">
        <v>5384</v>
      </c>
      <c r="AH2" s="563" t="s">
        <v>5385</v>
      </c>
      <c r="AI2" s="563" t="s">
        <v>5386</v>
      </c>
      <c r="AJ2" s="563" t="s">
        <v>5465</v>
      </c>
      <c r="AK2" s="563" t="s">
        <v>5466</v>
      </c>
      <c r="AL2" s="563" t="s">
        <v>5396</v>
      </c>
      <c r="AO2" s="563" t="s">
        <v>5384</v>
      </c>
      <c r="AP2" s="555" t="s">
        <v>5393</v>
      </c>
      <c r="AQ2" s="563" t="s">
        <v>5396</v>
      </c>
      <c r="DW2" s="934" t="s">
        <v>5854</v>
      </c>
      <c r="EC2" s="934" t="s">
        <v>5850</v>
      </c>
    </row>
    <row r="3" spans="1:145" ht="24" thickBot="1">
      <c r="B3" s="632">
        <f>'FE - Aluminum'!AB6</f>
        <v>5.6865853964078932</v>
      </c>
      <c r="C3" s="1185" t="e">
        <f>(C5*H5/1000)+B41</f>
        <v>#REF!</v>
      </c>
      <c r="D3" s="1185"/>
      <c r="E3" s="1185"/>
      <c r="F3" s="1185"/>
      <c r="G3" s="594"/>
      <c r="H3" s="1186" t="s">
        <v>5376</v>
      </c>
      <c r="I3" s="1186"/>
      <c r="J3" s="1186"/>
      <c r="K3" s="1186"/>
      <c r="L3" s="1186"/>
      <c r="M3" s="1186"/>
      <c r="N3" s="1186"/>
      <c r="O3" s="1186"/>
      <c r="P3" s="1187"/>
      <c r="W3" s="559"/>
      <c r="AF3" s="560" t="s">
        <v>5394</v>
      </c>
      <c r="AG3" s="562">
        <f>VLOOKUP(AF3,'FE - Aluminum'!$E$11:$BH$54,54,FALSE)/'FE - Aluminum'!$AV$10</f>
        <v>0</v>
      </c>
      <c r="AH3" s="562">
        <f>VLOOKUP(AF3,'FE - Aluminum'!$E$11:$DP$54,112,FALSE)</f>
        <v>57.900603930629039</v>
      </c>
      <c r="AI3" s="562">
        <f>AG3*AH3</f>
        <v>0</v>
      </c>
      <c r="AJ3" s="562">
        <f>VLOOKUP(AF3,'FE - Aluminum'!$E$11:$DP$54,108,FALSE)</f>
        <v>0</v>
      </c>
      <c r="AK3" s="562">
        <f>AJ3*AG3</f>
        <v>0</v>
      </c>
      <c r="AL3" s="564">
        <f>AL5</f>
        <v>0</v>
      </c>
      <c r="AN3" s="560" t="s">
        <v>555</v>
      </c>
      <c r="AO3" s="562">
        <f>VLOOKUP(AN3,'FE - Aluminum'!$E$11:$BH$54,54,FALSE)/'FE - Aluminum'!$AV$10</f>
        <v>0</v>
      </c>
      <c r="AP3" s="562">
        <f>VLOOKUP(AN3,'FE - Aluminum'!$E$11:$DL$54,108,FALSE)/1000</f>
        <v>0</v>
      </c>
      <c r="AQ3" s="569">
        <f>IFERROR(AO3/(AO3+AO4),0)</f>
        <v>0</v>
      </c>
    </row>
    <row r="4" spans="1:145" ht="29.4" customHeight="1" thickBot="1">
      <c r="B4" s="628" t="s">
        <v>5463</v>
      </c>
      <c r="C4" s="1188" t="s">
        <v>5377</v>
      </c>
      <c r="D4" s="1188"/>
      <c r="E4" s="1188"/>
      <c r="F4" s="1188"/>
      <c r="G4" s="431" t="s">
        <v>5463</v>
      </c>
      <c r="H4" s="1188" t="s">
        <v>5378</v>
      </c>
      <c r="I4" s="1188"/>
      <c r="J4" s="1189"/>
      <c r="K4" s="1189"/>
      <c r="L4" s="1189"/>
      <c r="M4" s="1189"/>
      <c r="N4" s="1189"/>
      <c r="O4" s="1189"/>
      <c r="P4" s="1190"/>
      <c r="W4" s="561"/>
      <c r="Y4" s="561"/>
      <c r="AN4" s="560" t="s">
        <v>554</v>
      </c>
      <c r="AO4" s="562">
        <f>VLOOKUP(AN4,'FE - Aluminum'!$E$11:$BH$54,54,FALSE)/'FE - Aluminum'!$AV$10</f>
        <v>0</v>
      </c>
      <c r="AP4" s="562">
        <f>VLOOKUP(AN4,'FE - Aluminum'!$E$11:$DL$54,108,FALSE)/1000</f>
        <v>0</v>
      </c>
      <c r="AQ4" s="569">
        <f>IFERROR(AO4/(AO4+AO3),0)</f>
        <v>0</v>
      </c>
      <c r="CR4" s="1161" t="s">
        <v>5904</v>
      </c>
      <c r="CS4" s="1162"/>
      <c r="CT4" s="1162"/>
      <c r="CU4" s="1162"/>
      <c r="CV4" s="1162"/>
      <c r="CW4" s="1162"/>
      <c r="CX4" s="1163"/>
      <c r="CY4" s="1161" t="s">
        <v>5904</v>
      </c>
      <c r="CZ4" s="1162"/>
      <c r="DA4" s="1162"/>
      <c r="DB4" s="1162"/>
      <c r="DC4" s="1162"/>
      <c r="DD4" s="1162"/>
      <c r="DE4" s="1162"/>
      <c r="DF4" s="1161" t="s">
        <v>5904</v>
      </c>
      <c r="DG4" s="1162"/>
      <c r="DH4" s="1162"/>
      <c r="DI4" s="1162"/>
      <c r="DJ4" s="1162"/>
      <c r="DK4" s="1162"/>
      <c r="DL4" s="1163"/>
    </row>
    <row r="5" spans="1:145" ht="18.600000000000001" thickBot="1">
      <c r="B5" s="632">
        <f>1000*(B3-'FE - Aluminum'!CB5)/G5</f>
        <v>97.152800491040793</v>
      </c>
      <c r="C5" s="1199">
        <f>SUMPRODUCT(C8:C15,F8:F15)</f>
        <v>54.790039533270686</v>
      </c>
      <c r="D5" s="1199"/>
      <c r="E5" s="1197" t="s">
        <v>5379</v>
      </c>
      <c r="F5" s="1198"/>
      <c r="G5" s="633">
        <f>'FE - Aluminum'!BI8/1000</f>
        <v>58.53238782275038</v>
      </c>
      <c r="H5" s="1191" t="e">
        <f>SUMPRODUCT(H8:H14,K8:K14,L8:L14)+SUMPRODUCT(H17:H26,K17:K26,L17:L26)+H15*H8*K15*L15+H16*H8*K16*L16+SUMPRODUCT(H31:H36,K31:K36,L31:L36)</f>
        <v>#REF!</v>
      </c>
      <c r="I5" s="1192"/>
      <c r="J5" s="1193" t="s">
        <v>5380</v>
      </c>
      <c r="K5" s="1193"/>
      <c r="L5" s="1193"/>
      <c r="M5" s="1193"/>
      <c r="N5" s="1193"/>
      <c r="O5" s="1193"/>
      <c r="P5" s="1194"/>
      <c r="AF5" s="560" t="s">
        <v>5395</v>
      </c>
      <c r="AG5" s="562">
        <f>VLOOKUP(AF5,'FE - Aluminum'!$E$11:$BH$54,54,FALSE)/'FE - Aluminum'!$AV$10</f>
        <v>0</v>
      </c>
      <c r="AH5" s="562">
        <f>VLOOKUP(AF5,'FE - Aluminum'!$E$11:$DP$54,112,FALSE)</f>
        <v>195.09820187567726</v>
      </c>
      <c r="AI5" s="562">
        <f>AG5*AH5</f>
        <v>0</v>
      </c>
      <c r="AJ5" s="562">
        <f>VLOOKUP(AF5,'FE - Aluminum'!$E$11:$DP$54,108,FALSE)</f>
        <v>0</v>
      </c>
      <c r="AK5" s="562">
        <f>AJ5*AG5</f>
        <v>0</v>
      </c>
      <c r="AL5" s="564">
        <f>VLOOKUP(AF5,'FE - Aluminum'!$E$11:$DP$54,111,FALSE)</f>
        <v>0</v>
      </c>
      <c r="AS5" s="581"/>
      <c r="AT5" s="581"/>
      <c r="AU5" s="581"/>
      <c r="AV5" s="582" t="s">
        <v>5333</v>
      </c>
      <c r="AW5" s="583"/>
      <c r="AX5" s="583"/>
      <c r="AY5" s="584"/>
      <c r="AZ5" s="582" t="s">
        <v>5401</v>
      </c>
      <c r="BA5" s="583"/>
      <c r="BB5" s="583"/>
      <c r="BC5" s="584"/>
      <c r="BD5" s="582" t="s">
        <v>5402</v>
      </c>
      <c r="BE5" s="583"/>
      <c r="BF5" s="583"/>
      <c r="BG5" s="584"/>
      <c r="BH5" s="582" t="s">
        <v>451</v>
      </c>
      <c r="BI5" s="583"/>
      <c r="BJ5" s="583"/>
      <c r="BK5" s="584"/>
      <c r="BL5" s="582" t="s">
        <v>5403</v>
      </c>
      <c r="BM5" s="583"/>
      <c r="BN5" s="583"/>
      <c r="BO5" s="584"/>
      <c r="BP5" s="582" t="s">
        <v>5404</v>
      </c>
      <c r="BQ5" s="583"/>
      <c r="BR5" s="583"/>
      <c r="BS5" s="584"/>
      <c r="BT5" s="585" t="s">
        <v>5405</v>
      </c>
      <c r="BU5" s="585"/>
      <c r="BV5" s="585"/>
      <c r="BW5" s="585"/>
      <c r="BX5" s="586" t="s">
        <v>5406</v>
      </c>
      <c r="BY5" s="586"/>
      <c r="BZ5" s="586"/>
      <c r="CA5" s="586"/>
      <c r="CB5" s="586" t="s">
        <v>5407</v>
      </c>
      <c r="CC5" s="586"/>
      <c r="CD5" s="586"/>
      <c r="CE5" s="586"/>
      <c r="CF5" s="586" t="s">
        <v>5408</v>
      </c>
      <c r="CG5" s="586"/>
      <c r="CH5" s="586"/>
      <c r="CI5" s="586"/>
      <c r="CR5" s="1164" t="s">
        <v>5907</v>
      </c>
      <c r="CS5" s="1165"/>
      <c r="CT5" s="1165"/>
      <c r="CU5" s="1165"/>
      <c r="CV5" s="1165"/>
      <c r="CW5" s="1165"/>
      <c r="CX5" s="1166"/>
      <c r="CY5" s="1164" t="s">
        <v>5908</v>
      </c>
      <c r="CZ5" s="1165"/>
      <c r="DA5" s="1165"/>
      <c r="DB5" s="1165"/>
      <c r="DC5" s="1165"/>
      <c r="DD5" s="1165"/>
      <c r="DE5" s="1166"/>
      <c r="DF5" s="1164" t="s">
        <v>5916</v>
      </c>
      <c r="DG5" s="1165"/>
      <c r="DH5" s="1165"/>
      <c r="DI5" s="1165"/>
      <c r="DJ5" s="1165"/>
      <c r="DK5" s="1165"/>
      <c r="DL5" s="1166"/>
      <c r="DM5" s="1164" t="s">
        <v>5905</v>
      </c>
      <c r="DN5" s="1166"/>
    </row>
    <row r="6" spans="1:145" ht="46.8" customHeight="1" thickBot="1">
      <c r="K6" s="1203" t="s">
        <v>5471</v>
      </c>
      <c r="L6" s="1203"/>
      <c r="M6" s="1203"/>
      <c r="N6" s="1203"/>
      <c r="O6" s="1203"/>
      <c r="P6" s="1203"/>
      <c r="Q6" s="624" t="s">
        <v>5480</v>
      </c>
      <c r="R6" s="1205" t="s">
        <v>5488</v>
      </c>
      <c r="S6" s="1206"/>
      <c r="T6" s="1207"/>
      <c r="V6" s="1204" t="s">
        <v>5472</v>
      </c>
      <c r="W6" s="1204"/>
      <c r="X6" s="1204"/>
      <c r="Y6" s="1204"/>
      <c r="Z6" s="1204"/>
      <c r="AA6" s="1204"/>
      <c r="AN6" s="560" t="s">
        <v>502</v>
      </c>
      <c r="AO6" s="562">
        <f>VLOOKUP(AN6,'FE - Aluminum'!$E$11:$BH$54,54,FALSE)/'FE - Aluminum'!$AV$10</f>
        <v>0</v>
      </c>
      <c r="AP6" s="562">
        <f>VLOOKUP(AN6,'FE - Aluminum'!$E$11:$DL$54,108,FALSE)/1000</f>
        <v>0</v>
      </c>
      <c r="AQ6" s="569">
        <f>VLOOKUP(AN6,'FE - Aluminum'!$E$11:$DP$54,111,FALSE)</f>
        <v>2201.48</v>
      </c>
      <c r="AS6" s="581"/>
      <c r="AT6" s="581"/>
      <c r="AU6" s="581"/>
      <c r="AV6" s="582"/>
      <c r="AW6" s="583"/>
      <c r="AX6" s="583"/>
      <c r="AY6" s="584"/>
      <c r="AZ6" s="582"/>
      <c r="BA6" s="583"/>
      <c r="BB6" s="583"/>
      <c r="BC6" s="584"/>
      <c r="BD6" s="582"/>
      <c r="BE6" s="583"/>
      <c r="BF6" s="583"/>
      <c r="BG6" s="584"/>
      <c r="BH6" s="582"/>
      <c r="BI6" s="583"/>
      <c r="BJ6" s="583"/>
      <c r="BK6" s="584"/>
      <c r="BL6" s="582"/>
      <c r="BM6" s="583"/>
      <c r="BN6" s="583"/>
      <c r="BO6" s="584"/>
      <c r="BP6" s="582"/>
      <c r="BQ6" s="583"/>
      <c r="BR6" s="583"/>
      <c r="BS6" s="584"/>
      <c r="BT6" s="585"/>
      <c r="BU6" s="585"/>
      <c r="BV6" s="585"/>
      <c r="BW6" s="585"/>
      <c r="BX6" s="599"/>
      <c r="BY6" s="599"/>
      <c r="BZ6" s="599"/>
      <c r="CA6" s="599"/>
      <c r="CB6" s="599"/>
      <c r="CC6" s="599"/>
      <c r="CD6" s="599"/>
      <c r="CE6" s="599"/>
      <c r="CF6" s="599"/>
      <c r="CG6" s="599"/>
      <c r="CH6" s="599"/>
      <c r="CI6" s="599"/>
      <c r="CR6" s="1167" t="s">
        <v>5906</v>
      </c>
      <c r="CS6" s="1168"/>
      <c r="CT6" s="1168"/>
      <c r="CU6" s="1169"/>
      <c r="CV6" s="1170" t="s">
        <v>5490</v>
      </c>
      <c r="CW6" s="1171"/>
      <c r="CX6" s="1172"/>
      <c r="CY6" s="1167" t="s">
        <v>5906</v>
      </c>
      <c r="CZ6" s="1168"/>
      <c r="DA6" s="1168"/>
      <c r="DB6" s="1169"/>
      <c r="DC6" s="1170" t="s">
        <v>5490</v>
      </c>
      <c r="DD6" s="1171"/>
      <c r="DE6" s="1171"/>
      <c r="DF6" s="1167" t="s">
        <v>5906</v>
      </c>
      <c r="DG6" s="1168"/>
      <c r="DH6" s="1168"/>
      <c r="DI6" s="1169"/>
      <c r="DJ6" s="1170" t="s">
        <v>5490</v>
      </c>
      <c r="DK6" s="1171"/>
      <c r="DL6" s="1172"/>
      <c r="DM6" s="1009"/>
      <c r="DN6" s="1010"/>
      <c r="DO6" s="1212" t="s">
        <v>5863</v>
      </c>
      <c r="DP6" s="1213"/>
      <c r="DQ6" s="1213"/>
      <c r="DR6" s="1214" t="s">
        <v>5862</v>
      </c>
      <c r="DS6" s="1214"/>
      <c r="DT6" s="1215"/>
      <c r="DU6" s="681"/>
      <c r="DX6" s="1222" t="s">
        <v>5890</v>
      </c>
      <c r="DY6" s="1223"/>
      <c r="DZ6" s="1223"/>
      <c r="EA6" s="1223"/>
      <c r="EB6" s="1224"/>
    </row>
    <row r="7" spans="1:145" ht="46.2" customHeight="1">
      <c r="C7" s="604" t="s">
        <v>5381</v>
      </c>
      <c r="D7" s="1195" t="s">
        <v>5492</v>
      </c>
      <c r="E7" s="1196"/>
      <c r="F7" s="630" t="s">
        <v>5504</v>
      </c>
      <c r="G7" s="552"/>
      <c r="H7" s="555" t="s">
        <v>5381</v>
      </c>
      <c r="I7" s="555" t="s">
        <v>5382</v>
      </c>
      <c r="J7" s="555" t="s">
        <v>5383</v>
      </c>
      <c r="K7" s="609" t="s">
        <v>5503</v>
      </c>
      <c r="L7" s="609" t="s">
        <v>5502</v>
      </c>
      <c r="M7" s="609" t="s">
        <v>5501</v>
      </c>
      <c r="N7" s="609" t="s">
        <v>5500</v>
      </c>
      <c r="O7" s="609" t="s">
        <v>5499</v>
      </c>
      <c r="P7" s="555" t="s">
        <v>5387</v>
      </c>
      <c r="Q7" s="629" t="s">
        <v>5495</v>
      </c>
      <c r="R7" s="629" t="s">
        <v>5496</v>
      </c>
      <c r="S7" s="629" t="s">
        <v>5497</v>
      </c>
      <c r="T7" s="629" t="s">
        <v>5498</v>
      </c>
      <c r="V7" s="600" t="s">
        <v>5467</v>
      </c>
      <c r="W7" s="601" t="s">
        <v>5467</v>
      </c>
      <c r="X7" s="600" t="s">
        <v>5468</v>
      </c>
      <c r="Y7" s="601" t="s">
        <v>5468</v>
      </c>
      <c r="Z7" s="600" t="s">
        <v>5466</v>
      </c>
      <c r="AA7" s="601" t="s">
        <v>5466</v>
      </c>
      <c r="AD7" s="570"/>
      <c r="AE7" s="570"/>
      <c r="AF7" s="631" t="s">
        <v>5314</v>
      </c>
      <c r="AG7" s="562">
        <f>VLOOKUP(AF7,'FE - Aluminum'!$E$11:$BH$54,54,FALSE)/'FE - Aluminum'!$AV$10</f>
        <v>0</v>
      </c>
      <c r="AH7" s="562">
        <f>VLOOKUP(AF7,'FE - Aluminum'!$E$11:$DP$54,112,FALSE)</f>
        <v>2184.7961400000004</v>
      </c>
      <c r="AI7" s="642">
        <f t="shared" ref="AI7:AI8" si="0">AG7*AH7</f>
        <v>0</v>
      </c>
      <c r="AJ7" s="562">
        <f>VLOOKUP(AF7,'FE - Aluminum'!$E$11:$DP$54,108,FALSE)</f>
        <v>0</v>
      </c>
      <c r="AK7" s="642">
        <f>AJ7*AG7</f>
        <v>0</v>
      </c>
      <c r="AL7" s="564">
        <f>VLOOKUP(AF7,'FE - Aluminum'!$E$11:$DP$54,111,FALSE)</f>
        <v>7174.95</v>
      </c>
      <c r="AN7" s="641" t="s">
        <v>503</v>
      </c>
      <c r="AO7" s="562">
        <f>VLOOKUP(AN7,'FE - Aluminum'!$E$11:$BH$54,54,FALSE)/'FE - Aluminum'!$AV$10</f>
        <v>0</v>
      </c>
      <c r="AP7" s="562">
        <f>VLOOKUP(AN7,'FE - Aluminum'!$E$11:$DL$54,108,FALSE)/1000</f>
        <v>0</v>
      </c>
      <c r="AQ7" s="569">
        <f>VLOOKUP(AN7,'FE - Aluminum'!$E$11:$DP$54,111,FALSE)</f>
        <v>3290.7099999999996</v>
      </c>
      <c r="AS7" s="587" t="s">
        <v>5409</v>
      </c>
      <c r="AT7" s="588"/>
      <c r="AU7" s="572" t="s">
        <v>5410</v>
      </c>
      <c r="AV7" s="573">
        <v>3067.4474615191707</v>
      </c>
      <c r="AW7" s="589"/>
      <c r="AX7" s="589"/>
      <c r="AY7" s="589"/>
      <c r="AZ7" s="573">
        <v>2665.5458976784303</v>
      </c>
      <c r="BA7" s="589"/>
      <c r="BB7" s="589"/>
      <c r="BC7" s="589"/>
      <c r="BD7" s="573">
        <v>2442.0458139808256</v>
      </c>
      <c r="BE7" s="589"/>
      <c r="BF7" s="589"/>
      <c r="BG7" s="589"/>
      <c r="BH7" s="573">
        <v>2346.9908546120932</v>
      </c>
      <c r="BI7" s="589"/>
      <c r="BJ7" s="589"/>
      <c r="BK7" s="589"/>
      <c r="BL7" s="573">
        <v>2446.4410546416902</v>
      </c>
      <c r="BM7" s="589"/>
      <c r="BN7" s="589"/>
      <c r="BO7" s="589"/>
      <c r="BP7" s="573">
        <v>2420.5969853492443</v>
      </c>
      <c r="BQ7" s="589"/>
      <c r="BR7" s="589"/>
      <c r="BS7" s="589"/>
      <c r="BT7" s="573"/>
      <c r="BU7" s="589"/>
      <c r="BV7" s="589"/>
      <c r="BW7" s="589"/>
      <c r="BX7" s="573">
        <v>1934.2309426544257</v>
      </c>
      <c r="BY7" s="589"/>
      <c r="BZ7" s="589"/>
      <c r="CA7" s="589"/>
      <c r="CB7" s="573">
        <v>1355.1042754041646</v>
      </c>
      <c r="CC7" s="589"/>
      <c r="CD7" s="589"/>
      <c r="CE7" s="589"/>
      <c r="CF7" s="573">
        <v>2910.7041143213219</v>
      </c>
      <c r="CG7" s="589"/>
      <c r="CH7" s="589"/>
      <c r="CI7" s="589"/>
      <c r="CM7" s="722" t="s">
        <v>5855</v>
      </c>
      <c r="CN7" s="679" t="s">
        <v>5755</v>
      </c>
      <c r="CQ7" s="778" t="s">
        <v>5590</v>
      </c>
      <c r="CR7" s="937" t="s">
        <v>5596</v>
      </c>
      <c r="CS7" s="937" t="s">
        <v>5599</v>
      </c>
      <c r="CT7" s="937" t="s">
        <v>5597</v>
      </c>
      <c r="CU7" s="937" t="s">
        <v>5598</v>
      </c>
      <c r="CV7" s="937" t="s">
        <v>5519</v>
      </c>
      <c r="CW7" s="937" t="s">
        <v>5520</v>
      </c>
      <c r="CX7" s="937" t="s">
        <v>5521</v>
      </c>
      <c r="CY7" s="937" t="s">
        <v>5909</v>
      </c>
      <c r="CZ7" s="937" t="s">
        <v>5910</v>
      </c>
      <c r="DA7" s="937" t="s">
        <v>5911</v>
      </c>
      <c r="DB7" s="937" t="s">
        <v>5912</v>
      </c>
      <c r="DC7" s="937" t="s">
        <v>5913</v>
      </c>
      <c r="DD7" s="937" t="s">
        <v>5914</v>
      </c>
      <c r="DE7" s="937" t="s">
        <v>5915</v>
      </c>
      <c r="DF7" s="937" t="s">
        <v>5917</v>
      </c>
      <c r="DG7" s="937" t="s">
        <v>5918</v>
      </c>
      <c r="DH7" s="937" t="s">
        <v>5919</v>
      </c>
      <c r="DI7" s="937" t="s">
        <v>5920</v>
      </c>
      <c r="DJ7" s="937" t="s">
        <v>5921</v>
      </c>
      <c r="DK7" s="937" t="s">
        <v>5922</v>
      </c>
      <c r="DL7" s="937" t="s">
        <v>5923</v>
      </c>
      <c r="DM7" s="937" t="s">
        <v>5816</v>
      </c>
      <c r="DN7" s="937" t="s">
        <v>5817</v>
      </c>
      <c r="DO7" s="937" t="s">
        <v>5837</v>
      </c>
      <c r="DP7" s="937" t="s">
        <v>5838</v>
      </c>
      <c r="DQ7" s="937" t="s">
        <v>5755</v>
      </c>
      <c r="DR7" s="937" t="s">
        <v>5860</v>
      </c>
      <c r="DS7" s="937" t="s">
        <v>5861</v>
      </c>
      <c r="DT7" s="937" t="s">
        <v>5859</v>
      </c>
      <c r="DV7" s="922" t="s">
        <v>5417</v>
      </c>
      <c r="DX7" s="938" t="s">
        <v>5333</v>
      </c>
      <c r="DY7" s="938" t="s">
        <v>5851</v>
      </c>
      <c r="DZ7" s="938" t="s">
        <v>5852</v>
      </c>
      <c r="EA7" s="938" t="s">
        <v>5853</v>
      </c>
      <c r="EB7" s="938" t="s">
        <v>5901</v>
      </c>
      <c r="EC7" s="933" t="s">
        <v>5891</v>
      </c>
      <c r="EJ7" s="944" t="s">
        <v>5857</v>
      </c>
      <c r="EK7" s="943" t="s">
        <v>5600</v>
      </c>
      <c r="EL7" s="943" t="s">
        <v>5490</v>
      </c>
    </row>
    <row r="8" spans="1:145" s="634" customFormat="1" ht="25.05" customHeight="1">
      <c r="C8" s="614" cm="1">
        <f t="array" ref="C8">_xlfn.IFS($D$7=$D$1,HLOOKUP(D8,'FE - Aluminum'!$DQ$9:$DX$10,2,FALSE),$D$7=$E$1,0,$D$7=$F$1,0)</f>
        <v>0</v>
      </c>
      <c r="D8" s="660" t="s">
        <v>87</v>
      </c>
      <c r="E8" s="655"/>
      <c r="F8" s="615">
        <f>HLOOKUP(D8,'FE - Aluminum'!$DQ$1:$DX$5,4,FALSE)</f>
        <v>109.56638176638177</v>
      </c>
      <c r="H8" s="608">
        <f>('FE - Aluminum'!BH11/'FE - Aluminum'!AV10)/'FE - ACV Aluminum'!K8</f>
        <v>2.330738024780424E-3</v>
      </c>
      <c r="I8" s="609" t="s">
        <v>5388</v>
      </c>
      <c r="J8" s="639" t="s">
        <v>182</v>
      </c>
      <c r="K8" s="605">
        <f>K10/(1-'FE - Aluminum'!DI22)</f>
        <v>1182.5885565881888</v>
      </c>
      <c r="L8" s="595" cm="1">
        <f t="array" ref="L8">_xlfn.IFS($Q$2=$A$1,R8,$Q$2=$B$1,S8,$Q$2=$C$1,T8)</f>
        <v>237.05589025</v>
      </c>
      <c r="M8" s="595">
        <f>K8*L8*H8</f>
        <v>653.39812613908589</v>
      </c>
      <c r="N8" s="595">
        <f>VLOOKUP(J8,'FE - Aluminum'!$E$11:$DP$54,112,FALSE)</f>
        <v>237.05589025</v>
      </c>
      <c r="O8" s="595">
        <f>N8*K8*H8</f>
        <v>653.39812613908589</v>
      </c>
      <c r="P8" s="606"/>
      <c r="Q8" s="596">
        <f>IFERROR(N8/L8,0)</f>
        <v>1</v>
      </c>
      <c r="R8" s="596">
        <v>0.04</v>
      </c>
      <c r="S8" s="596">
        <f>VLOOKUP(J8,'FE - Aluminum'!$E$11:$DP$54,112,FALSE)</f>
        <v>237.05589025</v>
      </c>
      <c r="T8" s="596">
        <v>0.32</v>
      </c>
      <c r="V8" s="596">
        <f>M8</f>
        <v>653.39812613908589</v>
      </c>
      <c r="W8" s="596">
        <f>VLOOKUP(J8,'FE - Aluminum'!$E$11:$BL$54,59,FALSE)</f>
        <v>0.24606806841167095</v>
      </c>
      <c r="X8" s="596">
        <f>K8*H8</f>
        <v>2.7563041165102877</v>
      </c>
      <c r="Y8" s="596">
        <f>VLOOKUP(J8,'FE - Aluminum'!$E$11:$BL$54,56,FALSE)/'FE - Aluminum'!$AV$10</f>
        <v>2.7563041165102877</v>
      </c>
      <c r="Z8" s="597">
        <f>O8</f>
        <v>653.39812613908589</v>
      </c>
      <c r="AA8" s="596">
        <f>VLOOKUP(J8,'FE - Aluminum'!$E$11:$BL$54,60,FALSE)*1000</f>
        <v>653.398126139086</v>
      </c>
      <c r="AE8" s="640"/>
      <c r="AF8" s="631" t="s">
        <v>5315</v>
      </c>
      <c r="AG8" s="562">
        <f>VLOOKUP(AF8,'FE - Aluminum'!$E$11:$BH$54,54,FALSE)/'FE - Aluminum'!$AV$10</f>
        <v>0</v>
      </c>
      <c r="AH8" s="562">
        <f>VLOOKUP(AF8,'FE - Aluminum'!$E$11:$DP$54,112,FALSE)</f>
        <v>2351.2462300260304</v>
      </c>
      <c r="AI8" s="642">
        <f t="shared" si="0"/>
        <v>0</v>
      </c>
      <c r="AJ8" s="562">
        <f>VLOOKUP(AF8,'FE - Aluminum'!$E$11:$DP$54,108,FALSE)</f>
        <v>0</v>
      </c>
      <c r="AK8" s="642">
        <f>AJ8*AG8</f>
        <v>0</v>
      </c>
      <c r="AL8" s="564">
        <f>VLOOKUP(AF8,'FE - Aluminum'!$E$11:$DP$54,111,FALSE)</f>
        <v>31863.34</v>
      </c>
      <c r="AS8" s="587" t="s">
        <v>5411</v>
      </c>
      <c r="AT8" s="588"/>
      <c r="AU8" s="572" t="s">
        <v>5410</v>
      </c>
      <c r="AV8" s="573">
        <v>3316.3863621357864</v>
      </c>
      <c r="AW8" s="643"/>
      <c r="AX8" s="643"/>
      <c r="AY8" s="643"/>
      <c r="AZ8" s="573">
        <v>3980.4732475329688</v>
      </c>
      <c r="BA8" s="643"/>
      <c r="BB8" s="643"/>
      <c r="BC8" s="643"/>
      <c r="BD8" s="573">
        <v>2675.5300824740029</v>
      </c>
      <c r="BE8" s="643"/>
      <c r="BF8" s="643"/>
      <c r="BG8" s="643"/>
      <c r="BH8" s="573">
        <v>3871.8574756443327</v>
      </c>
      <c r="BI8" s="643"/>
      <c r="BJ8" s="643"/>
      <c r="BK8" s="643"/>
      <c r="BL8" s="573">
        <v>2669.6484161409685</v>
      </c>
      <c r="BM8" s="643"/>
      <c r="BN8" s="643"/>
      <c r="BO8" s="643"/>
      <c r="BP8" s="573">
        <v>2644.0284965593787</v>
      </c>
      <c r="BQ8" s="643"/>
      <c r="BR8" s="643"/>
      <c r="BS8" s="643"/>
      <c r="BT8" s="573"/>
      <c r="BU8" s="643"/>
      <c r="BV8" s="643"/>
      <c r="BW8" s="643"/>
      <c r="BX8" s="573">
        <v>2103.4037810705436</v>
      </c>
      <c r="BY8" s="643"/>
      <c r="BZ8" s="643"/>
      <c r="CA8" s="643"/>
      <c r="CB8" s="573">
        <v>1492.5296933336294</v>
      </c>
      <c r="CC8" s="643"/>
      <c r="CD8" s="643"/>
      <c r="CE8" s="643"/>
      <c r="CF8" s="573">
        <v>3215.7971261332168</v>
      </c>
      <c r="CG8" s="643"/>
      <c r="CH8" s="643"/>
      <c r="CI8" s="643"/>
      <c r="CL8" s="720"/>
      <c r="CM8" s="638" t="s">
        <v>6</v>
      </c>
      <c r="CN8" s="772">
        <f>'FE - Aluminum'!BL11</f>
        <v>0.65339812613908599</v>
      </c>
      <c r="CO8" s="681">
        <v>1</v>
      </c>
      <c r="CP8" s="681"/>
      <c r="CQ8" s="780" t="s">
        <v>6</v>
      </c>
      <c r="CR8" s="783">
        <v>0.98260668330865153</v>
      </c>
      <c r="CS8" s="783">
        <v>0.96613728594316972</v>
      </c>
      <c r="CT8" s="783">
        <v>0.96613728594316972</v>
      </c>
      <c r="CU8" s="783">
        <v>0.88397659022859898</v>
      </c>
      <c r="CV8" s="783">
        <v>0.79155398231608887</v>
      </c>
      <c r="CW8" s="785">
        <v>0.9220573227916361</v>
      </c>
      <c r="CX8" s="783">
        <v>1.0970621333899033</v>
      </c>
      <c r="CY8" s="783">
        <v>1.0103924764099246</v>
      </c>
      <c r="CZ8" s="783">
        <v>1.0103924764099246</v>
      </c>
      <c r="DA8" s="783">
        <v>1.0103924764099246</v>
      </c>
      <c r="DB8" s="783">
        <v>1.0103924764099246</v>
      </c>
      <c r="DC8" s="783">
        <v>0.86738662405832068</v>
      </c>
      <c r="DD8" s="785">
        <v>1.0103924764099246</v>
      </c>
      <c r="DE8" s="783">
        <v>1.2021631392453744</v>
      </c>
      <c r="DF8" s="783">
        <v>0.65338713474508459</v>
      </c>
      <c r="DG8" s="783">
        <v>0.65338713474508459</v>
      </c>
      <c r="DH8" s="783">
        <v>0.65338713474508459</v>
      </c>
      <c r="DI8" s="783">
        <v>0.65338713474508459</v>
      </c>
      <c r="DJ8" s="783">
        <v>0.63102376900242829</v>
      </c>
      <c r="DK8" s="785">
        <v>0.65338713474508459</v>
      </c>
      <c r="DL8" s="783">
        <v>0.69965894704080789</v>
      </c>
      <c r="DM8" s="849">
        <v>1.1226583071221383</v>
      </c>
      <c r="DN8" s="849">
        <v>0</v>
      </c>
      <c r="DO8" s="974">
        <v>1.1226771926788415</v>
      </c>
      <c r="DP8" s="974">
        <v>0</v>
      </c>
      <c r="DQ8" s="975">
        <v>0.65339812613908599</v>
      </c>
      <c r="DR8" s="976"/>
      <c r="DS8" s="976"/>
      <c r="DT8" s="975"/>
      <c r="DU8" s="428"/>
      <c r="DV8" s="977" t="s">
        <v>146</v>
      </c>
      <c r="DW8" s="978"/>
      <c r="DX8" s="979"/>
      <c r="DY8" s="979"/>
      <c r="DZ8" s="988">
        <v>8.9999999999999993E-3</v>
      </c>
      <c r="EA8" s="988">
        <v>8.0000000000000002E-3</v>
      </c>
      <c r="EB8" s="988">
        <v>8.0000000000000002E-3</v>
      </c>
      <c r="EC8" s="992">
        <f>7251.8/(7251.8+690.8)</f>
        <v>0.91302596127212754</v>
      </c>
      <c r="ED8" s="991" t="s">
        <v>5892</v>
      </c>
      <c r="EJ8" s="989" t="s">
        <v>87</v>
      </c>
      <c r="EK8" s="946">
        <v>23.487726680866142</v>
      </c>
      <c r="EL8" s="946">
        <v>109.56638176638177</v>
      </c>
      <c r="EM8"/>
      <c r="EN8"/>
      <c r="EO8"/>
    </row>
    <row r="9" spans="1:145" s="634" customFormat="1" ht="25.05" customHeight="1">
      <c r="C9" s="614" cm="1">
        <f t="array" ref="C9">_xlfn.IFS($D$7=$D$1,HLOOKUP(D9,'FE - Aluminum'!$DQ$9:$DX$10,2,FALSE),$D$7=$E$1,0,$D$7=$F$1,0)</f>
        <v>0.10804796138735498</v>
      </c>
      <c r="D9" s="660" t="s">
        <v>5338</v>
      </c>
      <c r="E9" s="655"/>
      <c r="F9" s="615">
        <f>HLOOKUP(D9,'FE - Aluminum'!$DQ$1:$DX$5,4,FALSE)</f>
        <v>93.687827831715225</v>
      </c>
      <c r="H9" s="610"/>
      <c r="I9" s="611" t="s">
        <v>475</v>
      </c>
      <c r="J9" s="644" t="s">
        <v>5390</v>
      </c>
      <c r="K9" s="605"/>
      <c r="L9" s="595"/>
      <c r="M9" s="595"/>
      <c r="N9" s="595"/>
      <c r="O9" s="595"/>
      <c r="P9" s="606"/>
      <c r="Q9" s="596"/>
      <c r="R9" s="596"/>
      <c r="S9" s="596"/>
      <c r="T9" s="596"/>
      <c r="V9" s="596"/>
      <c r="W9" s="596"/>
      <c r="X9" s="596"/>
      <c r="Y9" s="596"/>
      <c r="Z9" s="597"/>
      <c r="AA9" s="596"/>
      <c r="AE9" s="640"/>
      <c r="AG9"/>
      <c r="AH9"/>
      <c r="AI9"/>
      <c r="AJ9"/>
      <c r="AK9"/>
      <c r="AL9"/>
      <c r="AS9" s="587" t="s">
        <v>5412</v>
      </c>
      <c r="AT9" s="588"/>
      <c r="AU9" s="572" t="s">
        <v>5410</v>
      </c>
      <c r="AV9" s="573">
        <v>3316.3863621357864</v>
      </c>
      <c r="AW9" s="643"/>
      <c r="AX9" s="643"/>
      <c r="AY9" s="643"/>
      <c r="AZ9" s="573">
        <v>3980.4732475329688</v>
      </c>
      <c r="BA9" s="643"/>
      <c r="BB9" s="643"/>
      <c r="BC9" s="643"/>
      <c r="BD9" s="573">
        <v>2675.5300824740029</v>
      </c>
      <c r="BE9" s="643"/>
      <c r="BF9" s="643"/>
      <c r="BG9" s="643"/>
      <c r="BH9" s="573">
        <v>3871.8574756443327</v>
      </c>
      <c r="BI9" s="643"/>
      <c r="BJ9" s="643"/>
      <c r="BK9" s="643"/>
      <c r="BL9" s="573">
        <v>2669.6484161409685</v>
      </c>
      <c r="BM9" s="643"/>
      <c r="BN9" s="643"/>
      <c r="BO9" s="643"/>
      <c r="BP9" s="573">
        <v>2644.0284965593787</v>
      </c>
      <c r="BQ9" s="643"/>
      <c r="BR9" s="643"/>
      <c r="BS9" s="643"/>
      <c r="BT9" s="573"/>
      <c r="BU9" s="643"/>
      <c r="BV9" s="643"/>
      <c r="BW9" s="643"/>
      <c r="BX9" s="573">
        <v>2103.4037810705436</v>
      </c>
      <c r="BY9" s="643"/>
      <c r="BZ9" s="643"/>
      <c r="CA9" s="643"/>
      <c r="CB9" s="573">
        <v>1492.5296933336294</v>
      </c>
      <c r="CC9" s="643"/>
      <c r="CD9" s="643"/>
      <c r="CE9" s="643"/>
      <c r="CF9" s="573">
        <v>3215.7971261332168</v>
      </c>
      <c r="CG9" s="643"/>
      <c r="CH9" s="643"/>
      <c r="CI9" s="643"/>
      <c r="CL9" s="720"/>
      <c r="CM9" s="638" t="s">
        <v>5507</v>
      </c>
      <c r="CN9" s="772">
        <f>SUMPRODUCT('FE - Aluminum'!BO11:BQ11,'FE - Aluminum'!BO5:BQ5)*'FE - Aluminum'!BH11/1000</f>
        <v>0</v>
      </c>
      <c r="CO9" s="681">
        <v>2</v>
      </c>
      <c r="CP9" s="681"/>
      <c r="CQ9" s="780" t="s">
        <v>5507</v>
      </c>
      <c r="CR9" s="783">
        <v>0</v>
      </c>
      <c r="CS9" s="783">
        <v>0</v>
      </c>
      <c r="CT9" s="783">
        <v>0</v>
      </c>
      <c r="CU9" s="783">
        <v>0</v>
      </c>
      <c r="CV9" s="783">
        <v>0</v>
      </c>
      <c r="CW9" s="785">
        <v>0</v>
      </c>
      <c r="CX9" s="783">
        <v>0</v>
      </c>
      <c r="CY9" s="783">
        <v>0</v>
      </c>
      <c r="CZ9" s="783">
        <v>0</v>
      </c>
      <c r="DA9" s="783">
        <v>0</v>
      </c>
      <c r="DB9" s="783">
        <v>0</v>
      </c>
      <c r="DC9" s="783">
        <v>0</v>
      </c>
      <c r="DD9" s="785">
        <v>0</v>
      </c>
      <c r="DE9" s="783">
        <v>0</v>
      </c>
      <c r="DF9" s="783">
        <v>0</v>
      </c>
      <c r="DG9" s="783">
        <v>0</v>
      </c>
      <c r="DH9" s="783">
        <v>0</v>
      </c>
      <c r="DI9" s="783">
        <v>0</v>
      </c>
      <c r="DJ9" s="783">
        <v>0</v>
      </c>
      <c r="DK9" s="785">
        <v>0</v>
      </c>
      <c r="DL9" s="783">
        <v>0</v>
      </c>
      <c r="DM9" s="849">
        <v>0</v>
      </c>
      <c r="DN9" s="849">
        <v>0</v>
      </c>
      <c r="DO9" s="974">
        <v>0</v>
      </c>
      <c r="DP9" s="974">
        <v>0</v>
      </c>
      <c r="DQ9" s="975">
        <v>0</v>
      </c>
      <c r="DR9" s="976"/>
      <c r="DS9" s="976"/>
      <c r="DT9" s="975"/>
      <c r="DU9" s="428"/>
      <c r="DV9" s="977"/>
      <c r="DW9" s="978"/>
      <c r="DX9" s="979"/>
      <c r="DY9" s="979"/>
      <c r="DZ9" s="979"/>
      <c r="EA9" s="979"/>
      <c r="EB9" s="979"/>
      <c r="EC9" s="993">
        <f>1-EC8</f>
        <v>8.697403872787246E-2</v>
      </c>
      <c r="ED9" s="932" t="s">
        <v>5893</v>
      </c>
      <c r="EJ9" s="990" t="s">
        <v>5338</v>
      </c>
      <c r="EK9" s="946">
        <v>101.45192072663679</v>
      </c>
      <c r="EL9" s="946">
        <v>84.094366626063135</v>
      </c>
      <c r="EM9"/>
      <c r="EN9"/>
      <c r="EO9"/>
    </row>
    <row r="10" spans="1:145" s="634" customFormat="1" ht="25.05" customHeight="1">
      <c r="C10" s="614" cm="1">
        <f t="array" ref="C10">_xlfn.IFS($D$7=$D$1,HLOOKUP(D10,'FE - Aluminum'!$DQ$9:$DX$10,2,FALSE),$D$7=$E$1,0,$D$7=$F$1,0)</f>
        <v>4.9624637922185552E-4</v>
      </c>
      <c r="D10" s="660" t="s">
        <v>464</v>
      </c>
      <c r="E10" s="655"/>
      <c r="F10" s="615">
        <f>HLOOKUP(D10,'FE - Aluminum'!$DQ$1:$DX$5,4,FALSE)</f>
        <v>93.525474143302176</v>
      </c>
      <c r="H10" s="608">
        <f>SUM(AG3:AG4)/K10</f>
        <v>0</v>
      </c>
      <c r="I10" s="609" t="s">
        <v>5388</v>
      </c>
      <c r="J10" s="639" t="s">
        <v>5394</v>
      </c>
      <c r="K10" s="605">
        <f>K11*'FE - Aluminum'!CL22</f>
        <v>961.95084354231176</v>
      </c>
      <c r="L10" s="595" cm="1">
        <f t="array" ref="L10">_xlfn.IFS($Q$2=$A$1,R10,$Q$2=$B$1,S10,$Q$2=$C$1,T10)</f>
        <v>57.900603930629039</v>
      </c>
      <c r="M10" s="595">
        <f t="shared" ref="M10:M14" si="1">K10*L10*H10</f>
        <v>0</v>
      </c>
      <c r="N10" s="595">
        <f>AJ3</f>
        <v>0</v>
      </c>
      <c r="O10" s="595">
        <f t="shared" ref="O10:O14" si="2">N10*K10*H10</f>
        <v>0</v>
      </c>
      <c r="P10" s="606">
        <f>SUMPRODUCT('FE - Aluminum'!DI22:DI22,'FE - Aluminum'!DO22:DO22)</f>
        <v>0</v>
      </c>
      <c r="Q10" s="596">
        <f t="shared" ref="Q10:Q26" si="3">IFERROR(N10/L10,0)</f>
        <v>0</v>
      </c>
      <c r="R10" s="596">
        <v>0.44342375319414556</v>
      </c>
      <c r="S10" s="596">
        <f>VLOOKUP(J10,'FE - Aluminum'!$E$11:$DP$54,112,FALSE)</f>
        <v>57.900603930629039</v>
      </c>
      <c r="T10" s="596">
        <v>0.9853861182092124</v>
      </c>
      <c r="V10" s="596">
        <f>M10</f>
        <v>0</v>
      </c>
      <c r="W10" s="596">
        <f>SUM('FE - Aluminum'!BK21:BK21)</f>
        <v>1.1927385787266449</v>
      </c>
      <c r="X10" s="596">
        <f>K10*H10</f>
        <v>0</v>
      </c>
      <c r="Y10" s="596">
        <f>SUM('FE - Aluminum'!BH21:BH21)/'FE - Aluminum'!AV10</f>
        <v>2.2420554090136702</v>
      </c>
      <c r="Z10" s="597">
        <f>O10</f>
        <v>0</v>
      </c>
      <c r="AA10" s="596">
        <f>SUM('FE - Aluminum'!BL21:BL21)*1000</f>
        <v>129.81636222782501</v>
      </c>
      <c r="AE10" s="640"/>
      <c r="AF10" s="641" t="s">
        <v>5359</v>
      </c>
      <c r="AG10" s="562">
        <f>VLOOKUP(AF10,'FE - Aluminum'!$E$11:$BH$54,54,FALSE)/'FE - Aluminum'!$AV$10</f>
        <v>0</v>
      </c>
      <c r="AH10" s="562">
        <f>VLOOKUP(AF10,'FE - Aluminum'!$E$11:$DP$54,112,FALSE)</f>
        <v>0</v>
      </c>
      <c r="AI10" s="642">
        <f t="shared" ref="AI10:AI11" si="4">AG10*AH10</f>
        <v>0</v>
      </c>
      <c r="AJ10" s="562">
        <f>VLOOKUP(AF10,'FE - Aluminum'!$E$11:$DP$54,108,FALSE)</f>
        <v>0</v>
      </c>
      <c r="AK10" s="642">
        <f t="shared" ref="AK10:AK15" si="5">AJ10*AG10</f>
        <v>0</v>
      </c>
      <c r="AL10" s="564">
        <f>VLOOKUP(AF10,'FE - Aluminum'!$E$11:$DP$54,111,FALSE)</f>
        <v>0</v>
      </c>
      <c r="AS10" s="587" t="s">
        <v>5412</v>
      </c>
      <c r="AT10" s="588"/>
      <c r="AU10" s="572" t="s">
        <v>5413</v>
      </c>
      <c r="AV10" s="574">
        <v>54.521002437225526</v>
      </c>
      <c r="AW10" s="643"/>
      <c r="AX10" s="643"/>
      <c r="AY10" s="643"/>
      <c r="AZ10" s="574">
        <v>55.097424993469637</v>
      </c>
      <c r="BA10" s="643"/>
      <c r="BB10" s="643"/>
      <c r="BC10" s="643"/>
      <c r="BD10" s="574">
        <v>60.276452627566513</v>
      </c>
      <c r="BE10" s="643"/>
      <c r="BF10" s="643"/>
      <c r="BG10" s="643"/>
      <c r="BH10" s="574">
        <v>55.740299797059158</v>
      </c>
      <c r="BI10" s="643"/>
      <c r="BJ10" s="643"/>
      <c r="BK10" s="643"/>
      <c r="BL10" s="574">
        <v>59.516449127489182</v>
      </c>
      <c r="BM10" s="643"/>
      <c r="BN10" s="643"/>
      <c r="BO10" s="643"/>
      <c r="BP10" s="574">
        <v>60.008030335125433</v>
      </c>
      <c r="BQ10" s="643"/>
      <c r="BR10" s="643"/>
      <c r="BS10" s="643"/>
      <c r="BT10" s="574"/>
      <c r="BU10" s="643"/>
      <c r="BV10" s="643"/>
      <c r="BW10" s="643"/>
      <c r="BX10" s="574">
        <v>58.205730934448624</v>
      </c>
      <c r="BY10" s="643"/>
      <c r="BZ10" s="643"/>
      <c r="CA10" s="643"/>
      <c r="CB10" s="574">
        <v>63.798042853206695</v>
      </c>
      <c r="CC10" s="643"/>
      <c r="CD10" s="643"/>
      <c r="CE10" s="643"/>
      <c r="CF10" s="574">
        <v>63.175799394619723</v>
      </c>
      <c r="CG10" s="643"/>
      <c r="CH10" s="643"/>
      <c r="CI10" s="643"/>
      <c r="CL10" s="720"/>
      <c r="CM10" s="638" t="s">
        <v>5</v>
      </c>
      <c r="CN10" s="772">
        <f>SUM('FE - Aluminum'!BL21:BL24)+'FE - Aluminum'!BL15</f>
        <v>1.1653333498997165</v>
      </c>
      <c r="CO10" s="681">
        <v>3</v>
      </c>
      <c r="CP10" s="681"/>
      <c r="CQ10" s="780" t="s">
        <v>5</v>
      </c>
      <c r="CR10" s="784">
        <v>1.4673878550829524</v>
      </c>
      <c r="CS10" s="784">
        <v>1.4427930766378603</v>
      </c>
      <c r="CT10" s="784">
        <v>1.4427930766378603</v>
      </c>
      <c r="CU10" s="784">
        <v>1.3200973845520201</v>
      </c>
      <c r="CV10" s="784">
        <v>0.41408577766164867</v>
      </c>
      <c r="CW10" s="786">
        <v>1.3769657179603632</v>
      </c>
      <c r="CX10" s="784">
        <v>2.0709999081366606</v>
      </c>
      <c r="CY10" s="784">
        <v>1.5088821131958374</v>
      </c>
      <c r="CZ10" s="784">
        <v>1.5088821131958374</v>
      </c>
      <c r="DA10" s="784">
        <v>1.5088821131958374</v>
      </c>
      <c r="DB10" s="784">
        <v>1.5088821131958374</v>
      </c>
      <c r="DC10" s="784">
        <v>0.45375612122569642</v>
      </c>
      <c r="DD10" s="786">
        <v>1.5088821131958376</v>
      </c>
      <c r="DE10" s="784">
        <v>2.2694063309334926</v>
      </c>
      <c r="DF10" s="784">
        <v>0.97574376653330863</v>
      </c>
      <c r="DG10" s="784">
        <v>0.97574376653330863</v>
      </c>
      <c r="DH10" s="784">
        <v>0.97574376653330863</v>
      </c>
      <c r="DI10" s="784">
        <v>0.97574376653330863</v>
      </c>
      <c r="DJ10" s="784">
        <v>0.33010757819169423</v>
      </c>
      <c r="DK10" s="786">
        <v>0.97574376653330863</v>
      </c>
      <c r="DL10" s="784">
        <v>1.3207944846032929</v>
      </c>
      <c r="DM10" s="849">
        <v>1.6539571534885031</v>
      </c>
      <c r="DN10" s="849">
        <v>0</v>
      </c>
      <c r="DO10" s="974">
        <v>2.0022909792091341</v>
      </c>
      <c r="DP10" s="974">
        <v>0</v>
      </c>
      <c r="DQ10" s="975">
        <v>1.1653333498997165</v>
      </c>
      <c r="DR10" s="976"/>
      <c r="DS10" s="976"/>
      <c r="DT10" s="975"/>
      <c r="DU10" s="428"/>
      <c r="DV10" s="977" t="s">
        <v>5585</v>
      </c>
      <c r="DW10" s="978"/>
      <c r="DX10" s="979"/>
      <c r="DY10" s="979"/>
      <c r="DZ10" s="948">
        <v>0.22</v>
      </c>
      <c r="EA10" s="948">
        <v>0.21</v>
      </c>
      <c r="EB10" s="1005" t="s">
        <v>5903</v>
      </c>
      <c r="EC10"/>
      <c r="ED10"/>
      <c r="EJ10" s="942" t="s">
        <v>464</v>
      </c>
      <c r="EK10" s="946">
        <v>98.861633052553742</v>
      </c>
      <c r="EL10" s="946">
        <v>83.943163831092534</v>
      </c>
      <c r="EM10"/>
      <c r="EN10"/>
      <c r="EO10"/>
    </row>
    <row r="11" spans="1:145" s="634" customFormat="1" ht="25.05" customHeight="1">
      <c r="C11" s="614" cm="1">
        <f t="array" ref="C11">_xlfn.IFS($D$7=$D$1,HLOOKUP(D11,'FE - Aluminum'!$DQ$9:$DX$10,2,FALSE),$D$7=$E$1,1-C13,$D$7=$F$1,1-C13)</f>
        <v>2.0605746760707117E-2</v>
      </c>
      <c r="D11" s="660" t="s">
        <v>5391</v>
      </c>
      <c r="E11" s="655"/>
      <c r="F11" s="615">
        <f>HLOOKUP(D11,'FE - Aluminum'!$DQ$1:$DX$5,4,FALSE)</f>
        <v>67.357100000000003</v>
      </c>
      <c r="H11" s="608">
        <f>SUM(AG5:AG6)/K11</f>
        <v>0</v>
      </c>
      <c r="I11" s="609" t="s">
        <v>5388</v>
      </c>
      <c r="J11" s="639" t="s">
        <v>5395</v>
      </c>
      <c r="K11" s="605">
        <f>K12*'FE - Aluminum'!CR24*'FE - Aluminum'!CQ23</f>
        <v>1143.1879589923126</v>
      </c>
      <c r="L11" s="595" cm="1">
        <f t="array" ref="L11">_xlfn.IFS($Q$2=$A$1,R11,$Q$2=$B$1,S11,$Q$2=$C$1,T11)</f>
        <v>195.09820187567726</v>
      </c>
      <c r="M11" s="595">
        <f>K11*L11*H11</f>
        <v>0</v>
      </c>
      <c r="N11" s="595">
        <f>AJ5</f>
        <v>0</v>
      </c>
      <c r="O11" s="595">
        <f t="shared" si="2"/>
        <v>0</v>
      </c>
      <c r="P11" s="606"/>
      <c r="Q11" s="596">
        <f t="shared" si="3"/>
        <v>0</v>
      </c>
      <c r="R11" s="596">
        <v>1.4941325486136776</v>
      </c>
      <c r="S11" s="596">
        <f>VLOOKUP(J11,'FE - Aluminum'!$E$11:$DP$54,112,FALSE)</f>
        <v>195.09820187567726</v>
      </c>
      <c r="T11" s="596">
        <v>3.3202945524748393</v>
      </c>
      <c r="V11" s="596">
        <f>M11</f>
        <v>0</v>
      </c>
      <c r="W11" s="596">
        <f>SUM('FE - Aluminum'!BK22:BK22)</f>
        <v>4.7761746730810577</v>
      </c>
      <c r="X11" s="596">
        <f>K11*H11</f>
        <v>0</v>
      </c>
      <c r="Y11" s="596">
        <f>SUM('FE - Aluminum'!BH22:BH22)/'FE - Aluminum'!AV10</f>
        <v>2.664471645494507</v>
      </c>
      <c r="Z11" s="597">
        <f>O11</f>
        <v>0</v>
      </c>
      <c r="AA11" s="596">
        <f>SUM('FE - Aluminum'!BL22:BL22)*1000</f>
        <v>519.83362698470523</v>
      </c>
      <c r="AD11" s="572" t="s">
        <v>5469</v>
      </c>
      <c r="AE11" s="640"/>
      <c r="AF11" s="664" t="s">
        <v>5476</v>
      </c>
      <c r="AG11" s="562">
        <f>VLOOKUP(AF11,'FE - Aluminum'!$E$11:$BH$54,54,FALSE)/'FE - Aluminum'!$AV$10</f>
        <v>0</v>
      </c>
      <c r="AH11" s="562">
        <f>VLOOKUP(AF11,'FE - Aluminum'!$E$11:$DP$54,112,FALSE)</f>
        <v>134.20677573035653</v>
      </c>
      <c r="AI11" s="642">
        <f t="shared" si="4"/>
        <v>0</v>
      </c>
      <c r="AJ11" s="562">
        <f>VLOOKUP(AF11,'FE - Aluminum'!$E$11:$DP$54,108,FALSE)</f>
        <v>0</v>
      </c>
      <c r="AK11" s="642">
        <f t="shared" si="5"/>
        <v>0</v>
      </c>
      <c r="AL11" s="564">
        <f>VLOOKUP(AF11,'FE - Aluminum'!$E$11:$DP$54,111,FALSE)</f>
        <v>0</v>
      </c>
      <c r="AS11" s="587" t="s">
        <v>5412</v>
      </c>
      <c r="AT11" s="588"/>
      <c r="AU11" s="572" t="s">
        <v>5414</v>
      </c>
      <c r="AV11" s="643" t="s">
        <v>5415</v>
      </c>
      <c r="AW11" s="643" t="s">
        <v>5416</v>
      </c>
      <c r="AX11" s="643" t="s">
        <v>5417</v>
      </c>
      <c r="AY11" s="643" t="s">
        <v>5418</v>
      </c>
      <c r="AZ11" s="643" t="s">
        <v>5415</v>
      </c>
      <c r="BA11" s="643" t="s">
        <v>5416</v>
      </c>
      <c r="BB11" s="643" t="s">
        <v>5417</v>
      </c>
      <c r="BC11" s="643" t="s">
        <v>5418</v>
      </c>
      <c r="BD11" s="643" t="s">
        <v>5415</v>
      </c>
      <c r="BE11" s="643" t="s">
        <v>5416</v>
      </c>
      <c r="BF11" s="643" t="s">
        <v>5417</v>
      </c>
      <c r="BG11" s="643" t="s">
        <v>5418</v>
      </c>
      <c r="BH11" s="643" t="s">
        <v>5415</v>
      </c>
      <c r="BI11" s="643" t="s">
        <v>5416</v>
      </c>
      <c r="BJ11" s="643" t="s">
        <v>5417</v>
      </c>
      <c r="BK11" s="643" t="s">
        <v>5418</v>
      </c>
      <c r="BL11" s="643" t="s">
        <v>5415</v>
      </c>
      <c r="BM11" s="643" t="s">
        <v>5416</v>
      </c>
      <c r="BN11" s="643" t="s">
        <v>5417</v>
      </c>
      <c r="BO11" s="643" t="s">
        <v>5418</v>
      </c>
      <c r="BP11" s="643" t="s">
        <v>5415</v>
      </c>
      <c r="BQ11" s="643" t="s">
        <v>5416</v>
      </c>
      <c r="BR11" s="643" t="s">
        <v>5417</v>
      </c>
      <c r="BS11" s="643" t="s">
        <v>5418</v>
      </c>
      <c r="BT11" s="643" t="s">
        <v>5415</v>
      </c>
      <c r="BU11" s="643" t="s">
        <v>5416</v>
      </c>
      <c r="BV11" s="643" t="s">
        <v>5417</v>
      </c>
      <c r="BW11" s="643" t="s">
        <v>5418</v>
      </c>
      <c r="BX11" s="643" t="s">
        <v>5415</v>
      </c>
      <c r="BY11" s="643" t="s">
        <v>5416</v>
      </c>
      <c r="BZ11" s="643" t="s">
        <v>5417</v>
      </c>
      <c r="CA11" s="643" t="s">
        <v>5418</v>
      </c>
      <c r="CB11" s="643" t="s">
        <v>5415</v>
      </c>
      <c r="CC11" s="643" t="s">
        <v>5416</v>
      </c>
      <c r="CD11" s="643" t="s">
        <v>5417</v>
      </c>
      <c r="CE11" s="643" t="s">
        <v>5418</v>
      </c>
      <c r="CF11" s="643" t="s">
        <v>5415</v>
      </c>
      <c r="CG11" s="643" t="s">
        <v>5416</v>
      </c>
      <c r="CH11" s="643" t="s">
        <v>5417</v>
      </c>
      <c r="CI11" s="643" t="s">
        <v>5418</v>
      </c>
      <c r="CL11" s="720"/>
      <c r="CM11" s="638" t="s">
        <v>32</v>
      </c>
      <c r="CN11" s="772">
        <f>SUM('FE - Aluminum'!BL26:BL27)+SUM('FE - Aluminum'!BL16:BL20)+SUM('FE - Aluminum'!BL13:BL14)+'FE - Aluminum'!BH4/1000+'FE - Aluminum'!BL30</f>
        <v>2.9961086604576779</v>
      </c>
      <c r="CO11" s="681">
        <v>4</v>
      </c>
      <c r="CP11" s="681"/>
      <c r="CQ11" s="780" t="s">
        <v>32</v>
      </c>
      <c r="CR11" s="784">
        <v>4.4356980542116498</v>
      </c>
      <c r="CS11" s="784">
        <v>4.361351649806867</v>
      </c>
      <c r="CT11" s="784">
        <v>4.361351649806867</v>
      </c>
      <c r="CU11" s="784">
        <v>3.9904605859616185</v>
      </c>
      <c r="CV11" s="784">
        <v>2.5343642690269008</v>
      </c>
      <c r="CW11" s="786">
        <v>4.1623652088408836</v>
      </c>
      <c r="CX11" s="784">
        <v>6.362694923621742</v>
      </c>
      <c r="CY11" s="784">
        <v>4.5611291045878133</v>
      </c>
      <c r="CZ11" s="784">
        <v>4.5611291045878133</v>
      </c>
      <c r="DA11" s="784">
        <v>4.5611291045878133</v>
      </c>
      <c r="DB11" s="784">
        <v>4.5611291045878133</v>
      </c>
      <c r="DC11" s="784">
        <v>2.7771620338680161</v>
      </c>
      <c r="DD11" s="786">
        <v>4.5611291045878133</v>
      </c>
      <c r="DE11" s="784">
        <v>6.9722553268760183</v>
      </c>
      <c r="DF11" s="784">
        <v>2.94953015430012</v>
      </c>
      <c r="DG11" s="784">
        <v>2.94953015430012</v>
      </c>
      <c r="DH11" s="784">
        <v>2.94953015430012</v>
      </c>
      <c r="DI11" s="784">
        <v>2.94953015430012</v>
      </c>
      <c r="DJ11" s="784">
        <v>2.0203853796389817</v>
      </c>
      <c r="DK11" s="786">
        <v>2.94953015430012</v>
      </c>
      <c r="DL11" s="784">
        <v>4.0578526002418434</v>
      </c>
      <c r="DM11" s="849">
        <v>5.0679148177985969</v>
      </c>
      <c r="DN11" s="849">
        <v>0</v>
      </c>
      <c r="DO11" s="974">
        <v>5.1479530248413701</v>
      </c>
      <c r="DP11" s="974">
        <v>0</v>
      </c>
      <c r="DQ11" s="975">
        <v>2.9961086604576779</v>
      </c>
      <c r="DR11" s="976"/>
      <c r="DS11" s="976"/>
      <c r="DT11" s="975"/>
      <c r="DU11" s="428"/>
      <c r="DV11" s="977" t="s">
        <v>5586</v>
      </c>
      <c r="DW11" s="978"/>
      <c r="DX11" s="979"/>
      <c r="DY11" s="979" t="s">
        <v>5894</v>
      </c>
      <c r="DZ11" s="948">
        <v>3.23</v>
      </c>
      <c r="EA11" s="948">
        <v>2.87</v>
      </c>
      <c r="EB11" s="948">
        <v>4</v>
      </c>
      <c r="EC11"/>
      <c r="ED11"/>
      <c r="EJ11" s="942" t="s">
        <v>84</v>
      </c>
      <c r="EK11" s="946">
        <v>38.08654277967819</v>
      </c>
      <c r="EL11" s="946">
        <v>68.535213993919214</v>
      </c>
      <c r="EM11"/>
      <c r="EN11"/>
      <c r="EO11"/>
    </row>
    <row r="12" spans="1:145" s="634" customFormat="1" ht="25.05" customHeight="1">
      <c r="C12" s="614" cm="1">
        <f t="array" ref="C12">_xlfn.IFS($D$7=$D$1,HLOOKUP(D12,'FE - Aluminum'!$DQ$9:$DX$10,2,FALSE),$D$7=$E$1,0,$D$7=$F$1,0)</f>
        <v>5.9253864373623691E-2</v>
      </c>
      <c r="D12" s="660" t="s">
        <v>85</v>
      </c>
      <c r="E12" s="655"/>
      <c r="F12" s="615">
        <f>HLOOKUP(D12,'FE - Aluminum'!$DQ$1:$DX$5,4,FALSE)</f>
        <v>120.9</v>
      </c>
      <c r="H12" s="608">
        <f>('FE - Aluminum'!BH24/'FE - Aluminum'!AV10)/'FE - ACV Aluminum'!K12</f>
        <v>2.330738024780424E-3</v>
      </c>
      <c r="I12" s="609" t="s">
        <v>5388</v>
      </c>
      <c r="J12" s="639" t="s">
        <v>489</v>
      </c>
      <c r="K12" s="605">
        <f>SUMPRODUCT('FE - Aluminum'!CJ26:CJ27,'FE - Aluminum'!DO26:DO27)+SUMPRODUCT('FE - Aluminum'!CJ18:CJ19,'FE - Aluminum'!DO18:DO19)*'FE - ACV Aluminum'!K35+K36*'FE - Aluminum'!CJ20</f>
        <v>493.89974964772563</v>
      </c>
      <c r="L12" s="595" cm="1">
        <f t="array" ref="L12">_xlfn.IFS($Q$2=$A$1,R12,$Q$2=$B$1,S12,$Q$2=$C$1,T12)</f>
        <v>310.50065479002677</v>
      </c>
      <c r="M12" s="595">
        <f t="shared" si="1"/>
        <v>357.43311657499368</v>
      </c>
      <c r="N12" s="595">
        <f>VLOOKUP(J12,'FE - Aluminum'!$E$11:$DP$54,112,FALSE)</f>
        <v>310.50065479002677</v>
      </c>
      <c r="O12" s="595">
        <f t="shared" si="2"/>
        <v>357.43311657499368</v>
      </c>
      <c r="P12" s="606"/>
      <c r="Q12" s="596">
        <f t="shared" si="3"/>
        <v>1</v>
      </c>
      <c r="R12" s="596">
        <v>2.9731989912176098</v>
      </c>
      <c r="S12" s="596">
        <f>VLOOKUP(J12,'FE - Aluminum'!$E$11:$DP$54,112,FALSE)</f>
        <v>310.50065479002677</v>
      </c>
      <c r="T12" s="596">
        <v>6.6071088693724667</v>
      </c>
      <c r="V12" s="596">
        <f>M12</f>
        <v>357.43311657499368</v>
      </c>
      <c r="W12" s="596">
        <f>VLOOKUP(J12,'FE - Aluminum'!$E$11:$BL$54,59,FALSE)</f>
        <v>3.2840564943986252</v>
      </c>
      <c r="X12" s="596">
        <f>K12*H12</f>
        <v>1.1511509269334859</v>
      </c>
      <c r="Y12" s="596">
        <f>VLOOKUP(J12,'FE - Aluminum'!$E$11:$BL$54,56,FALSE)/'FE - Aluminum'!$AV$10</f>
        <v>1.1511509269334859</v>
      </c>
      <c r="Z12" s="597">
        <f>O12</f>
        <v>357.43311657499368</v>
      </c>
      <c r="AA12" s="596">
        <f>VLOOKUP(J12,'FE - Aluminum'!$E$11:$BL$54,60,FALSE)*1000</f>
        <v>357.43311657499356</v>
      </c>
      <c r="AC12" s="590" t="s">
        <v>5318</v>
      </c>
      <c r="AD12" s="645">
        <f>V8</f>
        <v>653.39812613908589</v>
      </c>
      <c r="AE12" s="640"/>
      <c r="AF12" s="664" t="s">
        <v>5477</v>
      </c>
      <c r="AG12" s="562">
        <f>VLOOKUP(AF12,'FE - Aluminum'!$E$11:$BH$54,54,FALSE)/'FE - Aluminum'!$AV$10</f>
        <v>0</v>
      </c>
      <c r="AH12" s="562">
        <f>VLOOKUP(AF12,'FE - Aluminum'!$E$11:$DP$54,112,FALSE)</f>
        <v>167.49775165464294</v>
      </c>
      <c r="AI12" s="642">
        <f t="shared" ref="AI12" si="6">AG12*AH12</f>
        <v>0</v>
      </c>
      <c r="AJ12" s="562">
        <f>VLOOKUP(AF12,'FE - Aluminum'!$E$11:$DP$54,108,FALSE)</f>
        <v>0</v>
      </c>
      <c r="AK12" s="642">
        <f t="shared" si="5"/>
        <v>0</v>
      </c>
      <c r="AL12" s="564">
        <f>VLOOKUP(AF12,'FE - Aluminum'!$E$11:$DP$54,111,FALSE)</f>
        <v>0</v>
      </c>
      <c r="AS12" s="590" t="s">
        <v>5318</v>
      </c>
      <c r="AT12" s="575">
        <v>4</v>
      </c>
      <c r="AU12" s="572" t="s">
        <v>5414</v>
      </c>
      <c r="AV12" s="576">
        <v>0.48</v>
      </c>
      <c r="AW12" s="575">
        <v>9.2399999999999982E-2</v>
      </c>
      <c r="AX12" s="646" t="s">
        <v>5419</v>
      </c>
      <c r="AY12" s="646" t="s">
        <v>5420</v>
      </c>
      <c r="AZ12" s="575">
        <v>0.35599999999999998</v>
      </c>
      <c r="BA12" s="575">
        <v>5.9818528060938715E-3</v>
      </c>
      <c r="BB12" s="646"/>
      <c r="BC12" s="647" t="s">
        <v>150</v>
      </c>
      <c r="BD12" s="575"/>
      <c r="BE12" s="575"/>
      <c r="BF12" s="646"/>
      <c r="BG12" s="648"/>
      <c r="BH12" s="576">
        <v>0.34605831978400003</v>
      </c>
      <c r="BI12" s="575">
        <v>5.3831294188622222E-3</v>
      </c>
      <c r="BJ12" s="646" t="s">
        <v>5421</v>
      </c>
      <c r="BK12" s="647" t="s">
        <v>5422</v>
      </c>
      <c r="BL12" s="575">
        <v>1.1520000000000001</v>
      </c>
      <c r="BM12" s="575">
        <v>0.32</v>
      </c>
      <c r="BN12" s="646"/>
      <c r="BO12" s="647"/>
      <c r="BP12" s="575">
        <v>0.46350000000000002</v>
      </c>
      <c r="BQ12" s="575">
        <v>0</v>
      </c>
      <c r="BR12" s="646" t="s">
        <v>5423</v>
      </c>
      <c r="BS12" s="647" t="s">
        <v>5424</v>
      </c>
      <c r="BT12" s="575">
        <v>0.61</v>
      </c>
      <c r="BU12" s="575">
        <v>5.5555555555555558E-3</v>
      </c>
      <c r="BV12" s="646"/>
      <c r="BW12" s="647"/>
      <c r="BX12" s="575">
        <v>0.16</v>
      </c>
      <c r="BY12" s="575">
        <v>3.1111111111111114E-3</v>
      </c>
      <c r="BZ12" s="646" t="s">
        <v>5425</v>
      </c>
      <c r="CA12" s="647" t="s">
        <v>5426</v>
      </c>
      <c r="CB12" s="575"/>
      <c r="CC12" s="575"/>
      <c r="CD12" s="646"/>
      <c r="CE12" s="647"/>
      <c r="CF12" s="575">
        <v>0.61199999999999999</v>
      </c>
      <c r="CG12" s="575">
        <v>1.1900000000000001E-2</v>
      </c>
      <c r="CH12" s="646" t="s">
        <v>5427</v>
      </c>
      <c r="CI12" s="647" t="s">
        <v>5426</v>
      </c>
      <c r="CL12" s="720"/>
      <c r="CM12" s="638" t="s">
        <v>5487</v>
      </c>
      <c r="CN12" s="772">
        <f>'FE - Aluminum'!BL29</f>
        <v>0.34308598331920004</v>
      </c>
      <c r="CO12" s="681">
        <v>5</v>
      </c>
      <c r="CP12" s="681"/>
      <c r="CQ12" s="780" t="s">
        <v>5487</v>
      </c>
      <c r="CR12" s="783">
        <v>7.9820841812899973E-2</v>
      </c>
      <c r="CS12" s="783">
        <v>7.8482970633927979E-2</v>
      </c>
      <c r="CT12" s="783">
        <v>7.8482970633927979E-2</v>
      </c>
      <c r="CU12" s="783">
        <v>7.1808747867817838E-2</v>
      </c>
      <c r="CV12" s="784">
        <v>0.14980437840530872</v>
      </c>
      <c r="CW12" s="786">
        <v>7.490218920265436E-2</v>
      </c>
      <c r="CX12" s="784">
        <v>0</v>
      </c>
      <c r="CY12" s="783">
        <v>8.2077986439999973E-2</v>
      </c>
      <c r="CZ12" s="783">
        <v>8.2077986439999973E-2</v>
      </c>
      <c r="DA12" s="783">
        <v>8.2077986439999973E-2</v>
      </c>
      <c r="DB12" s="783">
        <v>8.2077986439999973E-2</v>
      </c>
      <c r="DC12" s="784">
        <v>0.16415597287999997</v>
      </c>
      <c r="DD12" s="786">
        <v>8.2077986439999986E-2</v>
      </c>
      <c r="DE12" s="784">
        <v>0</v>
      </c>
      <c r="DF12" s="783">
        <v>0.34308598331920004</v>
      </c>
      <c r="DG12" s="783">
        <v>0.34308598331920004</v>
      </c>
      <c r="DH12" s="783">
        <v>0.34308598331920004</v>
      </c>
      <c r="DI12" s="783">
        <v>0.34308598331920004</v>
      </c>
      <c r="DJ12" s="784">
        <v>0.34308598331920004</v>
      </c>
      <c r="DK12" s="786">
        <v>0.34308598331920004</v>
      </c>
      <c r="DL12" s="784">
        <v>0.34308598331920004</v>
      </c>
      <c r="DM12" s="849">
        <v>0</v>
      </c>
      <c r="DN12" s="849">
        <v>0.82077986439999995</v>
      </c>
      <c r="DO12" s="974">
        <v>0</v>
      </c>
      <c r="DP12" s="974">
        <v>0.82077986439999995</v>
      </c>
      <c r="DQ12" s="975">
        <v>0.34308598331920004</v>
      </c>
      <c r="DR12" s="976"/>
      <c r="DS12" s="976"/>
      <c r="DT12" s="975"/>
      <c r="DU12" s="428"/>
      <c r="DV12" s="977" t="s">
        <v>5587</v>
      </c>
      <c r="DW12" s="978"/>
      <c r="DX12" s="979"/>
      <c r="DY12" s="979" t="s">
        <v>5895</v>
      </c>
      <c r="DZ12" s="979"/>
      <c r="EA12" s="979"/>
      <c r="EB12" s="979"/>
      <c r="EC12" s="799"/>
      <c r="ED12" s="799"/>
      <c r="EJ12" s="942" t="s">
        <v>85</v>
      </c>
      <c r="EK12" s="946">
        <v>137.61430474311049</v>
      </c>
      <c r="EL12" s="946">
        <v>117.26288039547458</v>
      </c>
      <c r="EM12" s="799"/>
    </row>
    <row r="13" spans="1:145" s="634" customFormat="1" ht="25.05" customHeight="1">
      <c r="B13" s="649"/>
      <c r="C13" s="614">
        <f>HLOOKUP(D13,'FE - Aluminum'!$DQ$9:$DX$10,2,FALSE)</f>
        <v>0.70777957601180086</v>
      </c>
      <c r="D13" s="661" t="s">
        <v>465</v>
      </c>
      <c r="E13" s="656"/>
      <c r="F13" s="615" cm="1">
        <f t="array" ref="F13">_xlfn.IFS(OR(D7=D1,D7=E1),HLOOKUP(D13,'FE - Aluminum'!$DQ$1:$DX$5,4,FALSE),D7=F1,20.14)</f>
        <v>38.530113431951413</v>
      </c>
      <c r="G13" s="649"/>
      <c r="H13" s="610"/>
      <c r="I13" s="611" t="s">
        <v>475</v>
      </c>
      <c r="J13" s="644" t="s">
        <v>5392</v>
      </c>
      <c r="K13" s="605"/>
      <c r="L13" s="595"/>
      <c r="M13" s="595"/>
      <c r="N13" s="595"/>
      <c r="O13" s="595"/>
      <c r="P13" s="606"/>
      <c r="Q13" s="596"/>
      <c r="R13" s="596"/>
      <c r="S13" s="596"/>
      <c r="T13" s="596"/>
      <c r="V13" s="596"/>
      <c r="W13" s="596"/>
      <c r="X13" s="596"/>
      <c r="Y13" s="596"/>
      <c r="Z13" s="597"/>
      <c r="AA13" s="596"/>
      <c r="AC13" s="590" t="s">
        <v>5428</v>
      </c>
      <c r="AD13" s="645">
        <f>SUM(V10:V12)</f>
        <v>357.43311657499368</v>
      </c>
      <c r="AE13" s="640"/>
      <c r="AF13" s="641" t="s">
        <v>5360</v>
      </c>
      <c r="AG13" s="562">
        <f>VLOOKUP(AF13,'FE - Aluminum'!$E$11:$BH$54,54,FALSE)/'FE - Aluminum'!$AV$10</f>
        <v>0</v>
      </c>
      <c r="AH13" s="562">
        <f>VLOOKUP(AF13,'FE - Aluminum'!$E$11:$DP$54,112,FALSE)</f>
        <v>75.284184357572329</v>
      </c>
      <c r="AI13" s="642">
        <f>AG13*AH13</f>
        <v>0</v>
      </c>
      <c r="AJ13" s="562">
        <f>VLOOKUP(AF13,'FE - Aluminum'!$E$11:$DP$54,108,FALSE)</f>
        <v>0</v>
      </c>
      <c r="AK13" s="642">
        <f t="shared" si="5"/>
        <v>0</v>
      </c>
      <c r="AL13" s="564">
        <f>VLOOKUP(AF13,'FE - Aluminum'!$E$11:$DP$54,111,FALSE)</f>
        <v>0</v>
      </c>
      <c r="AS13" s="590" t="s">
        <v>5428</v>
      </c>
      <c r="AT13" s="575">
        <v>2</v>
      </c>
      <c r="AU13" s="572" t="s">
        <v>5414</v>
      </c>
      <c r="AV13" s="576">
        <v>14.54</v>
      </c>
      <c r="AW13" s="575">
        <v>0.24233333333333332</v>
      </c>
      <c r="AX13" s="646" t="s">
        <v>5429</v>
      </c>
      <c r="AY13" s="646" t="s">
        <v>5420</v>
      </c>
      <c r="AZ13" s="575">
        <v>16.22</v>
      </c>
      <c r="BA13" s="575">
        <v>0.87404529518327001</v>
      </c>
      <c r="BB13" s="646"/>
      <c r="BC13" s="647" t="s">
        <v>5430</v>
      </c>
      <c r="BD13" s="575">
        <v>20.100000000000001</v>
      </c>
      <c r="BE13" s="575">
        <v>0.39077500000000004</v>
      </c>
      <c r="BF13" s="646" t="s">
        <v>5431</v>
      </c>
      <c r="BG13" s="648" t="s">
        <v>5432</v>
      </c>
      <c r="BH13" s="576">
        <v>16.009417513422001</v>
      </c>
      <c r="BI13" s="575">
        <v>0.13341181261185001</v>
      </c>
      <c r="BJ13" s="646" t="s">
        <v>5433</v>
      </c>
      <c r="BK13" s="647" t="s">
        <v>5422</v>
      </c>
      <c r="BL13" s="575">
        <v>20.015999999999998</v>
      </c>
      <c r="BM13" s="575">
        <v>5.56</v>
      </c>
      <c r="BN13" s="646"/>
      <c r="BO13" s="647"/>
      <c r="BP13" s="576">
        <v>20.41</v>
      </c>
      <c r="BQ13" s="575">
        <v>0.47056388888888889</v>
      </c>
      <c r="BR13" s="646" t="s">
        <v>5434</v>
      </c>
      <c r="BS13" s="647" t="s">
        <v>5435</v>
      </c>
      <c r="BT13" s="575">
        <v>32.869999999999997</v>
      </c>
      <c r="BU13" s="575">
        <v>0.38611111111111107</v>
      </c>
      <c r="BV13" s="646"/>
      <c r="BW13" s="647"/>
      <c r="BX13" s="575">
        <v>14.4</v>
      </c>
      <c r="BY13" s="575"/>
      <c r="BZ13" s="646" t="s">
        <v>5436</v>
      </c>
      <c r="CA13" s="647" t="s">
        <v>5437</v>
      </c>
      <c r="CB13" s="575">
        <v>14</v>
      </c>
      <c r="CC13" s="575"/>
      <c r="CD13" s="646" t="s">
        <v>5438</v>
      </c>
      <c r="CE13" s="647" t="s">
        <v>5437</v>
      </c>
      <c r="CF13" s="575">
        <v>27.6</v>
      </c>
      <c r="CG13" s="575"/>
      <c r="CH13" s="646" t="s">
        <v>5439</v>
      </c>
      <c r="CI13" s="647" t="s">
        <v>5437</v>
      </c>
      <c r="CL13" s="720"/>
      <c r="CM13" s="638" t="s">
        <v>5518</v>
      </c>
      <c r="CN13" s="773">
        <f>+CN11+CN12</f>
        <v>3.339194643776878</v>
      </c>
      <c r="CO13" s="681">
        <v>6</v>
      </c>
      <c r="CP13" s="681"/>
      <c r="CQ13" s="780" t="s">
        <v>5518</v>
      </c>
      <c r="CR13" s="784">
        <v>4.5155188960245498</v>
      </c>
      <c r="CS13" s="784">
        <v>4.439834620440795</v>
      </c>
      <c r="CT13" s="784">
        <v>4.439834620440795</v>
      </c>
      <c r="CU13" s="784">
        <v>4.0622693338294367</v>
      </c>
      <c r="CV13" s="784">
        <v>2.6841686474322097</v>
      </c>
      <c r="CW13" s="786">
        <v>4.2372673980435378</v>
      </c>
      <c r="CX13" s="784">
        <v>6.362694923621742</v>
      </c>
      <c r="CY13" s="784">
        <v>4.6432070910278131</v>
      </c>
      <c r="CZ13" s="784">
        <v>4.6432070910278131</v>
      </c>
      <c r="DA13" s="784">
        <v>4.6432070910278131</v>
      </c>
      <c r="DB13" s="784">
        <v>4.6432070910278131</v>
      </c>
      <c r="DC13" s="784">
        <v>2.9413180067480162</v>
      </c>
      <c r="DD13" s="786">
        <v>4.6432070910278131</v>
      </c>
      <c r="DE13" s="784">
        <v>6.9722553268760183</v>
      </c>
      <c r="DF13" s="784">
        <v>3.2926161376193201</v>
      </c>
      <c r="DG13" s="784">
        <v>3.2926161376193201</v>
      </c>
      <c r="DH13" s="784">
        <v>3.2926161376193201</v>
      </c>
      <c r="DI13" s="784">
        <v>3.2926161376193201</v>
      </c>
      <c r="DJ13" s="784">
        <v>2.3634713629581818</v>
      </c>
      <c r="DK13" s="786">
        <v>3.2926161376193201</v>
      </c>
      <c r="DL13" s="784">
        <v>4.4009385835610431</v>
      </c>
      <c r="DM13" s="849">
        <v>5.0679148177985969</v>
      </c>
      <c r="DN13" s="849">
        <v>0.82077986439999995</v>
      </c>
      <c r="DO13" s="974">
        <v>5.1479530248413701</v>
      </c>
      <c r="DP13" s="974">
        <v>0.82077986439999995</v>
      </c>
      <c r="DQ13" s="975">
        <v>3.339194643776878</v>
      </c>
      <c r="DR13" s="976"/>
      <c r="DS13" s="976"/>
      <c r="DT13" s="975"/>
      <c r="DU13" s="428"/>
      <c r="DV13" s="977"/>
      <c r="DW13" s="978"/>
      <c r="DX13" s="979"/>
      <c r="DY13" s="979"/>
      <c r="DZ13" s="979"/>
      <c r="EA13" s="979"/>
      <c r="EB13" s="979"/>
      <c r="EC13" s="799"/>
      <c r="ED13" s="799"/>
      <c r="EJ13" s="942" t="s">
        <v>465</v>
      </c>
      <c r="EK13" s="946">
        <v>38.530113431951413</v>
      </c>
      <c r="EL13" s="946">
        <v>38.53</v>
      </c>
      <c r="EM13" s="799"/>
    </row>
    <row r="14" spans="1:145" s="634" customFormat="1" ht="25.05" customHeight="1">
      <c r="B14" s="649"/>
      <c r="C14" s="614" cm="1">
        <f t="array" ref="C14">_xlfn.IFS($D$7=$D$1,HLOOKUP(D14,'FE - Aluminum'!$DQ$9:$DX$10,2,FALSE),$D$7=$E$1,0,$D$7=$F$1,0)</f>
        <v>0.10381660508729162</v>
      </c>
      <c r="D14" s="660" t="s">
        <v>5343</v>
      </c>
      <c r="E14" s="655"/>
      <c r="F14" s="615">
        <f>HLOOKUP(D14,'FE - Aluminum'!$DQ$1:$DX$5,4,FALSE)</f>
        <v>84.748351648351644</v>
      </c>
      <c r="H14" s="608">
        <f>('FE - Aluminum'!BH29/'FE - Aluminum'!AV10)/K14</f>
        <v>0.41799999999999998</v>
      </c>
      <c r="I14" s="609" t="s">
        <v>5388</v>
      </c>
      <c r="J14" s="639" t="s">
        <v>524</v>
      </c>
      <c r="K14" s="605">
        <v>1</v>
      </c>
      <c r="L14" s="595" cm="1">
        <f t="array" ref="L14">_xlfn.IFS($Q$2=$A$1,R14,$Q$2=$B$1,S14,$Q$2=$C$1,T14)</f>
        <v>820.77986439999995</v>
      </c>
      <c r="M14" s="595">
        <f t="shared" si="1"/>
        <v>343.08598331919995</v>
      </c>
      <c r="N14" s="595">
        <f>VLOOKUP(J14,'FE - Aluminum'!$E$11:$DP$54,112,FALSE)</f>
        <v>820.77986439999995</v>
      </c>
      <c r="O14" s="595">
        <f t="shared" si="2"/>
        <v>343.08598331919995</v>
      </c>
      <c r="P14" s="606">
        <v>0.45900000000000002</v>
      </c>
      <c r="Q14" s="596">
        <f t="shared" si="3"/>
        <v>1</v>
      </c>
      <c r="R14" s="596">
        <v>2.5</v>
      </c>
      <c r="S14" s="596">
        <f>VLOOKUP(J14,'FE - Aluminum'!$E$11:$DP$54,112,FALSE)</f>
        <v>820.77986439999995</v>
      </c>
      <c r="T14" s="596">
        <v>5.8003999999999998</v>
      </c>
      <c r="V14" s="596">
        <f>M14</f>
        <v>343.08598331919995</v>
      </c>
      <c r="W14" s="596">
        <f>VLOOKUP(J14,'FE - Aluminum'!$E$11:$BL$54,59,FALSE)</f>
        <v>2.4245671999999998</v>
      </c>
      <c r="X14" s="596">
        <f>K14*H14</f>
        <v>0.41799999999999998</v>
      </c>
      <c r="Y14" s="596">
        <f>VLOOKUP(J14,'FE - Aluminum'!$E$11:$BL$54,56,FALSE)/'FE - Aluminum'!$AV$10</f>
        <v>0.41799999999999998</v>
      </c>
      <c r="Z14" s="597">
        <f>O14</f>
        <v>343.08598331919995</v>
      </c>
      <c r="AA14" s="596">
        <f>VLOOKUP(J14,'FE - Aluminum'!$E$11:$BL$54,60,FALSE)*1000</f>
        <v>343.08598331920001</v>
      </c>
      <c r="AC14" s="590" t="s">
        <v>5440</v>
      </c>
      <c r="AD14" s="645" t="e">
        <f>V16+SUM(V19:V20)</f>
        <v>#N/A</v>
      </c>
      <c r="AE14" s="640"/>
      <c r="AF14" s="641" t="s">
        <v>5361</v>
      </c>
      <c r="AG14" s="562">
        <f>VLOOKUP(AF14,'FE - Aluminum'!$E$11:$BH$54,54,FALSE)/'FE - Aluminum'!$AV$10</f>
        <v>0</v>
      </c>
      <c r="AH14" s="562">
        <f>VLOOKUP(AF14,'FE - Aluminum'!$E$11:$DP$54,112,FALSE)</f>
        <v>75.284184357572329</v>
      </c>
      <c r="AI14" s="642">
        <f>AG14*AH14</f>
        <v>0</v>
      </c>
      <c r="AJ14" s="562">
        <f>VLOOKUP(AF14,'FE - Aluminum'!$E$11:$DP$54,108,FALSE)</f>
        <v>0</v>
      </c>
      <c r="AK14" s="642">
        <f t="shared" si="5"/>
        <v>0</v>
      </c>
      <c r="AL14" s="564">
        <f>VLOOKUP(AF14,'FE - Aluminum'!$E$11:$DP$54,111,FALSE)</f>
        <v>0</v>
      </c>
      <c r="AS14" s="590" t="s">
        <v>5440</v>
      </c>
      <c r="AT14" s="575">
        <v>1</v>
      </c>
      <c r="AU14" s="572" t="s">
        <v>5414</v>
      </c>
      <c r="AV14" s="576">
        <v>80.849999999999994</v>
      </c>
      <c r="AW14" s="575">
        <v>14.95</v>
      </c>
      <c r="AX14" s="646" t="s">
        <v>5441</v>
      </c>
      <c r="AY14" s="646" t="s">
        <v>5420</v>
      </c>
      <c r="AZ14" s="575">
        <v>63.9</v>
      </c>
      <c r="BA14" s="575">
        <v>16.065005854331119</v>
      </c>
      <c r="BB14" s="646"/>
      <c r="BC14" s="647" t="s">
        <v>5430</v>
      </c>
      <c r="BD14" s="575">
        <v>50.510000000000005</v>
      </c>
      <c r="BE14" s="575">
        <v>13.755555555555555</v>
      </c>
      <c r="BF14" s="646" t="s">
        <v>5442</v>
      </c>
      <c r="BG14" s="648" t="s">
        <v>5432</v>
      </c>
      <c r="BH14" s="576">
        <v>51.841857426519802</v>
      </c>
      <c r="BI14" s="575">
        <v>13.902949735881407</v>
      </c>
      <c r="BJ14" s="646" t="s">
        <v>5443</v>
      </c>
      <c r="BK14" s="647" t="s">
        <v>5422</v>
      </c>
      <c r="BL14" s="575">
        <v>51.768000000000001</v>
      </c>
      <c r="BM14" s="575">
        <v>14.379999999999999</v>
      </c>
      <c r="BN14" s="646"/>
      <c r="BO14" s="647"/>
      <c r="BP14" s="575">
        <v>50.770800000000001</v>
      </c>
      <c r="BQ14" s="575">
        <v>13.253</v>
      </c>
      <c r="BR14" s="646" t="s">
        <v>5444</v>
      </c>
      <c r="BS14" s="647" t="s">
        <v>5435</v>
      </c>
      <c r="BT14" s="575">
        <v>101.84</v>
      </c>
      <c r="BU14" s="575">
        <v>14.563888888888888</v>
      </c>
      <c r="BV14" s="646"/>
      <c r="BW14" s="647"/>
      <c r="BX14" s="575">
        <v>44.2</v>
      </c>
      <c r="BY14" s="575">
        <v>12</v>
      </c>
      <c r="BZ14" s="646" t="s">
        <v>5445</v>
      </c>
      <c r="CA14" s="647" t="s">
        <v>5446</v>
      </c>
      <c r="CB14" s="575">
        <v>24.040000000000003</v>
      </c>
      <c r="CC14" s="575">
        <v>6.4</v>
      </c>
      <c r="CD14" s="646" t="s">
        <v>5447</v>
      </c>
      <c r="CE14" s="647" t="s">
        <v>5446</v>
      </c>
      <c r="CF14" s="575">
        <v>51.4</v>
      </c>
      <c r="CG14" s="575">
        <v>14</v>
      </c>
      <c r="CH14" s="646" t="s">
        <v>5448</v>
      </c>
      <c r="CI14" s="647" t="s">
        <v>5446</v>
      </c>
      <c r="CL14" s="720"/>
      <c r="CM14" s="638" t="s">
        <v>5514</v>
      </c>
      <c r="CN14" s="772">
        <f>(SUM('FE - Aluminum'!BL32:BL37)+'FE - Aluminum'!CB5)</f>
        <v>0</v>
      </c>
      <c r="CO14" s="681">
        <v>7</v>
      </c>
      <c r="CP14" s="681"/>
      <c r="CQ14" s="780" t="s">
        <v>5514</v>
      </c>
      <c r="CR14" s="784">
        <v>0.57447720935757229</v>
      </c>
      <c r="CS14" s="784">
        <v>1.3365105615242392</v>
      </c>
      <c r="CT14" s="784">
        <v>1.3365105615242392</v>
      </c>
      <c r="CU14" s="784">
        <v>1.8271149771801785</v>
      </c>
      <c r="CV14" s="784">
        <v>1.3434655777904618</v>
      </c>
      <c r="CW14" s="786">
        <v>1.4028145704636936</v>
      </c>
      <c r="CX14" s="784">
        <v>1.4560807077143472</v>
      </c>
      <c r="CY14" s="784">
        <v>0</v>
      </c>
      <c r="CZ14" s="784">
        <v>0</v>
      </c>
      <c r="DA14" s="784">
        <v>0</v>
      </c>
      <c r="DB14" s="784">
        <v>0</v>
      </c>
      <c r="DC14" s="784">
        <v>0</v>
      </c>
      <c r="DD14" s="786">
        <v>0</v>
      </c>
      <c r="DE14" s="784">
        <v>0</v>
      </c>
      <c r="DF14" s="784">
        <v>0</v>
      </c>
      <c r="DG14" s="784">
        <v>0</v>
      </c>
      <c r="DH14" s="784">
        <v>0</v>
      </c>
      <c r="DI14" s="784">
        <v>0</v>
      </c>
      <c r="DJ14" s="784">
        <v>0</v>
      </c>
      <c r="DK14" s="786">
        <v>0</v>
      </c>
      <c r="DL14" s="784">
        <v>0</v>
      </c>
      <c r="DM14" s="849">
        <v>0</v>
      </c>
      <c r="DN14" s="849">
        <v>0</v>
      </c>
      <c r="DO14" s="974">
        <v>0</v>
      </c>
      <c r="DP14" s="974">
        <v>0</v>
      </c>
      <c r="DQ14" s="975">
        <v>0</v>
      </c>
      <c r="DR14" s="976"/>
      <c r="DS14" s="976"/>
      <c r="DT14" s="975"/>
      <c r="DU14" s="428"/>
      <c r="DV14" s="977"/>
      <c r="DW14" s="978"/>
      <c r="DX14" s="979"/>
      <c r="DY14" s="979" t="s">
        <v>5896</v>
      </c>
      <c r="DZ14" s="979"/>
      <c r="EA14" s="979"/>
      <c r="EB14" s="979"/>
      <c r="EC14" s="799"/>
      <c r="ED14" s="799"/>
      <c r="EJ14" s="799"/>
      <c r="EK14" s="799"/>
      <c r="EL14" s="799"/>
      <c r="EM14" s="799"/>
    </row>
    <row r="15" spans="1:145" s="634" customFormat="1" ht="25.05" customHeight="1">
      <c r="C15" s="614" cm="1">
        <f t="array" ref="C15">_xlfn.IFS($D$7=$D$1,HLOOKUP(D15,'FE - Aluminum'!$DQ$9:$DX$10,2,FALSE),$D$7=$E$1,0,$D$7=$F$1,0)</f>
        <v>0</v>
      </c>
      <c r="D15" s="662" t="s">
        <v>215</v>
      </c>
      <c r="E15" s="657"/>
      <c r="F15" s="615">
        <f>HLOOKUP(D15,'FE - Aluminum'!$DQ$1:$DX$5,4,FALSE)</f>
        <v>5.7637777777777774</v>
      </c>
      <c r="H15" s="608">
        <f>AL7</f>
        <v>7174.95</v>
      </c>
      <c r="I15" s="609" t="s">
        <v>5388</v>
      </c>
      <c r="J15" s="639" t="s">
        <v>5314</v>
      </c>
      <c r="K15" s="605">
        <v>1</v>
      </c>
      <c r="L15" s="595" cm="1">
        <f t="array" ref="L15">_xlfn.IFS($Q$2=$A$1,R15,$Q$2=$B$1,S15,$Q$2=$C$1,T15)</f>
        <v>2184.7961400000004</v>
      </c>
      <c r="M15" s="595">
        <f>L15*K15*H15*H8</f>
        <v>36536.190271849482</v>
      </c>
      <c r="N15" s="595">
        <f>AJ7</f>
        <v>0</v>
      </c>
      <c r="O15" s="595">
        <f>N15*K15*H15*H8</f>
        <v>0</v>
      </c>
      <c r="P15" s="606">
        <v>4.0000000000000001E-3</v>
      </c>
      <c r="Q15" s="596">
        <f t="shared" si="3"/>
        <v>0</v>
      </c>
      <c r="R15" s="596">
        <v>43.2</v>
      </c>
      <c r="S15" s="596">
        <f>VLOOKUP(J15,'FE - Aluminum'!$E$11:$DP$54,112,FALSE)</f>
        <v>2184.7961400000004</v>
      </c>
      <c r="T15" s="596">
        <v>57.851999999999997</v>
      </c>
      <c r="V15" s="596">
        <f>M15</f>
        <v>36536.190271849482</v>
      </c>
      <c r="W15" s="596"/>
      <c r="X15" s="596"/>
      <c r="Y15" s="596"/>
      <c r="Z15" s="597"/>
      <c r="AA15" s="596"/>
      <c r="AC15" s="591"/>
      <c r="AD15" s="645"/>
      <c r="AE15" s="640"/>
      <c r="AF15" s="641" t="s">
        <v>5362</v>
      </c>
      <c r="AG15" s="562">
        <f>VLOOKUP(AF15,'FE - Aluminum'!$E$11:$BH$54,54,FALSE)/'FE - Aluminum'!$AV$10</f>
        <v>0</v>
      </c>
      <c r="AH15" s="562">
        <f>VLOOKUP(AF15,'FE - Aluminum'!$E$11:$DP$54,112,FALSE)</f>
        <v>75.284184357572329</v>
      </c>
      <c r="AI15" s="642">
        <f>AG15*AH15</f>
        <v>0</v>
      </c>
      <c r="AJ15" s="562">
        <f>VLOOKUP(AF15,'FE - Aluminum'!$E$11:$DP$54,108,FALSE)</f>
        <v>0</v>
      </c>
      <c r="AK15" s="642">
        <f t="shared" si="5"/>
        <v>0</v>
      </c>
      <c r="AL15" s="564">
        <f>VLOOKUP(AF15,'FE - Aluminum'!$E$11:$DP$54,111,FALSE)</f>
        <v>0</v>
      </c>
      <c r="AS15" s="591" t="s">
        <v>5449</v>
      </c>
      <c r="AT15" s="577">
        <v>0</v>
      </c>
      <c r="AU15" s="572" t="s">
        <v>5414</v>
      </c>
      <c r="AV15" s="575">
        <v>4.8509999999999991</v>
      </c>
      <c r="AW15" s="575">
        <v>0.75459999999999994</v>
      </c>
      <c r="AX15" s="646" t="s">
        <v>5450</v>
      </c>
      <c r="AY15" s="646" t="s">
        <v>5420</v>
      </c>
      <c r="AZ15" s="575">
        <v>4.1779999999999999</v>
      </c>
      <c r="BA15" s="575">
        <v>1.0094933123640462</v>
      </c>
      <c r="BB15" s="646"/>
      <c r="BC15" s="647" t="s">
        <v>150</v>
      </c>
      <c r="BD15" s="575">
        <v>2.5</v>
      </c>
      <c r="BE15" s="575"/>
      <c r="BF15" s="646" t="s">
        <v>5451</v>
      </c>
      <c r="BG15" s="648" t="s">
        <v>5432</v>
      </c>
      <c r="BH15" s="575">
        <v>5.2573433154989999</v>
      </c>
      <c r="BI15" s="575">
        <v>0.12267134402831001</v>
      </c>
      <c r="BJ15" s="646" t="s">
        <v>5452</v>
      </c>
      <c r="BK15" s="647" t="s">
        <v>5422</v>
      </c>
      <c r="BL15" s="575">
        <v>0</v>
      </c>
      <c r="BM15" s="575"/>
      <c r="BN15" s="646"/>
      <c r="BO15" s="647"/>
      <c r="BP15" s="575"/>
      <c r="BQ15" s="575"/>
      <c r="BR15" s="646"/>
      <c r="BS15" s="647"/>
      <c r="BT15" s="575">
        <v>9.18</v>
      </c>
      <c r="BU15" s="575">
        <v>0.15277777777777779</v>
      </c>
      <c r="BV15" s="646"/>
      <c r="BW15" s="647"/>
      <c r="BX15" s="575"/>
      <c r="BY15" s="575"/>
      <c r="BZ15" s="646"/>
      <c r="CA15" s="647"/>
      <c r="CB15" s="575"/>
      <c r="CC15" s="575"/>
      <c r="CD15" s="646"/>
      <c r="CE15" s="647"/>
      <c r="CF15" s="575">
        <v>5.0415000000000001</v>
      </c>
      <c r="CG15" s="575"/>
      <c r="CH15" s="646"/>
      <c r="CI15" s="647"/>
      <c r="CL15" s="720"/>
      <c r="CM15" s="638" t="s">
        <v>5508</v>
      </c>
      <c r="CN15" s="772">
        <f>SUM('FE - Aluminum'!BL40:BL42)</f>
        <v>0.20336868212582773</v>
      </c>
      <c r="CO15" s="681">
        <v>8</v>
      </c>
      <c r="CP15" s="681"/>
      <c r="CQ15" s="780" t="s">
        <v>5508</v>
      </c>
      <c r="CR15" s="784">
        <v>0.96814147575026643</v>
      </c>
      <c r="CS15" s="784">
        <v>0.81638639469999252</v>
      </c>
      <c r="CT15" s="784">
        <v>0.81638639469999252</v>
      </c>
      <c r="CU15" s="784">
        <v>0</v>
      </c>
      <c r="CV15" s="784">
        <v>9.5681992646742139E-2</v>
      </c>
      <c r="CW15" s="786">
        <v>0.34743591943399565</v>
      </c>
      <c r="CX15" s="784">
        <v>0.5108893268623258</v>
      </c>
      <c r="CY15" s="784">
        <v>0.96814147575026643</v>
      </c>
      <c r="CZ15" s="784">
        <v>0.81638639469999252</v>
      </c>
      <c r="DA15" s="784">
        <v>0.81638639469999252</v>
      </c>
      <c r="DB15" s="784">
        <v>0</v>
      </c>
      <c r="DC15" s="784">
        <v>9.5681992646742139E-2</v>
      </c>
      <c r="DD15" s="786">
        <v>0.34743591943399565</v>
      </c>
      <c r="DE15" s="784">
        <v>0.5108893268623258</v>
      </c>
      <c r="DF15" s="784">
        <v>0.96814147575026643</v>
      </c>
      <c r="DG15" s="784">
        <v>0.81638639469999252</v>
      </c>
      <c r="DH15" s="784">
        <v>0.81638639469999252</v>
      </c>
      <c r="DI15" s="784">
        <v>0</v>
      </c>
      <c r="DJ15" s="784">
        <v>9.5681992646742139E-2</v>
      </c>
      <c r="DK15" s="786">
        <v>0.34743591943399565</v>
      </c>
      <c r="DL15" s="784">
        <v>0.5108893268623258</v>
      </c>
      <c r="DM15" s="849">
        <v>0.34743554487838452</v>
      </c>
      <c r="DN15" s="849">
        <v>0.34743554487838452</v>
      </c>
      <c r="DO15" s="974">
        <v>0.20336868212582773</v>
      </c>
      <c r="DP15" s="974">
        <v>0.20336868212582773</v>
      </c>
      <c r="DQ15" s="975">
        <v>0.20336868212582773</v>
      </c>
      <c r="DR15" s="976"/>
      <c r="DS15" s="976"/>
      <c r="DT15" s="975"/>
      <c r="DU15" s="428"/>
      <c r="DV15" s="977" t="s">
        <v>5575</v>
      </c>
      <c r="DW15" s="978"/>
      <c r="DX15" s="979"/>
      <c r="DY15" s="979" t="s">
        <v>5897</v>
      </c>
      <c r="DZ15" s="948">
        <v>0.13</v>
      </c>
      <c r="EA15" s="948">
        <v>0.13</v>
      </c>
      <c r="EB15" s="948"/>
      <c r="EC15" s="799"/>
      <c r="ED15" s="799"/>
      <c r="EJ15" s="961" t="s">
        <v>5876</v>
      </c>
      <c r="EK15" s="961" t="s">
        <v>5877</v>
      </c>
      <c r="EL15" s="961" t="s">
        <v>5878</v>
      </c>
      <c r="EM15" s="961" t="s">
        <v>5607</v>
      </c>
    </row>
    <row r="16" spans="1:145" s="634" customFormat="1" ht="25.05" customHeight="1">
      <c r="D16" s="663"/>
      <c r="E16" s="658"/>
      <c r="H16" s="608">
        <f>AL8</f>
        <v>31863.34</v>
      </c>
      <c r="I16" s="609" t="s">
        <v>5388</v>
      </c>
      <c r="J16" s="639" t="s">
        <v>5315</v>
      </c>
      <c r="K16" s="605">
        <v>1</v>
      </c>
      <c r="L16" s="595" cm="1">
        <f t="array" ref="L16">_xlfn.IFS($Q$2=$A$1,R16,$Q$2=$B$1,S16,$Q$2=$C$1,T16)</f>
        <v>2351.2462300260304</v>
      </c>
      <c r="M16" s="595">
        <f>K16*L16*H16*H8</f>
        <v>174615.53201127294</v>
      </c>
      <c r="N16" s="595">
        <f>AJ8</f>
        <v>0</v>
      </c>
      <c r="O16" s="595">
        <f>N16*K16*H16*H8</f>
        <v>0</v>
      </c>
      <c r="P16" s="606">
        <v>0.10299999999999999</v>
      </c>
      <c r="Q16" s="596">
        <f t="shared" si="3"/>
        <v>0</v>
      </c>
      <c r="R16" s="596">
        <v>46.49121919834537</v>
      </c>
      <c r="S16" s="596">
        <f>VLOOKUP(J16,'FE - Aluminum'!$E$11:$DP$54,112,FALSE)</f>
        <v>2351.2462300260304</v>
      </c>
      <c r="T16" s="596">
        <v>62.259491043117499</v>
      </c>
      <c r="V16" s="596">
        <f>M16</f>
        <v>174615.53201127294</v>
      </c>
      <c r="W16" s="596">
        <f>SUM('FE - Aluminum'!BK26:BK27)</f>
        <v>33.821137440000001</v>
      </c>
      <c r="X16" s="596">
        <f>K16*H16</f>
        <v>31863.34</v>
      </c>
      <c r="Y16" s="596">
        <f>SUM('FE - Aluminum'!BH26:BH27)/'FE - Aluminum'!AV10</f>
        <v>0.58200000000000007</v>
      </c>
      <c r="Z16" s="597">
        <f>O16</f>
        <v>0</v>
      </c>
      <c r="AA16" s="596">
        <f>SUM('FE - Aluminum'!BL26:BL27)*1000</f>
        <v>1303.1322619608193</v>
      </c>
      <c r="AC16" s="591" t="s">
        <v>5449</v>
      </c>
      <c r="AD16" s="645" t="e">
        <f>V14+V18</f>
        <v>#REF!</v>
      </c>
      <c r="AE16" s="640"/>
      <c r="AG16"/>
      <c r="AH16"/>
      <c r="AI16"/>
      <c r="AJ16"/>
      <c r="AK16"/>
      <c r="AL16"/>
      <c r="AS16" s="591" t="s">
        <v>5455</v>
      </c>
      <c r="AT16" s="592"/>
      <c r="AU16" s="572" t="s">
        <v>5414</v>
      </c>
      <c r="AV16" s="575">
        <f>AV15*0.9</f>
        <v>4.365899999999999</v>
      </c>
      <c r="AW16" s="575"/>
      <c r="AX16" s="646"/>
      <c r="AY16" s="650"/>
      <c r="AZ16" s="575">
        <v>21.143000000000001</v>
      </c>
      <c r="BA16" s="575">
        <v>4.1030489050644166</v>
      </c>
      <c r="BB16" s="646"/>
      <c r="BC16" s="647" t="s">
        <v>5456</v>
      </c>
      <c r="BD16" s="575"/>
      <c r="BE16" s="575"/>
      <c r="BF16" s="646"/>
      <c r="BG16" s="648"/>
      <c r="BH16" s="575">
        <v>13.19874872103</v>
      </c>
      <c r="BI16" s="575">
        <v>0.93369414980201892</v>
      </c>
      <c r="BJ16" s="646" t="s">
        <v>5457</v>
      </c>
      <c r="BK16" s="647" t="s">
        <v>5422</v>
      </c>
      <c r="BL16" s="575">
        <v>0</v>
      </c>
      <c r="BM16" s="575"/>
      <c r="BN16" s="646"/>
      <c r="BO16" s="647"/>
      <c r="BP16" s="575"/>
      <c r="BQ16" s="575"/>
      <c r="BR16" s="646"/>
      <c r="BS16" s="647"/>
      <c r="BT16" s="575">
        <v>21.690999999999999</v>
      </c>
      <c r="BU16" s="575">
        <v>3.5486111111111112</v>
      </c>
      <c r="BV16" s="646"/>
      <c r="BW16" s="647"/>
      <c r="BX16" s="575"/>
      <c r="BY16" s="575"/>
      <c r="BZ16" s="646"/>
      <c r="CA16" s="647"/>
      <c r="CB16" s="575"/>
      <c r="CC16" s="575"/>
      <c r="CD16" s="646"/>
      <c r="CE16" s="647"/>
      <c r="CF16" s="575"/>
      <c r="CG16" s="575">
        <v>0.32209583333333336</v>
      </c>
      <c r="CH16" s="646" t="s">
        <v>5453</v>
      </c>
      <c r="CI16" s="647" t="s">
        <v>5454</v>
      </c>
      <c r="CL16" s="720"/>
      <c r="CM16" s="638" t="s">
        <v>5509</v>
      </c>
      <c r="CN16" s="772">
        <f>(SUMPRODUCT('FE - Aluminum'!BO12:BO42,'FE - Aluminum'!BH12:BH42)*'FE - Aluminum'!BO5+SUMPRODUCT('FE - Aluminum'!BP12:BP42,'FE - Aluminum'!BH12:BH42)*'FE - Aluminum'!BP5+SUMPRODUCT('FE - Aluminum'!BQ12:BQ42,'FE - Aluminum'!BH12:BH42)*'FE - Aluminum'!BQ5)/1000/1000</f>
        <v>0</v>
      </c>
      <c r="CO16" s="681">
        <v>9</v>
      </c>
      <c r="CP16" s="681"/>
      <c r="CQ16" s="780" t="s">
        <v>5509</v>
      </c>
      <c r="CR16" s="783">
        <v>0</v>
      </c>
      <c r="CS16" s="783">
        <v>0</v>
      </c>
      <c r="CT16" s="783">
        <v>0</v>
      </c>
      <c r="CU16" s="783">
        <v>0</v>
      </c>
      <c r="CV16" s="783">
        <v>0</v>
      </c>
      <c r="CW16" s="785">
        <v>0</v>
      </c>
      <c r="CX16" s="783">
        <v>0</v>
      </c>
      <c r="CY16" s="783">
        <v>0</v>
      </c>
      <c r="CZ16" s="783">
        <v>0</v>
      </c>
      <c r="DA16" s="783">
        <v>0</v>
      </c>
      <c r="DB16" s="783">
        <v>0</v>
      </c>
      <c r="DC16" s="783">
        <v>0</v>
      </c>
      <c r="DD16" s="785">
        <v>0</v>
      </c>
      <c r="DE16" s="783">
        <v>0</v>
      </c>
      <c r="DF16" s="783">
        <v>0</v>
      </c>
      <c r="DG16" s="783">
        <v>0</v>
      </c>
      <c r="DH16" s="783">
        <v>0</v>
      </c>
      <c r="DI16" s="783">
        <v>0</v>
      </c>
      <c r="DJ16" s="783">
        <v>0</v>
      </c>
      <c r="DK16" s="785">
        <v>0</v>
      </c>
      <c r="DL16" s="783">
        <v>0</v>
      </c>
      <c r="DM16" s="849">
        <v>0</v>
      </c>
      <c r="DN16" s="849">
        <v>0</v>
      </c>
      <c r="DO16" s="974">
        <v>0</v>
      </c>
      <c r="DP16" s="974">
        <v>0</v>
      </c>
      <c r="DQ16" s="975">
        <v>0</v>
      </c>
      <c r="DR16" s="976"/>
      <c r="DS16" s="976"/>
      <c r="DT16" s="975"/>
      <c r="DU16" s="428"/>
      <c r="DV16" s="977"/>
      <c r="DW16" s="978"/>
      <c r="DX16" s="979"/>
      <c r="DY16" s="979"/>
      <c r="DZ16" s="979"/>
      <c r="EA16" s="979"/>
      <c r="EB16" s="979"/>
      <c r="EC16" s="799"/>
      <c r="ED16" s="799"/>
      <c r="EJ16" s="961" t="s">
        <v>5879</v>
      </c>
      <c r="EK16" s="961">
        <v>42.8</v>
      </c>
      <c r="EL16" s="961">
        <v>0.82199999999999995</v>
      </c>
      <c r="EM16" s="961" t="s">
        <v>5880</v>
      </c>
      <c r="EN16" s="634">
        <f>EL16*1000/EK16</f>
        <v>19.205607476635514</v>
      </c>
    </row>
    <row r="17" spans="2:144" s="634" customFormat="1" ht="25.05" customHeight="1">
      <c r="D17" s="665" t="s">
        <v>5483</v>
      </c>
      <c r="E17" s="666"/>
      <c r="F17" s="654" t="s">
        <v>5482</v>
      </c>
      <c r="G17" s="649"/>
      <c r="H17" s="608">
        <f>'FE - Aluminum'!AS10/'FE - Aluminum'!AV10</f>
        <v>0</v>
      </c>
      <c r="I17" s="609" t="s">
        <v>5388</v>
      </c>
      <c r="J17" s="639" t="s">
        <v>5478</v>
      </c>
      <c r="K17" s="605">
        <v>1</v>
      </c>
      <c r="L17" s="595" cm="1">
        <f t="array" ref="L17">_xlfn.IFS($Q$2=$A$1,R17,$Q$2=$B$1,S17,$Q$2=$C$1,T17)</f>
        <v>0</v>
      </c>
      <c r="M17" s="595">
        <f>(1-'FE - Aluminum'!DO32)*'FE - ACV Aluminum'!L17</f>
        <v>0</v>
      </c>
      <c r="N17" s="595">
        <f>SUMPRODUCT('FE - Aluminum'!DO32:DO37,'FE - Aluminum'!DL32:DL37)</f>
        <v>0</v>
      </c>
      <c r="O17" s="595">
        <f>(1-'FE - Aluminum'!DO32)*N17</f>
        <v>0</v>
      </c>
      <c r="P17" s="606"/>
      <c r="Q17" s="596">
        <f t="shared" si="3"/>
        <v>0</v>
      </c>
      <c r="R17" s="596"/>
      <c r="S17" s="596">
        <f>SUMPRODUCT('FE - Aluminum'!DO32:DO37,'FE - Aluminum'!DP32:DP37)</f>
        <v>0</v>
      </c>
      <c r="T17" s="596"/>
      <c r="V17" s="596"/>
      <c r="W17" s="596"/>
      <c r="X17" s="596"/>
      <c r="Y17" s="596"/>
      <c r="Z17" s="597"/>
      <c r="AA17" s="596"/>
      <c r="AC17" s="591"/>
      <c r="AD17" s="645"/>
      <c r="AE17" s="640"/>
      <c r="AF17" s="641" t="s">
        <v>526</v>
      </c>
      <c r="AG17" s="562">
        <f>VLOOKUP(AF17,'FE - Aluminum'!$E$11:$BH$54,54,FALSE)/'FE - Aluminum'!$AV$10</f>
        <v>0</v>
      </c>
      <c r="AH17" s="562">
        <f>VLOOKUP(AF17,'FE - Aluminum'!$E$11:$DP$54,112,FALSE)</f>
        <v>0</v>
      </c>
      <c r="AI17" s="642">
        <f t="shared" ref="AI17:AI20" si="7">AG17*AH17</f>
        <v>0</v>
      </c>
      <c r="AJ17" s="562">
        <f>VLOOKUP(AF17,'FE - Aluminum'!$E$11:$DP$54,108,FALSE)</f>
        <v>0</v>
      </c>
      <c r="AK17" s="642">
        <f t="shared" ref="AK17:AK22" si="8">AJ17*AG17</f>
        <v>0</v>
      </c>
      <c r="AL17" s="564">
        <f>VLOOKUP(AF17,'FE - Aluminum'!$E$11:$DP$54,111,FALSE)</f>
        <v>0</v>
      </c>
      <c r="AS17" s="591"/>
      <c r="AT17" s="592"/>
      <c r="AU17" s="572"/>
      <c r="AV17" s="575"/>
      <c r="AW17" s="575"/>
      <c r="AX17" s="646"/>
      <c r="AY17" s="650"/>
      <c r="AZ17" s="575"/>
      <c r="BA17" s="575"/>
      <c r="BB17" s="646"/>
      <c r="BC17" s="647"/>
      <c r="BD17" s="575"/>
      <c r="BE17" s="575"/>
      <c r="BF17" s="646"/>
      <c r="BG17" s="648"/>
      <c r="BH17" s="575"/>
      <c r="BI17" s="575"/>
      <c r="BJ17" s="646"/>
      <c r="BK17" s="647"/>
      <c r="BL17" s="575"/>
      <c r="BM17" s="575"/>
      <c r="BN17" s="646"/>
      <c r="BO17" s="647"/>
      <c r="BP17" s="575"/>
      <c r="BQ17" s="575"/>
      <c r="BR17" s="646"/>
      <c r="BS17" s="647"/>
      <c r="BT17" s="575"/>
      <c r="BU17" s="575"/>
      <c r="BV17" s="646"/>
      <c r="BW17" s="647"/>
      <c r="BX17" s="575"/>
      <c r="BY17" s="575"/>
      <c r="BZ17" s="646"/>
      <c r="CA17" s="647"/>
      <c r="CB17" s="575"/>
      <c r="CC17" s="575"/>
      <c r="CD17" s="646"/>
      <c r="CE17" s="647"/>
      <c r="CF17" s="575"/>
      <c r="CG17" s="575"/>
      <c r="CH17" s="646"/>
      <c r="CI17" s="647"/>
      <c r="CL17" s="720"/>
      <c r="CM17" s="638" t="s">
        <v>5510</v>
      </c>
      <c r="CN17" s="772">
        <f>SUM('FE - Aluminum'!BL44:BL54)</f>
        <v>0.32529059446638392</v>
      </c>
      <c r="CO17" s="681">
        <v>10</v>
      </c>
      <c r="CP17" s="681"/>
      <c r="CQ17" s="780" t="s">
        <v>5510</v>
      </c>
      <c r="CR17" s="784">
        <v>4.8936669935972038E-2</v>
      </c>
      <c r="CS17" s="784">
        <v>4.8936669935972038E-2</v>
      </c>
      <c r="CT17" s="784">
        <v>0.15299249820879635</v>
      </c>
      <c r="CU17" s="784">
        <v>0.43016158219832323</v>
      </c>
      <c r="CV17" s="784">
        <v>0.26153228636126047</v>
      </c>
      <c r="CW17" s="786">
        <v>0.33025179736560462</v>
      </c>
      <c r="CX17" s="784">
        <v>0.46223839867666572</v>
      </c>
      <c r="CY17" s="784">
        <v>4.8936669935972038E-2</v>
      </c>
      <c r="CZ17" s="784">
        <v>4.8936669935972038E-2</v>
      </c>
      <c r="DA17" s="784">
        <v>0.15299249820879635</v>
      </c>
      <c r="DB17" s="784">
        <v>0.43016158219832323</v>
      </c>
      <c r="DC17" s="784">
        <v>0.26153228636126047</v>
      </c>
      <c r="DD17" s="786">
        <v>0.33025179736560462</v>
      </c>
      <c r="DE17" s="784">
        <v>0.46223839867666572</v>
      </c>
      <c r="DF17" s="784">
        <v>4.8936669935972038E-2</v>
      </c>
      <c r="DG17" s="784">
        <v>4.8936669935972038E-2</v>
      </c>
      <c r="DH17" s="784">
        <v>0.15299249820879635</v>
      </c>
      <c r="DI17" s="784">
        <v>0.43016158219832323</v>
      </c>
      <c r="DJ17" s="784">
        <v>0.26153228636126047</v>
      </c>
      <c r="DK17" s="786">
        <v>0.33025179736560462</v>
      </c>
      <c r="DL17" s="784">
        <v>0.46223839867666572</v>
      </c>
      <c r="DM17" s="849">
        <v>0.20532026146691296</v>
      </c>
      <c r="DN17" s="849">
        <v>0.20532026146691296</v>
      </c>
      <c r="DO17" s="974">
        <v>0.32529059446638392</v>
      </c>
      <c r="DP17" s="974">
        <v>0.32529059446638392</v>
      </c>
      <c r="DQ17" s="975">
        <v>0.32529059446638392</v>
      </c>
      <c r="DR17" s="976"/>
      <c r="DS17" s="976"/>
      <c r="DT17" s="975"/>
      <c r="DU17" s="428"/>
      <c r="DV17" s="977" t="s">
        <v>5576</v>
      </c>
      <c r="DW17" s="978"/>
      <c r="DX17" s="979"/>
      <c r="DY17" s="979"/>
      <c r="DZ17" s="948">
        <v>0.93</v>
      </c>
      <c r="EA17" s="948">
        <v>0.95</v>
      </c>
      <c r="EB17" s="948"/>
      <c r="EC17" s="799"/>
      <c r="ED17" s="799"/>
      <c r="EJ17" s="961" t="s">
        <v>5881</v>
      </c>
      <c r="EK17" s="961">
        <v>41.2</v>
      </c>
      <c r="EL17" s="961">
        <v>0.66200000000000003</v>
      </c>
      <c r="EM17" s="961" t="s">
        <v>5880</v>
      </c>
      <c r="EN17" s="634">
        <f>EL17*1000/EK17</f>
        <v>16.067961165048544</v>
      </c>
    </row>
    <row r="18" spans="2:144" s="634" customFormat="1" ht="25.05" customHeight="1">
      <c r="D18" s="664" t="s">
        <v>5359</v>
      </c>
      <c r="E18" s="659"/>
      <c r="F18" s="617">
        <f>VLOOKUP(D18,'FE - Aluminum'!$E$11:$DO$54,111,FALSE)</f>
        <v>0</v>
      </c>
      <c r="H18" s="608">
        <f>('FE - Aluminum'!BH40/'FE - Aluminum'!AV10)/K18</f>
        <v>0.4</v>
      </c>
      <c r="I18" s="609" t="s">
        <v>5388</v>
      </c>
      <c r="J18" s="639" t="s">
        <v>5358</v>
      </c>
      <c r="K18" s="605">
        <v>1</v>
      </c>
      <c r="L18" s="595" cm="1">
        <f t="array" ref="L18">_xlfn.IFS($Q$2=$A$1,R18,$Q$2=$B$1,S18,$Q$2=$C$1,T18)</f>
        <v>4.5468623514198603</v>
      </c>
      <c r="M18" s="595">
        <f>K18*L18*H18</f>
        <v>1.8187449405679441</v>
      </c>
      <c r="N18" s="595">
        <f>'FE - Aluminum'!DL30+'FE - Aluminum'!DL40</f>
        <v>267.91291236100972</v>
      </c>
      <c r="O18" s="595">
        <f>N18*K18*H18</f>
        <v>107.1651649444039</v>
      </c>
      <c r="P18" s="606"/>
      <c r="Q18" s="596">
        <f t="shared" si="3"/>
        <v>58.922591372784325</v>
      </c>
      <c r="R18" s="596">
        <v>0.35</v>
      </c>
      <c r="S18" s="596">
        <f>'FE - Aluminum'!DP30+'FE - Aluminum'!DP40</f>
        <v>4.5468623514198603</v>
      </c>
      <c r="T18" s="596">
        <v>2.620898774165866</v>
      </c>
      <c r="V18" s="596" t="e">
        <f>#REF!</f>
        <v>#REF!</v>
      </c>
      <c r="W18" s="596">
        <f>SUM('FE - Aluminum'!BK32:BK37)</f>
        <v>0</v>
      </c>
      <c r="X18" s="596" t="e">
        <f>#REF!*#REF!</f>
        <v>#REF!</v>
      </c>
      <c r="Y18" s="596">
        <f>SUM('FE - Aluminum'!BH33:BH37)/'FE - Aluminum'!AV10</f>
        <v>0</v>
      </c>
      <c r="Z18" s="597" t="e">
        <f>#REF!</f>
        <v>#REF!</v>
      </c>
      <c r="AA18" s="596">
        <f>SUM('FE - Aluminum'!BL32:BL37)*1000</f>
        <v>0</v>
      </c>
      <c r="AC18" s="591" t="s">
        <v>5464</v>
      </c>
      <c r="AD18" s="645" t="e">
        <f>SUM(V22:V27)</f>
        <v>#N/A</v>
      </c>
      <c r="AE18" s="640"/>
      <c r="AF18" s="641" t="s">
        <v>196</v>
      </c>
      <c r="AG18" s="562">
        <f>VLOOKUP(AF18,'FE - Aluminum'!$E$11:$BH$54,54,FALSE)/'FE - Aluminum'!$AV$10</f>
        <v>0</v>
      </c>
      <c r="AH18" s="562">
        <f>VLOOKUP(AF18,'FE - Aluminum'!$E$11:$DP$54,112,FALSE)</f>
        <v>129.95722084600777</v>
      </c>
      <c r="AI18" s="642">
        <f t="shared" si="7"/>
        <v>0</v>
      </c>
      <c r="AJ18" s="562">
        <f>VLOOKUP(AF18,'FE - Aluminum'!$E$11:$DP$54,108,FALSE)</f>
        <v>0</v>
      </c>
      <c r="AK18" s="642">
        <f t="shared" si="8"/>
        <v>0</v>
      </c>
      <c r="AL18" s="564">
        <f>VLOOKUP(AF18,'FE - Aluminum'!$E$11:$DP$54,111,FALSE)</f>
        <v>203.44</v>
      </c>
      <c r="AS18" s="591" t="s">
        <v>5458</v>
      </c>
      <c r="AT18" s="592"/>
      <c r="AU18" s="572"/>
      <c r="AV18" s="575"/>
      <c r="AW18" s="575"/>
      <c r="AX18" s="646"/>
      <c r="AY18" s="647"/>
      <c r="AZ18" s="575"/>
      <c r="BA18" s="575"/>
      <c r="BB18" s="646"/>
      <c r="BC18" s="647"/>
      <c r="BD18" s="575"/>
      <c r="BE18" s="575"/>
      <c r="BF18" s="646"/>
      <c r="BG18" s="647"/>
      <c r="BH18" s="575">
        <v>12.2982585504945</v>
      </c>
      <c r="BI18" s="575">
        <v>1.0246704053296174</v>
      </c>
      <c r="BJ18" s="646" t="s">
        <v>5459</v>
      </c>
      <c r="BK18" s="647" t="s">
        <v>5422</v>
      </c>
      <c r="BL18" s="575"/>
      <c r="BM18" s="575"/>
      <c r="BN18" s="646"/>
      <c r="BO18" s="647"/>
      <c r="BP18" s="575"/>
      <c r="BQ18" s="575"/>
      <c r="BR18" s="646"/>
      <c r="BS18" s="647"/>
      <c r="BT18" s="575"/>
      <c r="BU18" s="575"/>
      <c r="BV18" s="646"/>
      <c r="BW18" s="647"/>
      <c r="BX18" s="575"/>
      <c r="BY18" s="575"/>
      <c r="BZ18" s="646"/>
      <c r="CA18" s="647"/>
      <c r="CB18" s="575"/>
      <c r="CC18" s="575"/>
      <c r="CD18" s="646"/>
      <c r="CE18" s="647"/>
      <c r="CF18" s="575"/>
      <c r="CG18" s="575"/>
      <c r="CH18" s="646"/>
      <c r="CI18" s="647"/>
      <c r="CL18" s="720"/>
      <c r="CM18" s="638" t="s">
        <v>5511</v>
      </c>
      <c r="CN18" s="773">
        <f>(SUM(CN8:CN17)-CN13)*CN31/(1-CN31)</f>
        <v>7.1982093625416355E-2</v>
      </c>
      <c r="CO18" s="681">
        <v>11</v>
      </c>
      <c r="CP18" s="681"/>
      <c r="CQ18" s="780" t="s">
        <v>5511</v>
      </c>
      <c r="CR18" s="783">
        <v>0</v>
      </c>
      <c r="CS18" s="783">
        <v>0</v>
      </c>
      <c r="CT18" s="783">
        <v>0</v>
      </c>
      <c r="CU18" s="783">
        <v>0</v>
      </c>
      <c r="CV18" s="783">
        <v>2.2451760097222537E-2</v>
      </c>
      <c r="CW18" s="785">
        <v>0.17585291277671089</v>
      </c>
      <c r="CX18" s="783">
        <v>0.62947186307377079</v>
      </c>
      <c r="CY18" s="783">
        <v>0</v>
      </c>
      <c r="CZ18" s="783">
        <v>0</v>
      </c>
      <c r="DA18" s="783">
        <v>0</v>
      </c>
      <c r="DB18" s="783">
        <v>0</v>
      </c>
      <c r="DC18" s="783">
        <v>1.8552911771245125E-2</v>
      </c>
      <c r="DD18" s="785">
        <v>0.16000345709047301</v>
      </c>
      <c r="DE18" s="783">
        <v>0.60089223803125669</v>
      </c>
      <c r="DF18" s="783">
        <v>0</v>
      </c>
      <c r="DG18" s="783">
        <v>0</v>
      </c>
      <c r="DH18" s="783">
        <v>0</v>
      </c>
      <c r="DI18" s="783">
        <v>0</v>
      </c>
      <c r="DJ18" s="783">
        <v>1.4786413611085573E-2</v>
      </c>
      <c r="DK18" s="785">
        <v>0.11427417868770029</v>
      </c>
      <c r="DL18" s="783">
        <v>0.38918524951284927</v>
      </c>
      <c r="DM18" s="849">
        <v>0.17137318540315383</v>
      </c>
      <c r="DN18" s="849">
        <v>2.8031340219291788E-2</v>
      </c>
      <c r="DO18" s="974">
        <v>0.11141241105470326</v>
      </c>
      <c r="DP18" s="974">
        <v>1.7081508113825462E-2</v>
      </c>
      <c r="DQ18" s="975">
        <v>7.1982093625416355E-2</v>
      </c>
      <c r="DR18" s="976"/>
      <c r="DS18" s="976"/>
      <c r="DT18" s="975"/>
      <c r="DU18" s="428"/>
      <c r="DV18" s="977" t="s">
        <v>5577</v>
      </c>
      <c r="DW18" s="978"/>
      <c r="DX18" s="979"/>
      <c r="DY18" s="979"/>
      <c r="DZ18" s="979"/>
      <c r="EA18" s="979"/>
      <c r="EB18" s="979"/>
      <c r="EJ18" s="961" t="s">
        <v>5882</v>
      </c>
      <c r="EK18" s="961">
        <v>36</v>
      </c>
      <c r="EL18" s="961">
        <v>0.60599999999999998</v>
      </c>
      <c r="EM18" s="961" t="s">
        <v>5883</v>
      </c>
      <c r="EN18" s="634">
        <f t="shared" ref="EN18:EN20" si="9">EL18*1000/EK18</f>
        <v>16.833333333333332</v>
      </c>
    </row>
    <row r="19" spans="2:144" s="634" customFormat="1" ht="25.05" customHeight="1">
      <c r="D19" s="664" t="s">
        <v>5360</v>
      </c>
      <c r="E19" s="659"/>
      <c r="F19" s="617">
        <f>VLOOKUP(D19,'FE - Aluminum'!$E$11:$DO$54,111,FALSE)</f>
        <v>0</v>
      </c>
      <c r="H19" s="608" t="e">
        <f>('FE - Aluminum'!#REF!/'FE - Aluminum'!AV10)/K19</f>
        <v>#REF!</v>
      </c>
      <c r="I19" s="609" t="s">
        <v>5388</v>
      </c>
      <c r="J19" s="639" t="s">
        <v>527</v>
      </c>
      <c r="K19" s="605">
        <v>1</v>
      </c>
      <c r="L19" s="595" t="e" cm="1">
        <f t="array" ref="L19">_xlfn.IFS($Q$2=$A$1,R19,$Q$2=$B$1,S19,$Q$2=$C$1,T19)</f>
        <v>#N/A</v>
      </c>
      <c r="M19" s="595" t="e">
        <f t="shared" ref="M19:M26" si="10">K19*L19*H19</f>
        <v>#N/A</v>
      </c>
      <c r="N19" s="595" t="e">
        <f>VLOOKUP(J19,'FE - Aluminum'!$E$11:$DP$54,112,FALSE)</f>
        <v>#N/A</v>
      </c>
      <c r="O19" s="595" t="e">
        <f>N19*K19*H19</f>
        <v>#N/A</v>
      </c>
      <c r="P19" s="606"/>
      <c r="Q19" s="596">
        <f t="shared" si="3"/>
        <v>0</v>
      </c>
      <c r="R19" s="596">
        <v>1.1306993797231262</v>
      </c>
      <c r="S19" s="596" t="e">
        <f>VLOOKUP($J19,'FE - Aluminum'!$E$11:$DP$54,112,FALSE)</f>
        <v>#N/A</v>
      </c>
      <c r="T19" s="596">
        <v>1.1306993797231262</v>
      </c>
      <c r="V19" s="596">
        <f>M18</f>
        <v>1.8187449405679441</v>
      </c>
      <c r="W19" s="596" t="e">
        <f>VLOOKUP(J18,'FE - Aluminum'!$E$11:$BL$54,59,FALSE)</f>
        <v>#N/A</v>
      </c>
      <c r="X19" s="596">
        <f>K18*H18</f>
        <v>0.4</v>
      </c>
      <c r="Y19" s="596" t="e">
        <f>VLOOKUP(J18,'FE - Aluminum'!$E$11:$BL$54,56,FALSE)/'FE - Aluminum'!$AV$10</f>
        <v>#N/A</v>
      </c>
      <c r="Z19" s="597">
        <f>O18</f>
        <v>107.1651649444039</v>
      </c>
      <c r="AA19" s="596" t="e">
        <f>VLOOKUP(J18,'FE - Aluminum'!$E$11:$BL$54,60,FALSE)*1000</f>
        <v>#N/A</v>
      </c>
      <c r="AE19" s="640"/>
      <c r="AF19" s="641" t="s">
        <v>5193</v>
      </c>
      <c r="AG19" s="562">
        <f>VLOOKUP(AF19,'FE - Aluminum'!$E$11:$BH$54,54,FALSE)/'FE - Aluminum'!$AV$10</f>
        <v>0</v>
      </c>
      <c r="AH19" s="562">
        <f>VLOOKUP(AF19,'FE - Aluminum'!$E$11:$DP$54,112,FALSE)</f>
        <v>59.50180740998799</v>
      </c>
      <c r="AI19" s="642">
        <f t="shared" si="7"/>
        <v>0</v>
      </c>
      <c r="AJ19" s="562">
        <f>VLOOKUP(AF19,'FE - Aluminum'!$E$11:$DP$54,108,FALSE)</f>
        <v>0</v>
      </c>
      <c r="AK19" s="642">
        <f t="shared" si="8"/>
        <v>0</v>
      </c>
      <c r="AL19" s="564">
        <f>VLOOKUP(AF19,'FE - Aluminum'!$E$11:$DP$54,111,FALSE)</f>
        <v>13106.99</v>
      </c>
      <c r="AS19" s="587" t="s">
        <v>5460</v>
      </c>
      <c r="AT19" s="588"/>
      <c r="AU19" s="572" t="s">
        <v>5461</v>
      </c>
      <c r="AV19" s="578">
        <v>1</v>
      </c>
      <c r="AW19" s="651"/>
      <c r="AX19" s="652"/>
      <c r="AY19" s="652"/>
      <c r="AZ19" s="578">
        <v>0.99999999999999989</v>
      </c>
      <c r="BA19" s="651"/>
      <c r="BB19" s="652"/>
      <c r="BC19" s="652"/>
      <c r="BD19" s="578">
        <v>1</v>
      </c>
      <c r="BE19" s="651"/>
      <c r="BF19" s="652"/>
      <c r="BG19" s="652"/>
      <c r="BH19" s="578">
        <v>1.0000000000000002</v>
      </c>
      <c r="BI19" s="651"/>
      <c r="BJ19" s="652"/>
      <c r="BK19" s="652"/>
      <c r="BL19" s="578">
        <v>1</v>
      </c>
      <c r="BM19" s="651"/>
      <c r="BN19" s="652"/>
      <c r="BO19" s="652"/>
      <c r="BP19" s="578">
        <v>1</v>
      </c>
      <c r="BQ19" s="651"/>
      <c r="BR19" s="652"/>
      <c r="BS19" s="652"/>
      <c r="BT19" s="578"/>
      <c r="BU19" s="651"/>
      <c r="BV19" s="652"/>
      <c r="BW19" s="652"/>
      <c r="BX19" s="578">
        <v>0.99999999999999989</v>
      </c>
      <c r="BY19" s="651"/>
      <c r="BZ19" s="652"/>
      <c r="CA19" s="652"/>
      <c r="CB19" s="578">
        <v>0.99999999999999989</v>
      </c>
      <c r="CC19" s="651"/>
      <c r="CD19" s="652"/>
      <c r="CE19" s="652"/>
      <c r="CF19" s="578">
        <v>0.99999999999999989</v>
      </c>
      <c r="CG19" s="575"/>
      <c r="CH19" s="646"/>
      <c r="CI19" s="647"/>
      <c r="CL19" s="720"/>
      <c r="CM19" s="638" t="s">
        <v>5512</v>
      </c>
      <c r="CN19" s="772">
        <f>(SUMPRODUCT('FE - Aluminum'!BO44:BO54,'FE - Aluminum'!BH44:BH54)*'FE - Aluminum'!BO5+SUMPRODUCT('FE - Aluminum'!BP44:BP54,'FE - Aluminum'!BH44:BH54)*'FE - Aluminum'!BP5+SUMPRODUCT('FE - Aluminum'!BQ44:BQ54,'FE - Aluminum'!BH44:BH54)*'FE - Aluminum'!BQ5)/1000/1000</f>
        <v>0</v>
      </c>
      <c r="CO19" s="681">
        <v>12</v>
      </c>
      <c r="CP19" s="681"/>
      <c r="CQ19" s="780" t="s">
        <v>5512</v>
      </c>
      <c r="CR19" s="783">
        <v>0</v>
      </c>
      <c r="CS19" s="783">
        <v>0</v>
      </c>
      <c r="CT19" s="783">
        <v>0</v>
      </c>
      <c r="CU19" s="783">
        <v>0</v>
      </c>
      <c r="CV19" s="783">
        <v>0</v>
      </c>
      <c r="CW19" s="785">
        <v>0</v>
      </c>
      <c r="CX19" s="783">
        <v>0</v>
      </c>
      <c r="CY19" s="783">
        <v>0</v>
      </c>
      <c r="CZ19" s="783">
        <v>0</v>
      </c>
      <c r="DA19" s="783">
        <v>0</v>
      </c>
      <c r="DB19" s="783">
        <v>0</v>
      </c>
      <c r="DC19" s="783">
        <v>0</v>
      </c>
      <c r="DD19" s="785">
        <v>0</v>
      </c>
      <c r="DE19" s="783">
        <v>0</v>
      </c>
      <c r="DF19" s="783">
        <v>0</v>
      </c>
      <c r="DG19" s="783">
        <v>0</v>
      </c>
      <c r="DH19" s="783">
        <v>0</v>
      </c>
      <c r="DI19" s="783">
        <v>0</v>
      </c>
      <c r="DJ19" s="783">
        <v>0</v>
      </c>
      <c r="DK19" s="785">
        <v>0</v>
      </c>
      <c r="DL19" s="783">
        <v>0</v>
      </c>
      <c r="DM19" s="849">
        <v>0</v>
      </c>
      <c r="DN19" s="849">
        <v>0</v>
      </c>
      <c r="DO19" s="974">
        <v>0</v>
      </c>
      <c r="DP19" s="974">
        <v>0</v>
      </c>
      <c r="DQ19" s="975">
        <v>0</v>
      </c>
      <c r="DR19" s="976"/>
      <c r="DS19" s="976"/>
      <c r="DT19" s="975"/>
      <c r="DU19" s="980" t="s">
        <v>5856</v>
      </c>
      <c r="DV19" s="977"/>
      <c r="DW19" s="978"/>
      <c r="DX19" s="979"/>
      <c r="DY19" s="979"/>
      <c r="DZ19" s="979"/>
      <c r="EA19" s="979"/>
      <c r="EB19" s="979"/>
      <c r="EJ19" s="961" t="s">
        <v>5884</v>
      </c>
      <c r="EK19" s="961">
        <v>45.5</v>
      </c>
      <c r="EL19" s="961">
        <v>0.98499999999999999</v>
      </c>
      <c r="EM19" s="961" t="s">
        <v>5880</v>
      </c>
      <c r="EN19" s="634">
        <f t="shared" si="9"/>
        <v>21.64835164835165</v>
      </c>
    </row>
    <row r="20" spans="2:144" s="634" customFormat="1" ht="25.05" customHeight="1">
      <c r="D20" s="664" t="s">
        <v>5361</v>
      </c>
      <c r="E20" s="659"/>
      <c r="F20" s="617">
        <f>VLOOKUP(D20,'FE - Aluminum'!$E$11:$DO$54,111,FALSE)</f>
        <v>0</v>
      </c>
      <c r="H20" s="612" t="s">
        <v>5389</v>
      </c>
      <c r="I20" s="611" t="s">
        <v>475</v>
      </c>
      <c r="J20" s="644" t="s">
        <v>5399</v>
      </c>
      <c r="K20" s="605"/>
      <c r="L20" s="595"/>
      <c r="M20" s="595"/>
      <c r="N20" s="595"/>
      <c r="O20" s="595"/>
      <c r="P20" s="606"/>
      <c r="Q20" s="596"/>
      <c r="R20" s="596"/>
      <c r="S20" s="596"/>
      <c r="T20" s="596"/>
      <c r="V20" s="596" t="e">
        <f>M19</f>
        <v>#N/A</v>
      </c>
      <c r="W20" s="596" t="e">
        <f>VLOOKUP(J19,'FE - Aluminum'!$E$11:$BL$54,59,FALSE)</f>
        <v>#N/A</v>
      </c>
      <c r="X20" s="596" t="e">
        <f>K19*H19</f>
        <v>#REF!</v>
      </c>
      <c r="Y20" s="596" t="e">
        <f>VLOOKUP(J19,'FE - Aluminum'!$E$11:$BL$54,56,FALSE)/'FE - Aluminum'!$AV$10</f>
        <v>#N/A</v>
      </c>
      <c r="Z20" s="597" t="e">
        <f>O19</f>
        <v>#N/A</v>
      </c>
      <c r="AA20" s="596" t="e">
        <f>VLOOKUP(J19,'FE - Aluminum'!$E$11:$BL$54,60,FALSE)*1000</f>
        <v>#N/A</v>
      </c>
      <c r="AE20" s="640"/>
      <c r="AF20" s="641" t="s">
        <v>5210</v>
      </c>
      <c r="AG20" s="562">
        <f>VLOOKUP(AF20,'FE - Aluminum'!$E$11:$BH$54,54,FALSE)/'FE - Aluminum'!$AV$10</f>
        <v>0</v>
      </c>
      <c r="AH20" s="562">
        <f>VLOOKUP(AF20,'FE - Aluminum'!$E$11:$DP$54,112,FALSE)</f>
        <v>92.500864500919349</v>
      </c>
      <c r="AI20" s="642">
        <f t="shared" si="7"/>
        <v>0</v>
      </c>
      <c r="AJ20" s="562">
        <f>VLOOKUP(AF20,'FE - Aluminum'!$E$11:$DP$54,108,FALSE)</f>
        <v>0</v>
      </c>
      <c r="AK20" s="642">
        <f t="shared" si="8"/>
        <v>0</v>
      </c>
      <c r="AL20" s="564">
        <f>VLOOKUP(AF20,'FE - Aluminum'!$E$11:$DP$54,111,FALSE)</f>
        <v>13156.76</v>
      </c>
      <c r="AS20" s="587" t="s">
        <v>5460</v>
      </c>
      <c r="AT20" s="588"/>
      <c r="AU20" s="572" t="s">
        <v>5414</v>
      </c>
      <c r="AV20" s="579">
        <v>95.86999999999999</v>
      </c>
      <c r="AW20" s="651"/>
      <c r="AX20" s="652"/>
      <c r="AY20" s="652"/>
      <c r="AZ20" s="579">
        <v>101.619</v>
      </c>
      <c r="BA20" s="651"/>
      <c r="BB20" s="652"/>
      <c r="BC20" s="652"/>
      <c r="BD20" s="579">
        <v>70.610000000000014</v>
      </c>
      <c r="BE20" s="651"/>
      <c r="BF20" s="652"/>
      <c r="BG20" s="652"/>
      <c r="BH20" s="579">
        <v>93.694340531250305</v>
      </c>
      <c r="BI20" s="651"/>
      <c r="BJ20" s="652"/>
      <c r="BK20" s="652"/>
      <c r="BL20" s="579">
        <v>72.935999999999993</v>
      </c>
      <c r="BM20" s="651"/>
      <c r="BN20" s="652"/>
      <c r="BO20" s="652"/>
      <c r="BP20" s="579">
        <v>71.644300000000001</v>
      </c>
      <c r="BQ20" s="651"/>
      <c r="BR20" s="652"/>
      <c r="BS20" s="652"/>
      <c r="BT20" s="579"/>
      <c r="BU20" s="651"/>
      <c r="BV20" s="652"/>
      <c r="BW20" s="652"/>
      <c r="BX20" s="579">
        <v>58.760000000000012</v>
      </c>
      <c r="BY20" s="651"/>
      <c r="BZ20" s="652"/>
      <c r="CA20" s="652"/>
      <c r="CB20" s="579">
        <v>38.040000000000006</v>
      </c>
      <c r="CC20" s="651"/>
      <c r="CD20" s="652"/>
      <c r="CE20" s="652"/>
      <c r="CF20" s="579">
        <v>79.611999999999995</v>
      </c>
      <c r="CG20" s="651"/>
      <c r="CH20" s="652"/>
      <c r="CI20" s="652"/>
      <c r="CL20" s="720"/>
      <c r="CM20" s="680" t="s">
        <v>5529</v>
      </c>
      <c r="CN20" s="774">
        <f>SUM(CN8:CN12)</f>
        <v>5.1579261198156798</v>
      </c>
      <c r="CO20" s="681">
        <v>13</v>
      </c>
      <c r="CP20" s="681"/>
      <c r="CQ20" s="781" t="s">
        <v>5591</v>
      </c>
      <c r="CR20" s="786">
        <v>6.9655134344161542</v>
      </c>
      <c r="CS20" s="786">
        <v>6.8487649830218249</v>
      </c>
      <c r="CT20" s="786">
        <v>6.8487649830218249</v>
      </c>
      <c r="CU20" s="786">
        <v>6.2663433086100557</v>
      </c>
      <c r="CV20" s="786">
        <v>3.8898084074099475</v>
      </c>
      <c r="CW20" s="786">
        <v>6.536290438795537</v>
      </c>
      <c r="CX20" s="786">
        <v>9.5307569651483064</v>
      </c>
      <c r="CY20" s="786">
        <v>7.1624816806335749</v>
      </c>
      <c r="CZ20" s="786">
        <v>7.1624816806335749</v>
      </c>
      <c r="DA20" s="786">
        <v>7.1624816806335749</v>
      </c>
      <c r="DB20" s="786">
        <v>7.1624816806335749</v>
      </c>
      <c r="DC20" s="786">
        <v>4.262460752032033</v>
      </c>
      <c r="DD20" s="786">
        <v>7.1624816806335758</v>
      </c>
      <c r="DE20" s="786">
        <v>10.443824797054885</v>
      </c>
      <c r="DF20" s="786">
        <v>4.9217470388977125</v>
      </c>
      <c r="DG20" s="786">
        <v>4.9217470388977125</v>
      </c>
      <c r="DH20" s="786">
        <v>4.9217470388977125</v>
      </c>
      <c r="DI20" s="786">
        <v>4.9217470388977125</v>
      </c>
      <c r="DJ20" s="786">
        <v>3.3246027101523041</v>
      </c>
      <c r="DK20" s="786">
        <v>4.9217470388977125</v>
      </c>
      <c r="DL20" s="786">
        <v>6.4213920152051438</v>
      </c>
      <c r="DM20" s="912">
        <v>7.8445302784092386</v>
      </c>
      <c r="DN20" s="912">
        <v>0.82077986439999995</v>
      </c>
      <c r="DO20" s="981">
        <v>8.2729211967293459</v>
      </c>
      <c r="DP20" s="981">
        <v>0.82077986439999995</v>
      </c>
      <c r="DQ20" s="982">
        <v>5.1579261198156798</v>
      </c>
      <c r="DR20" s="983">
        <v>8.0203160899999997</v>
      </c>
      <c r="DS20" s="983">
        <v>0.82077986439999995</v>
      </c>
      <c r="DT20" s="984"/>
      <c r="DU20" s="971">
        <f>1-(DO20/DR20)</f>
        <v>-3.1495654771549919E-2</v>
      </c>
      <c r="DV20" s="977" t="s">
        <v>5578</v>
      </c>
      <c r="DW20" s="978"/>
      <c r="DX20" s="979"/>
      <c r="DY20" s="979"/>
      <c r="DZ20" s="948">
        <v>5.03</v>
      </c>
      <c r="EA20" s="948">
        <v>4.57</v>
      </c>
      <c r="EB20" s="948"/>
      <c r="EJ20" s="961" t="s">
        <v>5885</v>
      </c>
      <c r="EK20" s="961">
        <v>28.4</v>
      </c>
      <c r="EL20" s="961">
        <v>1.49</v>
      </c>
      <c r="EM20" s="961" t="s">
        <v>5880</v>
      </c>
      <c r="EN20" s="634">
        <f t="shared" si="9"/>
        <v>52.464788732394368</v>
      </c>
    </row>
    <row r="21" spans="2:144" s="634" customFormat="1" ht="25.05" customHeight="1">
      <c r="D21" s="664" t="s">
        <v>5362</v>
      </c>
      <c r="E21" s="659"/>
      <c r="F21" s="617">
        <f>VLOOKUP(D21,'FE - Aluminum'!$E$11:$DO$54,111,FALSE)</f>
        <v>0</v>
      </c>
      <c r="H21" s="608">
        <f>('FE - Aluminum'!BH45/'FE - Aluminum'!AV10)/K21</f>
        <v>0.6</v>
      </c>
      <c r="I21" s="609" t="s">
        <v>5388</v>
      </c>
      <c r="J21" s="639" t="s">
        <v>5475</v>
      </c>
      <c r="K21" s="605">
        <v>1</v>
      </c>
      <c r="L21" s="595" cm="1">
        <f t="array" ref="L21">_xlfn.IFS($Q$2=$A$1,R21,$Q$2=$B$1,S21,$Q$2=$C$1,T21)</f>
        <v>352.92614588324852</v>
      </c>
      <c r="M21" s="595">
        <f t="shared" si="10"/>
        <v>211.75568752994911</v>
      </c>
      <c r="N21" s="595">
        <f>VLOOKUP(J21,'FE - Aluminum'!$E$11:$DP$54,112,FALSE)</f>
        <v>352.92614588324852</v>
      </c>
      <c r="O21" s="595">
        <f>N21*K21*H21</f>
        <v>211.75568752994911</v>
      </c>
      <c r="P21" s="606"/>
      <c r="Q21" s="596">
        <f t="shared" si="3"/>
        <v>1</v>
      </c>
      <c r="R21" s="596">
        <v>4.8882782999999996</v>
      </c>
      <c r="S21" s="596">
        <f>VLOOKUP($J21,'FE - Aluminum'!$E$11:$DP$54,112,FALSE)</f>
        <v>352.92614588324852</v>
      </c>
      <c r="T21" s="596">
        <v>4.8882782999999996</v>
      </c>
      <c r="V21" s="596"/>
      <c r="W21" s="596"/>
      <c r="X21" s="596"/>
      <c r="Y21" s="596"/>
      <c r="Z21" s="597"/>
      <c r="AA21" s="596"/>
      <c r="AE21" s="640"/>
      <c r="AF21" s="560" t="s">
        <v>5211</v>
      </c>
      <c r="AG21" s="562">
        <f>VLOOKUP(AF21,'FE - Aluminum'!$E$11:$BH$54,54,FALSE)/'FE - Aluminum'!$AV$10</f>
        <v>0</v>
      </c>
      <c r="AH21" s="562">
        <f>VLOOKUP(AF21,'FE - Aluminum'!$E$11:$DP$54,112,FALSE)</f>
        <v>475.50868579703337</v>
      </c>
      <c r="AI21" s="562">
        <f>AG21*AH21</f>
        <v>0</v>
      </c>
      <c r="AJ21" s="562">
        <f>VLOOKUP(AF21,'FE - Aluminum'!$E$11:$DP$54,108,FALSE)</f>
        <v>0</v>
      </c>
      <c r="AK21" s="562">
        <f t="shared" si="8"/>
        <v>0</v>
      </c>
      <c r="AL21" s="564">
        <f>VLOOKUP(AF21,'FE - Aluminum'!$E$11:$DP$54,111,FALSE)</f>
        <v>13725.98</v>
      </c>
      <c r="AS21" s="587" t="s">
        <v>5460</v>
      </c>
      <c r="AT21" s="588"/>
      <c r="AU21" s="572" t="s">
        <v>5410</v>
      </c>
      <c r="AV21" s="580">
        <v>5172.9252558528042</v>
      </c>
      <c r="AW21" s="651"/>
      <c r="AX21" s="652"/>
      <c r="AY21" s="652"/>
      <c r="AZ21" s="580">
        <v>5606.2193908298805</v>
      </c>
      <c r="BA21" s="651"/>
      <c r="BB21" s="652"/>
      <c r="BC21" s="652"/>
      <c r="BD21" s="580">
        <v>4237.2968462174786</v>
      </c>
      <c r="BE21" s="651"/>
      <c r="BF21" s="652"/>
      <c r="BG21" s="652"/>
      <c r="BH21" s="580">
        <v>5241.3413007817107</v>
      </c>
      <c r="BI21" s="651"/>
      <c r="BJ21" s="652"/>
      <c r="BK21" s="652"/>
      <c r="BL21" s="580">
        <v>4340.8917335625511</v>
      </c>
      <c r="BM21" s="651"/>
      <c r="BN21" s="652"/>
      <c r="BO21" s="652"/>
      <c r="BP21" s="580">
        <v>4299.2333277388288</v>
      </c>
      <c r="BQ21" s="651"/>
      <c r="BR21" s="652"/>
      <c r="BS21" s="652"/>
      <c r="BT21" s="580"/>
      <c r="BU21" s="651"/>
      <c r="BV21" s="652"/>
      <c r="BW21" s="652"/>
      <c r="BX21" s="580">
        <v>3420.1687497082021</v>
      </c>
      <c r="BY21" s="651"/>
      <c r="BZ21" s="652"/>
      <c r="CA21" s="652"/>
      <c r="CB21" s="580">
        <v>2426.8775501359833</v>
      </c>
      <c r="CC21" s="651"/>
      <c r="CD21" s="652"/>
      <c r="CE21" s="652"/>
      <c r="CF21" s="580">
        <v>5000.7428392954052</v>
      </c>
      <c r="CG21" s="651"/>
      <c r="CH21" s="652"/>
      <c r="CI21" s="652"/>
      <c r="CL21" s="720"/>
      <c r="CM21" s="680" t="s">
        <v>5530</v>
      </c>
      <c r="CN21" s="774">
        <f>+SUM(CN14:CN16)+CN20</f>
        <v>5.3612948019415079</v>
      </c>
      <c r="CO21" s="681">
        <v>14</v>
      </c>
      <c r="CP21" s="681"/>
      <c r="CQ21" s="781" t="s">
        <v>5592</v>
      </c>
      <c r="CR21" s="786">
        <v>8.5081321195239923</v>
      </c>
      <c r="CS21" s="786">
        <v>9.0016619392460555</v>
      </c>
      <c r="CT21" s="786">
        <v>9.0016619392460555</v>
      </c>
      <c r="CU21" s="786">
        <v>8.0934582857902342</v>
      </c>
      <c r="CV21" s="786">
        <v>5.3289559778471514</v>
      </c>
      <c r="CW21" s="786">
        <v>8.2865409286932259</v>
      </c>
      <c r="CX21" s="786">
        <v>11.497726999724978</v>
      </c>
      <c r="CY21" s="786">
        <v>8.1306231563838409</v>
      </c>
      <c r="CZ21" s="786">
        <v>7.9788680753335672</v>
      </c>
      <c r="DA21" s="786">
        <v>7.9788680753335672</v>
      </c>
      <c r="DB21" s="786">
        <v>7.1624816806335749</v>
      </c>
      <c r="DC21" s="786">
        <v>4.3581427446787755</v>
      </c>
      <c r="DD21" s="786">
        <v>7.5099176000675714</v>
      </c>
      <c r="DE21" s="786">
        <v>10.954714123917212</v>
      </c>
      <c r="DF21" s="786">
        <v>5.8898885146479785</v>
      </c>
      <c r="DG21" s="786">
        <v>5.7381334335977048</v>
      </c>
      <c r="DH21" s="786">
        <v>5.7381334335977048</v>
      </c>
      <c r="DI21" s="786">
        <v>4.9217470388977125</v>
      </c>
      <c r="DJ21" s="786">
        <v>3.4202847027990462</v>
      </c>
      <c r="DK21" s="786">
        <v>5.269182958331708</v>
      </c>
      <c r="DL21" s="786">
        <v>6.9322813420674692</v>
      </c>
      <c r="DM21" s="912">
        <v>8.1919658232876227</v>
      </c>
      <c r="DN21" s="912">
        <v>1.1682154092783845</v>
      </c>
      <c r="DO21" s="981">
        <v>8.476289878855173</v>
      </c>
      <c r="DP21" s="981">
        <v>1.0241485465258278</v>
      </c>
      <c r="DQ21" s="982">
        <v>5.3612948019415079</v>
      </c>
      <c r="DR21" s="983">
        <v>8.0975332899999994</v>
      </c>
      <c r="DS21" s="979">
        <v>0.94957838999999999</v>
      </c>
      <c r="DT21" s="984">
        <v>3.9279535899999996</v>
      </c>
      <c r="DU21" s="972">
        <f>1-(DO21/DR21)</f>
        <v>-4.6774316979087516E-2</v>
      </c>
      <c r="DV21" s="977" t="s">
        <v>5579</v>
      </c>
      <c r="DW21" s="978"/>
      <c r="DX21" s="979"/>
      <c r="DY21" s="979"/>
      <c r="DZ21" s="979">
        <v>3.5</v>
      </c>
      <c r="EA21" s="948">
        <v>3.12</v>
      </c>
      <c r="EB21" s="948"/>
      <c r="EJ21" s="961" t="s">
        <v>5887</v>
      </c>
      <c r="EK21" s="961">
        <v>28.6</v>
      </c>
      <c r="EL21" s="961">
        <v>2.4199999999999999E-2</v>
      </c>
      <c r="EM21" s="961" t="s">
        <v>5886</v>
      </c>
      <c r="EN21" s="634">
        <f>EL21*1000/EK21</f>
        <v>0.84615384615384603</v>
      </c>
    </row>
    <row r="22" spans="2:144" s="634" customFormat="1" ht="25.05" customHeight="1">
      <c r="D22" s="664" t="s">
        <v>5476</v>
      </c>
      <c r="E22" s="659"/>
      <c r="F22" s="617">
        <f>VLOOKUP(D22,'FE - Aluminum'!$E$11:$DO$54,111,FALSE)</f>
        <v>0</v>
      </c>
      <c r="H22" s="608">
        <f>('FE - Aluminum'!BH41/'FE - Aluminum'!AV10)/K22</f>
        <v>0.26500000000000001</v>
      </c>
      <c r="I22" s="609" t="s">
        <v>5388</v>
      </c>
      <c r="J22" s="639" t="s">
        <v>557</v>
      </c>
      <c r="K22" s="605">
        <v>1</v>
      </c>
      <c r="L22" s="595" cm="1">
        <f t="array" ref="L22">_xlfn.IFS($Q$2=$A$1,R22,$Q$2=$B$1,S22,$Q$2=$C$1,T22)</f>
        <v>228.7360266443641</v>
      </c>
      <c r="M22" s="595">
        <f t="shared" si="10"/>
        <v>60.615047060756488</v>
      </c>
      <c r="N22" s="595">
        <f>VLOOKUP(J22,'FE - Aluminum'!$E$11:$DP$54,112,FALSE)</f>
        <v>228.7360266443641</v>
      </c>
      <c r="O22" s="595">
        <f>N22*K22*H22</f>
        <v>60.615047060756488</v>
      </c>
      <c r="P22" s="606"/>
      <c r="Q22" s="596">
        <f t="shared" si="3"/>
        <v>1</v>
      </c>
      <c r="R22" s="596">
        <v>3.74</v>
      </c>
      <c r="S22" s="596">
        <f>VLOOKUP($J22,'FE - Aluminum'!$E$11:$DP$54,112,FALSE)</f>
        <v>228.7360266443641</v>
      </c>
      <c r="T22" s="596">
        <v>10.103637599999999</v>
      </c>
      <c r="V22" s="596">
        <f>M21</f>
        <v>211.75568752994911</v>
      </c>
      <c r="W22" s="596">
        <f>VLOOKUP(J21,'FE - Aluminum'!$E$11:$BL$54,59,FALSE)</f>
        <v>2.9329669799999998</v>
      </c>
      <c r="X22" s="596">
        <f>K21*H21</f>
        <v>0.6</v>
      </c>
      <c r="Y22" s="596">
        <f>VLOOKUP(J21,'FE - Aluminum'!$E$11:$BL$54,56,FALSE)/'FE - Aluminum'!$AV$10</f>
        <v>0.6</v>
      </c>
      <c r="Z22" s="597">
        <f>O21</f>
        <v>211.75568752994911</v>
      </c>
      <c r="AA22" s="596">
        <f>VLOOKUP(J21,'FE - Aluminum'!$E$11:$BL$54,60,FALSE)*1000</f>
        <v>211.75568752994911</v>
      </c>
      <c r="AE22" s="640"/>
      <c r="AF22" s="560" t="s">
        <v>5212</v>
      </c>
      <c r="AG22" s="562">
        <f>VLOOKUP(AF22,'FE - Aluminum'!$E$11:$BH$54,54,FALSE)/'FE - Aluminum'!$AV$10</f>
        <v>0</v>
      </c>
      <c r="AH22" s="562">
        <f>VLOOKUP(AF22,'FE - Aluminum'!$E$11:$DP$54,112,FALSE)</f>
        <v>19.493583126901164</v>
      </c>
      <c r="AI22" s="562">
        <f>AG22*AH22</f>
        <v>0</v>
      </c>
      <c r="AJ22" s="562">
        <f>VLOOKUP(AF22,'FE - Aluminum'!$E$11:$DP$54,108,FALSE)</f>
        <v>0</v>
      </c>
      <c r="AK22" s="562">
        <f t="shared" si="8"/>
        <v>0</v>
      </c>
      <c r="AL22" s="564">
        <f>VLOOKUP(AF22,'FE - Aluminum'!$E$11:$DP$54,111,FALSE)</f>
        <v>266.62</v>
      </c>
      <c r="AS22" s="593" t="s">
        <v>5462</v>
      </c>
      <c r="AT22" s="588"/>
      <c r="AU22" s="572" t="s">
        <v>5410</v>
      </c>
      <c r="AV22" s="580">
        <v>5172.9252558528042</v>
      </c>
      <c r="AW22" s="651"/>
      <c r="AX22" s="652"/>
      <c r="AY22" s="652"/>
      <c r="AZ22" s="580">
        <v>4524.803028954012</v>
      </c>
      <c r="BA22" s="651"/>
      <c r="BB22" s="652"/>
      <c r="BC22" s="652"/>
      <c r="BD22" s="580">
        <v>4237.2968462174786</v>
      </c>
      <c r="BE22" s="651"/>
      <c r="BF22" s="652"/>
      <c r="BG22" s="652"/>
      <c r="BH22" s="580">
        <v>3937.2273698213667</v>
      </c>
      <c r="BI22" s="651"/>
      <c r="BJ22" s="652"/>
      <c r="BK22" s="652"/>
      <c r="BL22" s="580">
        <v>4340.8917335625511</v>
      </c>
      <c r="BM22" s="651"/>
      <c r="BN22" s="652"/>
      <c r="BO22" s="652"/>
      <c r="BP22" s="580">
        <v>4299.2333277388288</v>
      </c>
      <c r="BQ22" s="651"/>
      <c r="BR22" s="652"/>
      <c r="BS22" s="652"/>
      <c r="BT22" s="580"/>
      <c r="BU22" s="651"/>
      <c r="BV22" s="652"/>
      <c r="BW22" s="652"/>
      <c r="BX22" s="580">
        <v>3420.1687497082021</v>
      </c>
      <c r="BY22" s="651"/>
      <c r="BZ22" s="652"/>
      <c r="CA22" s="652"/>
      <c r="CB22" s="580">
        <v>2426.8775501359833</v>
      </c>
      <c r="CC22" s="651"/>
      <c r="CD22" s="652"/>
      <c r="CE22" s="652"/>
      <c r="CF22" s="580">
        <v>5000.7428392954052</v>
      </c>
      <c r="CG22" s="651"/>
      <c r="CH22" s="652"/>
      <c r="CI22" s="652"/>
      <c r="CL22" s="720"/>
      <c r="CM22" s="680" t="s">
        <v>5531</v>
      </c>
      <c r="CN22" s="774">
        <f>SUM(CN17:CN19)+CN21</f>
        <v>5.7585674900333084</v>
      </c>
      <c r="CO22" s="681">
        <v>15</v>
      </c>
      <c r="CP22" s="681"/>
      <c r="CQ22" s="781" t="s">
        <v>5593</v>
      </c>
      <c r="CR22" s="786">
        <v>8.5570687894599651</v>
      </c>
      <c r="CS22" s="786">
        <v>9.0505986091820283</v>
      </c>
      <c r="CT22" s="786">
        <v>9.1546544374548517</v>
      </c>
      <c r="CU22" s="786">
        <v>8.5236198679885575</v>
      </c>
      <c r="CV22" s="841">
        <v>5.612940024305634</v>
      </c>
      <c r="CW22" s="841">
        <v>8.7926456388355412</v>
      </c>
      <c r="CX22" s="841">
        <v>12.589437261475414</v>
      </c>
      <c r="CY22" s="786">
        <v>8.1795598263198137</v>
      </c>
      <c r="CZ22" s="786">
        <v>8.02780474526954</v>
      </c>
      <c r="DA22" s="786">
        <v>8.1318605735423635</v>
      </c>
      <c r="DB22" s="786">
        <v>7.5926432628318983</v>
      </c>
      <c r="DC22" s="841">
        <v>4.6382279428112811</v>
      </c>
      <c r="DD22" s="841">
        <v>8.0001728545236492</v>
      </c>
      <c r="DE22" s="841">
        <v>12.017844760625135</v>
      </c>
      <c r="DF22" s="786">
        <v>5.9388251845839504</v>
      </c>
      <c r="DG22" s="786">
        <v>5.7870701035336767</v>
      </c>
      <c r="DH22" s="786">
        <v>5.891125931806501</v>
      </c>
      <c r="DI22" s="786">
        <v>5.3519086210960358</v>
      </c>
      <c r="DJ22" s="841">
        <v>3.6966034027713923</v>
      </c>
      <c r="DK22" s="841">
        <v>5.7137089343850125</v>
      </c>
      <c r="DL22" s="841">
        <v>7.7837049902569841</v>
      </c>
      <c r="DM22" s="913">
        <v>8.5686592701576902</v>
      </c>
      <c r="DN22" s="913">
        <v>1.4015670109645892</v>
      </c>
      <c r="DO22" s="985">
        <v>8.9129928843762602</v>
      </c>
      <c r="DP22" s="985">
        <v>1.3665206491060371</v>
      </c>
      <c r="DQ22" s="986">
        <v>5.7585674900333084</v>
      </c>
      <c r="DR22" s="979">
        <v>8.2471430199999993</v>
      </c>
      <c r="DS22" s="640"/>
      <c r="DT22" s="794">
        <v>4.0656384900000004</v>
      </c>
      <c r="DU22" s="972">
        <f>1-(DO22/DR22)</f>
        <v>-8.073703375357022E-2</v>
      </c>
      <c r="DV22" s="977" t="s">
        <v>5580</v>
      </c>
      <c r="DW22" s="978"/>
      <c r="DX22" s="979"/>
      <c r="DY22" s="979"/>
      <c r="DZ22" s="948">
        <v>3.99</v>
      </c>
      <c r="EA22" s="979">
        <v>3.8</v>
      </c>
      <c r="EB22" s="979"/>
      <c r="EE22" s="819"/>
      <c r="EF22" s="819"/>
      <c r="EG22" s="819"/>
      <c r="EH22" s="819"/>
    </row>
    <row r="23" spans="2:144" s="634" customFormat="1" ht="25.05" customHeight="1">
      <c r="D23" s="664" t="s">
        <v>5477</v>
      </c>
      <c r="E23" s="659"/>
      <c r="F23" s="617">
        <f>VLOOKUP(D23,'FE - Aluminum'!$E$11:$DO$54,111,FALSE)</f>
        <v>0</v>
      </c>
      <c r="H23" s="608">
        <f>('FE - Aluminum'!BH42/'FE - Aluminum'!AV10)/K23</f>
        <v>0.13500000000000001</v>
      </c>
      <c r="I23" s="609" t="s">
        <v>5388</v>
      </c>
      <c r="J23" s="639" t="s">
        <v>525</v>
      </c>
      <c r="K23" s="605">
        <v>1</v>
      </c>
      <c r="L23" s="595" cm="1">
        <f t="array" ref="L23">_xlfn.IFS($Q$2=$A$1,R23,$Q$2=$B$1,S23,$Q$2=$C$1,T23)</f>
        <v>402.45985969239922</v>
      </c>
      <c r="M23" s="595">
        <f t="shared" si="10"/>
        <v>54.332081058473896</v>
      </c>
      <c r="N23" s="595">
        <f>VLOOKUP(J23,'FE - Aluminum'!$E$11:$DP$54,112,FALSE)</f>
        <v>402.45985969239922</v>
      </c>
      <c r="O23" s="595">
        <f>N23*K23*H23</f>
        <v>54.332081058473896</v>
      </c>
      <c r="P23" s="606"/>
      <c r="Q23" s="596">
        <f t="shared" si="3"/>
        <v>1</v>
      </c>
      <c r="R23" s="596">
        <v>6.79</v>
      </c>
      <c r="S23" s="596">
        <f>VLOOKUP($J23,'FE - Aluminum'!$E$11:$DP$54,112,FALSE)</f>
        <v>402.45985969239922</v>
      </c>
      <c r="T23" s="596">
        <v>12.679136699999999</v>
      </c>
      <c r="V23" s="596">
        <f>M22</f>
        <v>60.615047060756488</v>
      </c>
      <c r="W23" s="596">
        <f>VLOOKUP(J22,'FE - Aluminum'!$E$11:$BL$54,59,FALSE)</f>
        <v>1.0287233749999984</v>
      </c>
      <c r="X23" s="596">
        <f>K22*H22</f>
        <v>0.26500000000000001</v>
      </c>
      <c r="Y23" s="596">
        <f>VLOOKUP(J22,'FE - Aluminum'!$E$11:$BL$54,56,FALSE)/'FE - Aluminum'!$AV$10</f>
        <v>0.26500000000000001</v>
      </c>
      <c r="Z23" s="597">
        <f>O22</f>
        <v>60.615047060756488</v>
      </c>
      <c r="AA23" s="596">
        <f>VLOOKUP(J22,'FE - Aluminum'!$E$11:$BL$54,60,FALSE)*1000</f>
        <v>60.615047060756488</v>
      </c>
      <c r="AE23" s="640"/>
      <c r="AF23"/>
      <c r="AG23"/>
      <c r="AH23"/>
      <c r="AI23"/>
      <c r="AJ23"/>
      <c r="AK23"/>
      <c r="AL23"/>
      <c r="CG23" s="651"/>
      <c r="CH23" s="652"/>
      <c r="CI23" s="652"/>
      <c r="CL23" s="720"/>
      <c r="CM23" s="638" t="s">
        <v>5515</v>
      </c>
      <c r="CN23" s="772">
        <f>'FE - Aluminum'!BK31</f>
        <v>50.575426416695265</v>
      </c>
      <c r="CO23" s="681">
        <v>16</v>
      </c>
      <c r="CP23" s="681"/>
      <c r="CQ23" s="780" t="s">
        <v>5515</v>
      </c>
      <c r="CR23" s="784">
        <v>70.958482521402161</v>
      </c>
      <c r="CS23" s="784">
        <v>70.958482521402146</v>
      </c>
      <c r="CT23" s="784">
        <v>70.958482521402146</v>
      </c>
      <c r="CU23" s="784">
        <v>70.958482521402146</v>
      </c>
      <c r="CV23" s="784">
        <v>48.560552222562052</v>
      </c>
      <c r="CW23" s="786">
        <v>70.958482521402132</v>
      </c>
      <c r="CX23" s="784">
        <v>92.891326769935262</v>
      </c>
      <c r="CY23" s="784">
        <v>70.958482521402161</v>
      </c>
      <c r="CZ23" s="784">
        <v>70.958482521402161</v>
      </c>
      <c r="DA23" s="784">
        <v>70.958482521402161</v>
      </c>
      <c r="DB23" s="784">
        <v>70.958482521402161</v>
      </c>
      <c r="DC23" s="784">
        <v>48.560552222562052</v>
      </c>
      <c r="DD23" s="786">
        <v>70.958482521402161</v>
      </c>
      <c r="DE23" s="784">
        <v>92.891326769935276</v>
      </c>
      <c r="DF23" s="784">
        <v>47.935960030506706</v>
      </c>
      <c r="DG23" s="784">
        <v>47.935960030506706</v>
      </c>
      <c r="DH23" s="784">
        <v>47.935960030506706</v>
      </c>
      <c r="DI23" s="784">
        <v>47.935960030506706</v>
      </c>
      <c r="DJ23" s="784">
        <v>36.908410741913897</v>
      </c>
      <c r="DK23" s="786">
        <v>47.93596003050672</v>
      </c>
      <c r="DL23" s="784">
        <v>56.487319380102313</v>
      </c>
      <c r="DM23" s="849">
        <v>77.990822069498293</v>
      </c>
      <c r="DN23" s="849">
        <v>5.8003999999999998</v>
      </c>
      <c r="DO23" s="974">
        <v>82.733435080232425</v>
      </c>
      <c r="DP23" s="974">
        <v>5.8003999999999998</v>
      </c>
      <c r="DQ23" s="975">
        <v>50.575426416695265</v>
      </c>
      <c r="DR23" s="987"/>
      <c r="DS23" s="987"/>
      <c r="DT23" s="982"/>
      <c r="DU23" s="428"/>
      <c r="DV23" s="977" t="s">
        <v>5582</v>
      </c>
      <c r="DW23" s="978"/>
      <c r="DX23" s="979"/>
      <c r="DY23" s="979"/>
      <c r="DZ23" s="979"/>
      <c r="EA23" s="979"/>
      <c r="EB23" s="979"/>
      <c r="EE23" s="819"/>
      <c r="EF23" s="819"/>
      <c r="EG23" s="819"/>
      <c r="EH23" s="819"/>
    </row>
    <row r="24" spans="2:144" s="634" customFormat="1" ht="25.05" customHeight="1">
      <c r="H24" s="612" t="s">
        <v>5389</v>
      </c>
      <c r="I24" s="611" t="s">
        <v>475</v>
      </c>
      <c r="J24" s="644" t="s">
        <v>5400</v>
      </c>
      <c r="K24" s="605"/>
      <c r="L24" s="595"/>
      <c r="M24" s="595"/>
      <c r="N24" s="595"/>
      <c r="O24" s="595"/>
      <c r="P24" s="606"/>
      <c r="Q24" s="596"/>
      <c r="R24" s="596"/>
      <c r="S24" s="596"/>
      <c r="T24" s="596"/>
      <c r="V24" s="596">
        <f>M23</f>
        <v>54.332081058473896</v>
      </c>
      <c r="W24" s="596">
        <f>VLOOKUP(J23,'FE - Aluminum'!$E$11:$BL$54,59,FALSE)</f>
        <v>0.92209252499999972</v>
      </c>
      <c r="X24" s="596">
        <f>K23*H23</f>
        <v>0.13500000000000001</v>
      </c>
      <c r="Y24" s="596">
        <f>VLOOKUP(J23,'FE - Aluminum'!$E$11:$BL$54,56,FALSE)/'FE - Aluminum'!$AV$10</f>
        <v>0.13500000000000001</v>
      </c>
      <c r="Z24" s="597">
        <f>O23</f>
        <v>54.332081058473896</v>
      </c>
      <c r="AA24" s="596">
        <f>VLOOKUP(J23,'FE - Aluminum'!$E$11:$BL$54,60,FALSE)*1000</f>
        <v>54.332081058473896</v>
      </c>
      <c r="AE24" s="640"/>
      <c r="AF24" s="560" t="s">
        <v>480</v>
      </c>
      <c r="AG24" s="562">
        <f>VLOOKUP(AF24,'FE - Aluminum'!$E$11:$BH$54,54,FALSE)/'FE - Aluminum'!$AV$10</f>
        <v>0</v>
      </c>
      <c r="AH24" s="562">
        <f>VLOOKUP(AF24,'FE - Aluminum'!$E$11:$DP$54,112,FALSE)</f>
        <v>0</v>
      </c>
      <c r="AI24" s="562">
        <f>AG24*AH24</f>
        <v>0</v>
      </c>
      <c r="AJ24" s="562">
        <f>VLOOKUP(AF24,'FE - Aluminum'!$E$11:$DP$54,108,FALSE)</f>
        <v>0</v>
      </c>
      <c r="AK24" s="562">
        <f>AJ24*AG24</f>
        <v>0</v>
      </c>
      <c r="AL24" s="564">
        <f>VLOOKUP(AF24,'FE - Aluminum'!$E$11:$DP$54,111,FALSE)</f>
        <v>0</v>
      </c>
      <c r="CL24" s="720"/>
      <c r="CM24" s="638" t="s">
        <v>5516</v>
      </c>
      <c r="CN24" s="772">
        <f>'FE - Aluminum'!BK43</f>
        <v>54.026881578250865</v>
      </c>
      <c r="CO24" s="681">
        <v>17</v>
      </c>
      <c r="CP24" s="681"/>
      <c r="CQ24" s="780" t="s">
        <v>5516</v>
      </c>
      <c r="CR24" s="784">
        <v>86.715538559683225</v>
      </c>
      <c r="CS24" s="784">
        <v>82.983416194584365</v>
      </c>
      <c r="CT24" s="784">
        <v>82.983416194584365</v>
      </c>
      <c r="CU24" s="784">
        <v>64.499395862619537</v>
      </c>
      <c r="CV24" s="784">
        <v>49.649380256789065</v>
      </c>
      <c r="CW24" s="786">
        <v>72.572849047365423</v>
      </c>
      <c r="CX24" s="784">
        <v>92.588179843240852</v>
      </c>
      <c r="CY24" s="784">
        <v>87.389217375291153</v>
      </c>
      <c r="CZ24" s="784">
        <v>84.813718275291151</v>
      </c>
      <c r="DA24" s="784">
        <v>84.813718275291151</v>
      </c>
      <c r="DB24" s="784">
        <v>70.958482521402161</v>
      </c>
      <c r="DC24" s="784">
        <v>51.973320040182905</v>
      </c>
      <c r="DD24" s="786">
        <v>76.854963163875595</v>
      </c>
      <c r="DE24" s="784">
        <v>98.787807412408711</v>
      </c>
      <c r="DF24" s="784">
        <v>64.366694884395699</v>
      </c>
      <c r="DG24" s="784">
        <v>61.791195784395697</v>
      </c>
      <c r="DH24" s="784">
        <v>61.791195784395697</v>
      </c>
      <c r="DI24" s="784">
        <v>47.935960030506706</v>
      </c>
      <c r="DJ24" s="784">
        <v>40.321178559534751</v>
      </c>
      <c r="DK24" s="786">
        <v>53.832440672980169</v>
      </c>
      <c r="DL24" s="784">
        <v>62.383800022575763</v>
      </c>
      <c r="DM24" s="849">
        <v>83.887302711971728</v>
      </c>
      <c r="DN24" s="849">
        <v>11.696880642473447</v>
      </c>
      <c r="DO24" s="974">
        <v>86.184890241788011</v>
      </c>
      <c r="DP24" s="974">
        <v>9.2518551615555946</v>
      </c>
      <c r="DQ24" s="975">
        <v>54.026881578250865</v>
      </c>
      <c r="DR24" s="987"/>
      <c r="DS24" s="987"/>
      <c r="DT24" s="982"/>
      <c r="DU24" s="428"/>
      <c r="DV24" s="977" t="s">
        <v>5583</v>
      </c>
      <c r="DW24" s="978"/>
      <c r="DX24" s="979"/>
      <c r="DY24" s="979"/>
      <c r="DZ24" s="979"/>
      <c r="EA24" s="979"/>
      <c r="EB24" s="979"/>
    </row>
    <row r="25" spans="2:144" s="634" customFormat="1" ht="25.05" customHeight="1">
      <c r="H25" s="608">
        <f>SUM(AG18:AG22)/K25</f>
        <v>0</v>
      </c>
      <c r="I25" s="609" t="s">
        <v>5388</v>
      </c>
      <c r="J25" s="639" t="s">
        <v>5397</v>
      </c>
      <c r="K25" s="605">
        <v>1</v>
      </c>
      <c r="L25" s="595" cm="1">
        <f t="array" ref="L25">_xlfn.IFS($Q$2=$A$1,R25,$Q$2=$B$1,S25,$Q$2=$C$1,T25)</f>
        <v>8555359.8559543248</v>
      </c>
      <c r="M25" s="595">
        <f t="shared" si="10"/>
        <v>0</v>
      </c>
      <c r="N25" s="595">
        <f>SUMPRODUCT(AJ17:AJ22,AL17:AL22)</f>
        <v>0</v>
      </c>
      <c r="O25" s="595">
        <f>N25*K25*H25</f>
        <v>0</v>
      </c>
      <c r="P25" s="606"/>
      <c r="Q25" s="596">
        <f t="shared" si="3"/>
        <v>0</v>
      </c>
      <c r="R25" s="596">
        <v>0.27</v>
      </c>
      <c r="S25" s="596">
        <f>SUMPRODUCT(AH17:AH22,$AL$17:$AL$22)</f>
        <v>8555359.8559543248</v>
      </c>
      <c r="T25" s="596">
        <v>6.59</v>
      </c>
      <c r="V25" s="596"/>
      <c r="W25" s="596"/>
      <c r="X25" s="596"/>
      <c r="Y25" s="596"/>
      <c r="Z25" s="597"/>
      <c r="AA25" s="596"/>
      <c r="AE25" s="640"/>
      <c r="AF25" s="560" t="s">
        <v>5194</v>
      </c>
      <c r="AG25" s="562">
        <f>VLOOKUP(AF25,'FE - Aluminum'!$E$11:$BH$54,54,FALSE)/'FE - Aluminum'!$AV$10</f>
        <v>0</v>
      </c>
      <c r="AH25" s="562">
        <f>VLOOKUP(AF25,'FE - Aluminum'!$E$11:$DP$54,112,FALSE)</f>
        <v>2078.6645922565976</v>
      </c>
      <c r="AI25" s="562">
        <f>AG25*AH25</f>
        <v>0</v>
      </c>
      <c r="AJ25" s="562">
        <f>VLOOKUP(AF25,'FE - Aluminum'!$E$11:$DP$54,108,FALSE)</f>
        <v>0</v>
      </c>
      <c r="AK25" s="562">
        <f>AJ25*AG25</f>
        <v>0</v>
      </c>
      <c r="AL25" s="564">
        <f>VLOOKUP(AF25,'FE - Aluminum'!$E$11:$DP$54,111,FALSE)</f>
        <v>2779.2599999999998</v>
      </c>
      <c r="CL25" s="720"/>
      <c r="CM25" s="638" t="s">
        <v>5517</v>
      </c>
      <c r="CN25" s="772">
        <f>'FE - Aluminum'!BK8</f>
        <v>58.53238782275038</v>
      </c>
      <c r="CO25" s="681">
        <v>18</v>
      </c>
      <c r="CP25" s="681"/>
      <c r="CQ25" s="780" t="s">
        <v>5517</v>
      </c>
      <c r="CR25" s="784">
        <v>87.78868231772303</v>
      </c>
      <c r="CS25" s="784">
        <v>84.05655995262417</v>
      </c>
      <c r="CT25" s="784">
        <v>86.338424712624175</v>
      </c>
      <c r="CU25" s="784">
        <v>73.932510487882169</v>
      </c>
      <c r="CV25" s="784">
        <v>56.891549684909847</v>
      </c>
      <c r="CW25" s="786">
        <v>79.815018475486184</v>
      </c>
      <c r="CX25" s="784">
        <v>99.830349271361598</v>
      </c>
      <c r="CY25" s="784">
        <v>88.462361133330958</v>
      </c>
      <c r="CZ25" s="784">
        <v>85.886862033330956</v>
      </c>
      <c r="DA25" s="784">
        <v>88.168726793330961</v>
      </c>
      <c r="DB25" s="784">
        <v>80.391597146664765</v>
      </c>
      <c r="DC25" s="784">
        <v>59.215489468303687</v>
      </c>
      <c r="DD25" s="786">
        <v>84.097132591996342</v>
      </c>
      <c r="DE25" s="784">
        <v>106.02997684052947</v>
      </c>
      <c r="DF25" s="784">
        <v>65.439838642435546</v>
      </c>
      <c r="DG25" s="784">
        <v>62.864339542435552</v>
      </c>
      <c r="DH25" s="784">
        <v>65.146204302435549</v>
      </c>
      <c r="DI25" s="784">
        <v>57.36907465576936</v>
      </c>
      <c r="DJ25" s="784">
        <v>47.563347987655533</v>
      </c>
      <c r="DK25" s="786">
        <v>61.074610101100951</v>
      </c>
      <c r="DL25" s="784">
        <v>69.625969450696545</v>
      </c>
      <c r="DM25" s="849">
        <v>88.389820303995734</v>
      </c>
      <c r="DN25" s="849">
        <v>16.199398234497448</v>
      </c>
      <c r="DO25" s="974">
        <v>90.69039648628754</v>
      </c>
      <c r="DP25" s="974">
        <v>13.757361406055116</v>
      </c>
      <c r="DQ25" s="975">
        <v>58.53238782275038</v>
      </c>
      <c r="DR25" s="987"/>
      <c r="DS25" s="987"/>
      <c r="DT25" s="982"/>
      <c r="DU25" s="428"/>
      <c r="DV25" s="977" t="s">
        <v>5584</v>
      </c>
      <c r="DW25" s="978"/>
      <c r="DX25" s="979"/>
      <c r="DY25" s="979"/>
      <c r="DZ25" s="979"/>
      <c r="EA25" s="979"/>
      <c r="EB25" s="979"/>
    </row>
    <row r="26" spans="2:144" s="634" customFormat="1" ht="25.05" customHeight="1">
      <c r="H26" s="608" t="e">
        <f>SUM(AG25:AG27)/K26</f>
        <v>#N/A</v>
      </c>
      <c r="I26" s="609" t="s">
        <v>5388</v>
      </c>
      <c r="J26" s="639" t="s">
        <v>5398</v>
      </c>
      <c r="K26" s="605">
        <v>1</v>
      </c>
      <c r="L26" s="595" t="e" cm="1">
        <f t="array" ref="L26">_xlfn.IFS($Q$2=$A$1,R26,$Q$2=$B$1,S26,$Q$2=$C$1,T26)</f>
        <v>#N/A</v>
      </c>
      <c r="M26" s="595" t="e">
        <f t="shared" si="10"/>
        <v>#N/A</v>
      </c>
      <c r="N26" s="595" t="e">
        <f>SUMPRODUCT(AJ24:AJ27,AL24:AL27)</f>
        <v>#N/A</v>
      </c>
      <c r="O26" s="595" t="e">
        <f>N26*K26*H26</f>
        <v>#N/A</v>
      </c>
      <c r="P26" s="606"/>
      <c r="Q26" s="596">
        <f t="shared" si="3"/>
        <v>0</v>
      </c>
      <c r="R26" s="596">
        <v>1</v>
      </c>
      <c r="S26" s="596" t="e">
        <f>SUMPRODUCT(AH24:AH27,$AL$24:$AL$27)</f>
        <v>#N/A</v>
      </c>
      <c r="T26" s="596">
        <v>28.8</v>
      </c>
      <c r="V26" s="596">
        <f>M25</f>
        <v>0</v>
      </c>
      <c r="W26" s="596">
        <f>SUM('FE - Aluminum'!BK47:BK51)</f>
        <v>0</v>
      </c>
      <c r="X26" s="596">
        <f>K25*H25</f>
        <v>0</v>
      </c>
      <c r="Y26" s="596">
        <f>SUM('FE - Aluminum'!BH47:BH51)/'FE - Aluminum'!AV10</f>
        <v>0</v>
      </c>
      <c r="Z26" s="597">
        <f>O25</f>
        <v>0</v>
      </c>
      <c r="AA26" s="596">
        <f>SUM('FE - Aluminum'!BL47:BL51)*1000</f>
        <v>0</v>
      </c>
      <c r="AE26" s="640"/>
      <c r="AF26" s="560" t="s">
        <v>5196</v>
      </c>
      <c r="AG26" s="562" t="e">
        <f>VLOOKUP(AF26,'FE - Aluminum'!$E$11:$BH$54,54,FALSE)/'FE - Aluminum'!$AV$10</f>
        <v>#N/A</v>
      </c>
      <c r="AH26" s="562" t="e">
        <f>VLOOKUP(AF26,'FE - Aluminum'!$E$11:$DP$54,112,FALSE)</f>
        <v>#N/A</v>
      </c>
      <c r="AI26" s="562" t="e">
        <f>AG26*AH26</f>
        <v>#N/A</v>
      </c>
      <c r="AJ26" s="562" t="e">
        <f>VLOOKUP(AF26,'FE - Aluminum'!$E$11:$DP$54,108,FALSE)</f>
        <v>#N/A</v>
      </c>
      <c r="AK26" s="562" t="e">
        <f>AJ26*AG26</f>
        <v>#N/A</v>
      </c>
      <c r="AL26" s="564" t="e">
        <f>VLOOKUP(AF26,'FE - Aluminum'!$E$11:$DP$54,111,FALSE)</f>
        <v>#N/A</v>
      </c>
      <c r="CL26" s="720"/>
      <c r="CM26" s="680" t="s">
        <v>5531</v>
      </c>
      <c r="CN26" s="775">
        <f>'FE - Aluminum'!AB6</f>
        <v>5.6865853964078932</v>
      </c>
      <c r="CO26" s="681">
        <v>19</v>
      </c>
      <c r="CP26" s="681"/>
      <c r="CQ26" s="781" t="s">
        <v>5593</v>
      </c>
      <c r="CR26" s="784">
        <v>8.5570687894599651</v>
      </c>
      <c r="CS26" s="784">
        <v>9.0505986091820283</v>
      </c>
      <c r="CT26" s="784">
        <v>9.1546544374548517</v>
      </c>
      <c r="CU26" s="784">
        <v>8.5236198679885575</v>
      </c>
      <c r="CV26" s="784">
        <v>5.5904882642084104</v>
      </c>
      <c r="CW26" s="786">
        <v>8.6167927260588311</v>
      </c>
      <c r="CX26" s="784">
        <v>11.959965398401645</v>
      </c>
      <c r="CY26" s="784">
        <v>8.1795598263198137</v>
      </c>
      <c r="CZ26" s="784">
        <v>8.02780474526954</v>
      </c>
      <c r="DA26" s="784">
        <v>8.1318605735423635</v>
      </c>
      <c r="DB26" s="784">
        <v>7.5926432628318983</v>
      </c>
      <c r="DC26" s="784">
        <v>4.6196750310400354</v>
      </c>
      <c r="DD26" s="786">
        <v>7.8401693974331756</v>
      </c>
      <c r="DE26" s="784">
        <v>11.416952522593879</v>
      </c>
      <c r="DF26" s="784">
        <v>5.9388251845839521</v>
      </c>
      <c r="DG26" s="784">
        <v>5.7870701035336785</v>
      </c>
      <c r="DH26" s="784">
        <v>5.8911259318065019</v>
      </c>
      <c r="DI26" s="784">
        <v>5.3519086210960367</v>
      </c>
      <c r="DJ26" s="784">
        <v>3.681816989160307</v>
      </c>
      <c r="DK26" s="786">
        <v>5.5994347556973141</v>
      </c>
      <c r="DL26" s="784">
        <v>7.3945197407441361</v>
      </c>
      <c r="DM26" s="849">
        <v>8.397286084754537</v>
      </c>
      <c r="DN26" s="849">
        <v>1.3735356707452975</v>
      </c>
      <c r="DO26" s="974">
        <v>8.8015804733215575</v>
      </c>
      <c r="DP26" s="974">
        <v>1.3494391409922115</v>
      </c>
      <c r="DQ26" s="975">
        <v>5.6865853964078932</v>
      </c>
      <c r="DR26" s="983"/>
      <c r="DS26" s="983"/>
      <c r="DT26" s="982"/>
      <c r="DU26" s="428"/>
      <c r="DV26" s="977" t="s">
        <v>5581</v>
      </c>
      <c r="DW26" s="978"/>
      <c r="DX26" s="979"/>
      <c r="DY26" s="979"/>
      <c r="DZ26" s="979"/>
      <c r="EA26" s="979"/>
      <c r="EB26" s="979"/>
    </row>
    <row r="27" spans="2:144" s="634" customFormat="1" ht="25.05" customHeight="1">
      <c r="K27" s="653" t="s">
        <v>5479</v>
      </c>
      <c r="V27" s="596" t="e">
        <f>M26</f>
        <v>#N/A</v>
      </c>
      <c r="W27" s="596">
        <f>SUM('FE - Aluminum'!BK53:BK54)</f>
        <v>0</v>
      </c>
      <c r="X27" s="596" t="e">
        <f>K26*H26</f>
        <v>#N/A</v>
      </c>
      <c r="Y27" s="596">
        <f>SUM('FE - Aluminum'!BH53:BH54)/'FE - Aluminum'!AV10</f>
        <v>0</v>
      </c>
      <c r="Z27" s="597" t="e">
        <f>O26</f>
        <v>#N/A</v>
      </c>
      <c r="AA27" s="596">
        <f>SUM('FE - Aluminum'!BL53:BL54)*1000</f>
        <v>0</v>
      </c>
      <c r="AF27" s="560" t="s">
        <v>5195</v>
      </c>
      <c r="AG27" s="562">
        <f>VLOOKUP(AF27,'FE - Aluminum'!$E$11:$BH$54,54,FALSE)/'FE - Aluminum'!$AV$10</f>
        <v>0</v>
      </c>
      <c r="AH27" s="562">
        <f>VLOOKUP(AF27,'FE - Aluminum'!$E$11:$DP$54,112,FALSE)</f>
        <v>72.198456025559864</v>
      </c>
      <c r="AI27" s="562">
        <f>AG27*AH27</f>
        <v>0</v>
      </c>
      <c r="AJ27" s="562">
        <f>VLOOKUP(AF27,'FE - Aluminum'!$E$11:$DP$54,108,FALSE)</f>
        <v>0</v>
      </c>
      <c r="AK27" s="562">
        <f>AJ27*AG27</f>
        <v>0</v>
      </c>
      <c r="AL27" s="564">
        <f>VLOOKUP(AF27,'FE - Aluminum'!$E$11:$DP$54,111,FALSE)</f>
        <v>0</v>
      </c>
      <c r="CL27" s="720"/>
      <c r="CM27"/>
      <c r="CN27"/>
      <c r="CO27" s="681">
        <v>20</v>
      </c>
      <c r="CP27"/>
      <c r="CQ27"/>
      <c r="CR27"/>
      <c r="CS27"/>
      <c r="CT27"/>
      <c r="CU27"/>
      <c r="CV27"/>
      <c r="CW27"/>
      <c r="CX27"/>
      <c r="CY27"/>
      <c r="CZ27"/>
      <c r="DA27"/>
      <c r="DB27"/>
      <c r="DC27"/>
      <c r="DD27"/>
      <c r="DE27"/>
      <c r="DF27"/>
      <c r="DG27"/>
      <c r="DH27"/>
      <c r="DI27"/>
      <c r="DJ27"/>
      <c r="DK27"/>
      <c r="DL27"/>
      <c r="DM27"/>
      <c r="DN27"/>
      <c r="DO27"/>
      <c r="DP27"/>
      <c r="DQ27"/>
      <c r="DR27"/>
      <c r="DS27"/>
      <c r="DT27"/>
      <c r="DV27" s="925"/>
    </row>
    <row r="28" spans="2:144" s="634" customFormat="1" outlineLevel="1">
      <c r="K28" s="653"/>
      <c r="V28" s="683"/>
      <c r="W28" s="683"/>
      <c r="X28" s="683"/>
      <c r="Y28" s="683"/>
      <c r="Z28" s="684"/>
      <c r="AA28" s="683"/>
      <c r="CL28" s="720"/>
      <c r="CM28"/>
      <c r="CN28"/>
      <c r="CO28" s="681">
        <v>21</v>
      </c>
      <c r="CP28" s="635"/>
      <c r="CQ28"/>
      <c r="CR28" s="667"/>
      <c r="CS28" s="667"/>
      <c r="CT28" s="667"/>
      <c r="CU28" s="667"/>
      <c r="CV28"/>
      <c r="CW28"/>
      <c r="CX28"/>
      <c r="CY28" s="667"/>
      <c r="CZ28" s="667"/>
      <c r="DA28" s="667"/>
      <c r="DB28" s="667"/>
      <c r="DC28"/>
      <c r="DD28"/>
      <c r="DE28"/>
      <c r="DF28" s="667"/>
      <c r="DG28" s="667"/>
      <c r="DH28" s="667"/>
      <c r="DI28" s="667"/>
      <c r="DJ28"/>
      <c r="DK28"/>
      <c r="DL28"/>
      <c r="DM28"/>
      <c r="DN28"/>
      <c r="DO28"/>
      <c r="DP28"/>
    </row>
    <row r="29" spans="2:144" ht="46.8" outlineLevel="1">
      <c r="B29" s="616" t="s">
        <v>5472</v>
      </c>
      <c r="C29" s="616" t="s">
        <v>5484</v>
      </c>
      <c r="E29" s="616" t="s">
        <v>150</v>
      </c>
      <c r="F29" s="616" t="s">
        <v>451</v>
      </c>
      <c r="K29" s="1200" t="s">
        <v>5474</v>
      </c>
      <c r="L29" s="1201"/>
      <c r="M29" s="1201"/>
      <c r="N29" s="1201"/>
      <c r="O29" s="1201"/>
      <c r="P29" s="1202"/>
      <c r="V29" s="561" t="e">
        <f>SUM(V8:V27)</f>
        <v>#REF!</v>
      </c>
      <c r="W29" s="561" t="e">
        <f>SUM(W8:W27)</f>
        <v>#N/A</v>
      </c>
      <c r="X29" s="561"/>
      <c r="Y29" s="561"/>
      <c r="Z29" s="561" t="e">
        <f>SUM(Z8:Z27)</f>
        <v>#REF!</v>
      </c>
      <c r="AA29" s="561" t="e">
        <f>SUM(AA8:AA27)</f>
        <v>#N/A</v>
      </c>
      <c r="CL29" s="720"/>
      <c r="CM29" s="722" t="s">
        <v>5528</v>
      </c>
      <c r="CO29" s="681">
        <v>22</v>
      </c>
      <c r="CP29" s="635"/>
      <c r="CQ29" s="778" t="s">
        <v>5513</v>
      </c>
      <c r="CR29" s="782" t="s">
        <v>5596</v>
      </c>
      <c r="CS29" s="782" t="s">
        <v>5599</v>
      </c>
      <c r="CT29" s="782" t="s">
        <v>5597</v>
      </c>
      <c r="CU29" s="782" t="s">
        <v>5598</v>
      </c>
      <c r="CV29" s="782" t="s">
        <v>5519</v>
      </c>
      <c r="CW29" s="782" t="s">
        <v>5520</v>
      </c>
      <c r="CX29" s="782" t="s">
        <v>5521</v>
      </c>
      <c r="CY29" s="937" t="s">
        <v>5909</v>
      </c>
      <c r="CZ29" s="937" t="s">
        <v>5910</v>
      </c>
      <c r="DA29" s="937" t="s">
        <v>5911</v>
      </c>
      <c r="DB29" s="937" t="s">
        <v>5912</v>
      </c>
      <c r="DC29" s="937" t="s">
        <v>5913</v>
      </c>
      <c r="DD29" s="937" t="s">
        <v>5914</v>
      </c>
      <c r="DE29" s="937" t="s">
        <v>5915</v>
      </c>
      <c r="DF29" s="937" t="s">
        <v>5917</v>
      </c>
      <c r="DG29" s="937" t="s">
        <v>5918</v>
      </c>
      <c r="DH29" s="937" t="s">
        <v>5919</v>
      </c>
      <c r="DI29" s="937" t="s">
        <v>5920</v>
      </c>
      <c r="DJ29" s="937" t="s">
        <v>5921</v>
      </c>
      <c r="DK29" s="937" t="s">
        <v>5922</v>
      </c>
      <c r="DL29" s="937" t="s">
        <v>5923</v>
      </c>
      <c r="DM29" s="848" t="s">
        <v>5816</v>
      </c>
      <c r="DN29" s="848" t="s">
        <v>5817</v>
      </c>
      <c r="DO29" s="848" t="s">
        <v>5837</v>
      </c>
      <c r="DP29" s="848" t="s">
        <v>5838</v>
      </c>
      <c r="DQ29" s="782" t="s">
        <v>5755</v>
      </c>
      <c r="DR29" s="848"/>
      <c r="DS29" s="848"/>
      <c r="DT29" s="782" t="s">
        <v>5600</v>
      </c>
      <c r="DU29" s="923" t="s">
        <v>5418</v>
      </c>
      <c r="DV29" s="923" t="s">
        <v>5417</v>
      </c>
      <c r="DX29" s="933" t="s">
        <v>5333</v>
      </c>
      <c r="DY29" s="933" t="s">
        <v>5851</v>
      </c>
      <c r="DZ29" s="933" t="s">
        <v>5852</v>
      </c>
      <c r="EA29" s="933" t="s">
        <v>5853</v>
      </c>
      <c r="EB29" s="1004" t="s">
        <v>5901</v>
      </c>
      <c r="EC29" s="143" t="s">
        <v>314</v>
      </c>
    </row>
    <row r="30" spans="2:144" ht="44.4" outlineLevel="1">
      <c r="B30" s="636" t="s">
        <v>5482</v>
      </c>
      <c r="C30" s="636" t="s">
        <v>5482</v>
      </c>
      <c r="D30" s="554" t="s">
        <v>5481</v>
      </c>
      <c r="E30" s="636" t="s">
        <v>5505</v>
      </c>
      <c r="F30" s="636" t="s">
        <v>5505</v>
      </c>
      <c r="G30" s="152"/>
      <c r="H30" s="554" t="s">
        <v>5381</v>
      </c>
      <c r="I30" s="554" t="s">
        <v>5382</v>
      </c>
      <c r="J30" s="637" t="s">
        <v>5473</v>
      </c>
      <c r="K30" s="609" t="s">
        <v>5503</v>
      </c>
      <c r="L30" s="609" t="s">
        <v>5502</v>
      </c>
      <c r="M30" s="609" t="s">
        <v>5501</v>
      </c>
      <c r="N30" s="609" t="s">
        <v>5500</v>
      </c>
      <c r="O30" s="609" t="s">
        <v>5499</v>
      </c>
      <c r="P30" s="555" t="s">
        <v>5387</v>
      </c>
      <c r="CL30" s="721">
        <f>+'FE - Aluminum'!DO12</f>
        <v>0.41799999999999998</v>
      </c>
      <c r="CM30" s="638" t="s">
        <v>5542</v>
      </c>
      <c r="CN30" s="677">
        <f t="shared" ref="CN30:CN51" si="11">HLOOKUP(CN$7,$CR$7:$DQ$129,($CO30+1),FALSE)</f>
        <v>0.41799999999999998</v>
      </c>
      <c r="CO30" s="681">
        <v>23</v>
      </c>
      <c r="CP30" s="767">
        <v>1</v>
      </c>
      <c r="CQ30" s="788" t="s">
        <v>5542</v>
      </c>
      <c r="CR30" s="789">
        <v>9.9999999999999978E-2</v>
      </c>
      <c r="CS30" s="789">
        <v>9.9999999999999978E-2</v>
      </c>
      <c r="CT30" s="789">
        <v>9.9999999999999978E-2</v>
      </c>
      <c r="CU30" s="789">
        <v>9.9999999999999978E-2</v>
      </c>
      <c r="CV30" s="790">
        <v>0.2</v>
      </c>
      <c r="CW30" s="790">
        <v>0.1</v>
      </c>
      <c r="CX30" s="790">
        <v>0</v>
      </c>
      <c r="CY30" s="789">
        <v>9.9999999999999978E-2</v>
      </c>
      <c r="CZ30" s="789">
        <v>9.9999999999999978E-2</v>
      </c>
      <c r="DA30" s="789">
        <v>9.9999999999999978E-2</v>
      </c>
      <c r="DB30" s="789">
        <v>9.9999999999999978E-2</v>
      </c>
      <c r="DC30" s="790">
        <v>0.2</v>
      </c>
      <c r="DD30" s="790">
        <v>0.1</v>
      </c>
      <c r="DE30" s="790">
        <v>0</v>
      </c>
      <c r="DF30" s="789">
        <v>0.41799999999999998</v>
      </c>
      <c r="DG30" s="789">
        <v>0.41799999999999998</v>
      </c>
      <c r="DH30" s="789">
        <v>0.41799999999999998</v>
      </c>
      <c r="DI30" s="789">
        <v>0.41799999999999998</v>
      </c>
      <c r="DJ30" s="789">
        <v>0.41799999999999998</v>
      </c>
      <c r="DK30" s="789">
        <v>0.41799999999999998</v>
      </c>
      <c r="DL30" s="789">
        <v>0.41799999999999998</v>
      </c>
      <c r="DM30" s="908">
        <v>0</v>
      </c>
      <c r="DN30" s="790">
        <v>1</v>
      </c>
      <c r="DO30" s="802">
        <v>0</v>
      </c>
      <c r="DP30" s="802">
        <v>1</v>
      </c>
      <c r="DQ30" s="802">
        <v>0.41799999999999998</v>
      </c>
      <c r="DR30" s="802"/>
      <c r="DS30" s="917"/>
      <c r="DT30" s="802">
        <v>0.54700000000000004</v>
      </c>
      <c r="DU30" s="920" t="s">
        <v>5839</v>
      </c>
      <c r="DV30" s="924"/>
      <c r="DX30" s="994">
        <v>0.57299999999999995</v>
      </c>
      <c r="DY30" s="994" t="s">
        <v>5898</v>
      </c>
      <c r="DZ30" s="994"/>
      <c r="EA30" s="994"/>
      <c r="EB30" s="994"/>
      <c r="EC30" s="167"/>
      <c r="ED30" s="1008" t="s">
        <v>191</v>
      </c>
      <c r="EE30" s="1008" t="s">
        <v>192</v>
      </c>
      <c r="EF30" s="1008" t="s">
        <v>193</v>
      </c>
      <c r="EG30" s="1008" t="s">
        <v>194</v>
      </c>
      <c r="EH30" s="1008" t="s">
        <v>195</v>
      </c>
    </row>
    <row r="31" spans="2:144" ht="24" customHeight="1" outlineLevel="1">
      <c r="B31" s="598">
        <f>HLOOKUP(D31,'FE - Aluminum'!$BS$9:$CA$10,2,FALSE)</f>
        <v>0</v>
      </c>
      <c r="C31" s="598">
        <f>SUMPRODUCT('FE - Aluminum'!BS$36:BS$37,'FE - Aluminum'!$DO$36:$DO$37)</f>
        <v>0</v>
      </c>
      <c r="D31" s="386" t="s">
        <v>545</v>
      </c>
      <c r="E31" s="553">
        <v>12.54806</v>
      </c>
      <c r="F31" s="553">
        <v>56.95</v>
      </c>
      <c r="H31" s="607">
        <f>'FE - Aluminum'!BH15/'FE - Aluminum'!AV10/'FE - ACV Aluminum'!K31</f>
        <v>2.340959954104032E-3</v>
      </c>
      <c r="I31" s="554" t="s">
        <v>5388</v>
      </c>
      <c r="J31" s="556" t="s">
        <v>5205</v>
      </c>
      <c r="K31" s="605">
        <f>K12*'FE - Aluminum'!CR24*'FE - Aluminum'!DG23+K11*'FE - Aluminum'!DG22+K35*SUMPRODUCT('FE - Aluminum'!DG18:DG19,'FE - Aluminum'!DO18:DO19)</f>
        <v>52.89759598727143</v>
      </c>
      <c r="L31" s="595">
        <f>VLOOKUP(J31,'FE - Aluminum'!$E$11:$DP$54,112,FALSE)</f>
        <v>1277.9517848349999</v>
      </c>
      <c r="M31" s="595">
        <f>H31*K31*L31</f>
        <v>158.2502441121926</v>
      </c>
      <c r="N31" s="595">
        <f>VLOOKUP(J31,'FE - Aluminum'!$E$11:$DP$54,108,FALSE)</f>
        <v>0</v>
      </c>
      <c r="O31" s="595">
        <f>H31*K31*N31</f>
        <v>0</v>
      </c>
      <c r="P31" s="606"/>
      <c r="CL31" s="721"/>
      <c r="CM31" s="638" t="s">
        <v>5527</v>
      </c>
      <c r="CN31" s="677">
        <f t="shared" si="11"/>
        <v>1.2500000000000001E-2</v>
      </c>
      <c r="CO31" s="681">
        <v>24</v>
      </c>
      <c r="CP31" s="787">
        <v>3</v>
      </c>
      <c r="CQ31" s="788" t="s">
        <v>5511</v>
      </c>
      <c r="CR31" s="789">
        <v>0</v>
      </c>
      <c r="CS31" s="789">
        <v>0</v>
      </c>
      <c r="CT31" s="789">
        <v>0</v>
      </c>
      <c r="CU31" s="789">
        <v>0</v>
      </c>
      <c r="CV31" s="789">
        <v>4.0000000000000001E-3</v>
      </c>
      <c r="CW31" s="789">
        <v>0.02</v>
      </c>
      <c r="CX31" s="789">
        <v>0.05</v>
      </c>
      <c r="CY31" s="789">
        <v>0</v>
      </c>
      <c r="CZ31" s="789">
        <v>0</v>
      </c>
      <c r="DA31" s="789">
        <v>0</v>
      </c>
      <c r="DB31" s="789">
        <v>0</v>
      </c>
      <c r="DC31" s="789">
        <v>4.0000000000000001E-3</v>
      </c>
      <c r="DD31" s="789">
        <v>0.02</v>
      </c>
      <c r="DE31" s="789">
        <v>0.05</v>
      </c>
      <c r="DF31" s="789">
        <v>0</v>
      </c>
      <c r="DG31" s="789">
        <v>0</v>
      </c>
      <c r="DH31" s="789">
        <v>0</v>
      </c>
      <c r="DI31" s="789">
        <v>0</v>
      </c>
      <c r="DJ31" s="789">
        <v>4.0000000000000001E-3</v>
      </c>
      <c r="DK31" s="789">
        <v>0.02</v>
      </c>
      <c r="DL31" s="789">
        <v>0.05</v>
      </c>
      <c r="DM31" s="789">
        <v>0.02</v>
      </c>
      <c r="DN31" s="789">
        <v>0.02</v>
      </c>
      <c r="DO31" s="850">
        <v>1.2500000000000001E-2</v>
      </c>
      <c r="DP31" s="850">
        <v>1.2500000000000001E-2</v>
      </c>
      <c r="DQ31" s="850">
        <v>1.2500000000000001E-2</v>
      </c>
      <c r="DR31" s="850"/>
      <c r="DS31" s="850"/>
      <c r="DT31" s="850">
        <v>1.2500000000000001E-2</v>
      </c>
      <c r="DU31" s="920" t="s">
        <v>5840</v>
      </c>
      <c r="DV31" s="924"/>
      <c r="DX31" s="994"/>
      <c r="DY31" s="994" t="s">
        <v>5899</v>
      </c>
      <c r="DZ31" s="994"/>
      <c r="EA31" s="994"/>
      <c r="EB31" s="994"/>
      <c r="EC31" s="932" t="s">
        <v>315</v>
      </c>
      <c r="ED31" s="1006">
        <v>0.39019999999999999</v>
      </c>
      <c r="EE31" s="1006">
        <v>0.20300000000000001</v>
      </c>
      <c r="EF31" s="1006">
        <v>0.20300000000000001</v>
      </c>
      <c r="EG31" s="1006">
        <v>0.26829999999999998</v>
      </c>
      <c r="EH31" s="1006">
        <v>0.50419999999999998</v>
      </c>
    </row>
    <row r="32" spans="2:144" ht="25.05" customHeight="1" outlineLevel="1">
      <c r="B32" s="598">
        <f>HLOOKUP(D32,'FE - Aluminum'!$BS$9:$CA$10,2,FALSE)</f>
        <v>0</v>
      </c>
      <c r="C32" s="598">
        <f>SUMPRODUCT('FE - Aluminum'!BT$36:BT$37,'FE - Aluminum'!$DO$36:$DO$37)</f>
        <v>0</v>
      </c>
      <c r="D32" s="386" t="s">
        <v>546</v>
      </c>
      <c r="E32" s="553">
        <v>1.65726</v>
      </c>
      <c r="F32" s="553">
        <v>0.92300000000000004</v>
      </c>
      <c r="H32" s="607">
        <f>'FE - Aluminum'!BH13/'FE - Aluminum'!AV10/'FE - ACV Aluminum'!K32</f>
        <v>1.0550345906766759E-5</v>
      </c>
      <c r="I32" s="554" t="s">
        <v>5388</v>
      </c>
      <c r="J32" s="557" t="s">
        <v>5203</v>
      </c>
      <c r="K32" s="605">
        <f>'FE - Aluminum'!CG16*'FE - Aluminum'!CM26*'FE - ACV Aluminum'!H15+'FE - ACV Aluminum'!H16*'FE - Aluminum'!CN27*'FE - Aluminum'!CG17</f>
        <v>5516.4650900850002</v>
      </c>
      <c r="L32" s="595">
        <f>VLOOKUP(J32,'FE - Aluminum'!$E$11:$DP$54,112,FALSE)</f>
        <v>531.17209980104712</v>
      </c>
      <c r="M32" s="595">
        <f t="shared" ref="M32:M36" si="12">H32*K32*L32</f>
        <v>30.914542817115183</v>
      </c>
      <c r="N32" s="595">
        <f>VLOOKUP(J32,'FE - Aluminum'!$E$11:$DP$54,108,FALSE)</f>
        <v>0</v>
      </c>
      <c r="O32" s="595">
        <f t="shared" ref="O32:O36" si="13">H32*K32*N32</f>
        <v>0</v>
      </c>
      <c r="P32" s="606"/>
      <c r="CL32" s="721">
        <f>'FE - Aluminum'!DO18</f>
        <v>1</v>
      </c>
      <c r="CM32" s="638" t="s">
        <v>5270</v>
      </c>
      <c r="CN32" s="677">
        <f t="shared" si="11"/>
        <v>1</v>
      </c>
      <c r="CO32" s="681">
        <v>25</v>
      </c>
      <c r="CP32" s="768">
        <v>4</v>
      </c>
      <c r="CQ32" s="788" t="s">
        <v>5270</v>
      </c>
      <c r="CR32" s="789">
        <v>0.75</v>
      </c>
      <c r="CS32" s="789">
        <v>0.75</v>
      </c>
      <c r="CT32" s="789">
        <v>0.75</v>
      </c>
      <c r="CU32" s="789">
        <v>0.75</v>
      </c>
      <c r="CV32" s="789">
        <v>0.75</v>
      </c>
      <c r="CW32" s="789">
        <v>0.75</v>
      </c>
      <c r="CX32" s="789">
        <v>0.75</v>
      </c>
      <c r="CY32" s="789">
        <v>0.75</v>
      </c>
      <c r="CZ32" s="789">
        <v>0.75</v>
      </c>
      <c r="DA32" s="789">
        <v>0.75</v>
      </c>
      <c r="DB32" s="789">
        <v>0.75</v>
      </c>
      <c r="DC32" s="789">
        <v>0.75</v>
      </c>
      <c r="DD32" s="789">
        <v>0.75</v>
      </c>
      <c r="DE32" s="789">
        <v>0.75</v>
      </c>
      <c r="DF32" s="789">
        <v>0.75</v>
      </c>
      <c r="DG32" s="789">
        <v>0.75</v>
      </c>
      <c r="DH32" s="789">
        <v>0.75</v>
      </c>
      <c r="DI32" s="789">
        <v>0.75</v>
      </c>
      <c r="DJ32" s="789">
        <v>0.75</v>
      </c>
      <c r="DK32" s="789">
        <v>0.75</v>
      </c>
      <c r="DL32" s="789">
        <v>0.75</v>
      </c>
      <c r="DM32" s="789">
        <v>0.75</v>
      </c>
      <c r="DN32" s="789">
        <v>0.75</v>
      </c>
      <c r="DO32" s="850">
        <v>1</v>
      </c>
      <c r="DP32" s="850">
        <v>1</v>
      </c>
      <c r="DQ32" s="850">
        <v>1</v>
      </c>
      <c r="DR32" s="850"/>
      <c r="DS32" s="850"/>
      <c r="DT32" s="854" t="s">
        <v>645</v>
      </c>
      <c r="DU32" s="921" t="s">
        <v>5841</v>
      </c>
      <c r="DV32" s="924" t="s">
        <v>5570</v>
      </c>
      <c r="DX32" s="994"/>
      <c r="DY32" s="994"/>
      <c r="DZ32" s="994"/>
      <c r="EA32" s="994"/>
      <c r="EB32" s="994"/>
      <c r="EC32" s="932" t="s">
        <v>316</v>
      </c>
      <c r="ED32" s="1006">
        <v>0.2989</v>
      </c>
      <c r="EE32" s="1006">
        <v>0.2319</v>
      </c>
      <c r="EF32" s="1006">
        <v>0.2319</v>
      </c>
      <c r="EG32" s="1006">
        <v>0.16200000000000001</v>
      </c>
      <c r="EH32" s="1006">
        <v>0</v>
      </c>
    </row>
    <row r="33" spans="2:138" ht="25.05" customHeight="1" outlineLevel="1">
      <c r="B33" s="598">
        <f>HLOOKUP(D33,'FE - Aluminum'!$BS$9:$CA$10,2,FALSE)</f>
        <v>0</v>
      </c>
      <c r="C33" s="598">
        <f>SUMPRODUCT('FE - Aluminum'!BU$36:BU$37,'FE - Aluminum'!$DO$36:$DO$37)</f>
        <v>0</v>
      </c>
      <c r="D33" s="386" t="s">
        <v>547</v>
      </c>
      <c r="E33" s="553">
        <v>5.6306799999999999</v>
      </c>
      <c r="F33" s="553">
        <v>8.6639999999999997</v>
      </c>
      <c r="H33" s="607">
        <f>'FE - Aluminum'!BH14/'FE - Aluminum'!AV10/'FE - ACV Aluminum'!K33</f>
        <v>1.4219845066131456E-5</v>
      </c>
      <c r="I33" s="554" t="s">
        <v>5388</v>
      </c>
      <c r="J33" s="558" t="s">
        <v>5204</v>
      </c>
      <c r="K33" s="605">
        <f>'FE - Aluminum'!CF16*'FE - Aluminum'!CM26*'FE - ACV Aluminum'!H15+'FE - ACV Aluminum'!H16*'FE - Aluminum'!CN27*'FE - Aluminum'!CF17</f>
        <v>13814.538317292001</v>
      </c>
      <c r="L33" s="595">
        <f>VLOOKUP(J33,'FE - Aluminum'!$E$11:$DP$54,112,FALSE)</f>
        <v>822.07043383031498</v>
      </c>
      <c r="M33" s="595">
        <f t="shared" si="12"/>
        <v>161.48800476882977</v>
      </c>
      <c r="N33" s="595">
        <f>VLOOKUP(J33,'FE - Aluminum'!$E$11:$DP$54,108,FALSE)</f>
        <v>0</v>
      </c>
      <c r="O33" s="595">
        <f t="shared" si="13"/>
        <v>0</v>
      </c>
      <c r="P33" s="606"/>
      <c r="CL33" s="721">
        <f>+'FE - Aluminum'!DO26</f>
        <v>0.67400000000000004</v>
      </c>
      <c r="CM33" s="638" t="s">
        <v>5314</v>
      </c>
      <c r="CN33" s="677">
        <f t="shared" si="11"/>
        <v>0.67400000000000004</v>
      </c>
      <c r="CO33" s="681">
        <v>26</v>
      </c>
      <c r="CP33" s="766">
        <v>2</v>
      </c>
      <c r="CQ33" s="788" t="s">
        <v>5314</v>
      </c>
      <c r="CR33" s="789">
        <v>0.67417050000000001</v>
      </c>
      <c r="CS33" s="789">
        <v>0.67417050000000001</v>
      </c>
      <c r="CT33" s="789">
        <v>0.67417050000000001</v>
      </c>
      <c r="CU33" s="789">
        <v>0.67417050000000001</v>
      </c>
      <c r="CV33" s="790">
        <v>1</v>
      </c>
      <c r="CW33" s="790">
        <v>0.67417050000000001</v>
      </c>
      <c r="CX33" s="790">
        <v>0</v>
      </c>
      <c r="CY33" s="789">
        <v>0.67417050000000001</v>
      </c>
      <c r="CZ33" s="789">
        <v>0.67417050000000001</v>
      </c>
      <c r="DA33" s="789">
        <v>0.67417050000000001</v>
      </c>
      <c r="DB33" s="789">
        <v>0.67417050000000001</v>
      </c>
      <c r="DC33" s="790">
        <v>1</v>
      </c>
      <c r="DD33" s="790">
        <v>0.67417050000000001</v>
      </c>
      <c r="DE33" s="790">
        <v>0</v>
      </c>
      <c r="DF33" s="789">
        <v>0.67417050000000001</v>
      </c>
      <c r="DG33" s="789">
        <v>0.67417050000000001</v>
      </c>
      <c r="DH33" s="789">
        <v>0.67417050000000001</v>
      </c>
      <c r="DI33" s="789">
        <v>0.67417050000000001</v>
      </c>
      <c r="DJ33" s="790">
        <v>1</v>
      </c>
      <c r="DK33" s="790">
        <v>0.67417050000000001</v>
      </c>
      <c r="DL33" s="790">
        <v>0</v>
      </c>
      <c r="DM33" s="790">
        <v>0.67417050000000001</v>
      </c>
      <c r="DN33" s="790">
        <v>0.67417050000000001</v>
      </c>
      <c r="DO33" s="847">
        <v>0.67400000000000004</v>
      </c>
      <c r="DP33" s="847">
        <v>0.67400000000000004</v>
      </c>
      <c r="DQ33" s="847">
        <v>0.67400000000000004</v>
      </c>
      <c r="DR33" s="847"/>
      <c r="DS33" s="949"/>
      <c r="DT33" s="853">
        <v>0.67400000000000004</v>
      </c>
      <c r="DU33" s="921" t="s">
        <v>5842</v>
      </c>
      <c r="DV33" s="924" t="s">
        <v>5571</v>
      </c>
      <c r="DX33" s="853">
        <v>0.67400000000000004</v>
      </c>
      <c r="DY33" s="994"/>
      <c r="DZ33" s="994"/>
      <c r="EA33" s="994"/>
      <c r="EB33" s="994"/>
      <c r="EC33" s="932" t="s">
        <v>203</v>
      </c>
      <c r="ED33" s="1007">
        <v>0.31089999999999995</v>
      </c>
      <c r="EE33" s="1007">
        <v>0.56509999999999994</v>
      </c>
      <c r="EF33" s="1007">
        <v>0.56509999999999994</v>
      </c>
      <c r="EG33" s="1007">
        <v>0.56969999999999998</v>
      </c>
      <c r="EH33" s="1007">
        <v>0.49580000000000002</v>
      </c>
    </row>
    <row r="34" spans="2:138" ht="25.05" customHeight="1" outlineLevel="1">
      <c r="B34" s="598">
        <f>HLOOKUP(D34,'FE - Aluminum'!$BS$9:$CA$10,2,FALSE)</f>
        <v>0</v>
      </c>
      <c r="C34" s="598">
        <f>SUMPRODUCT('FE - Aluminum'!BV$36:BV$37,'FE - Aluminum'!$DO$36:$DO$37)</f>
        <v>0</v>
      </c>
      <c r="D34" s="386" t="s">
        <v>548</v>
      </c>
      <c r="E34" s="553">
        <v>51.893079999999998</v>
      </c>
      <c r="F34" s="553">
        <v>31.76</v>
      </c>
      <c r="H34" s="607">
        <f>SUM('FE - Aluminum'!BH16:BH17)/'FE - Aluminum'!AV10/'FE - ACV Aluminum'!K34</f>
        <v>1.4332590260181452E-5</v>
      </c>
      <c r="I34" s="554" t="s">
        <v>5388</v>
      </c>
      <c r="J34" s="558" t="s">
        <v>553</v>
      </c>
      <c r="K34" s="605">
        <f>'FE - Aluminum'!CM26*'FE - ACV Aluminum'!H15+'FE - Aluminum'!CN27*'FE - ACV Aluminum'!H16</f>
        <v>19817.72135</v>
      </c>
      <c r="L34" s="595">
        <f>'FE - Aluminum'!BH16/SUM('FE - Aluminum'!BH16:BH17)*'FE - Aluminum'!DP16+'FE - Aluminum'!BH17/SUM('FE - Aluminum'!BH16:BH17)*'FE - Aluminum'!DP17</f>
        <v>1.6508722075107778</v>
      </c>
      <c r="M34" s="595">
        <f t="shared" si="12"/>
        <v>0.46891255319337194</v>
      </c>
      <c r="N34" s="595">
        <f>'FE - Aluminum'!BH16/SUM('FE - Aluminum'!BH16:BH17)*'FE - Aluminum'!DL16+'FE - Aluminum'!BH17/SUM('FE - Aluminum'!BH16:BH17)*'FE - Aluminum'!DL17</f>
        <v>578.10221357614137</v>
      </c>
      <c r="O34" s="595">
        <f t="shared" si="13"/>
        <v>164.20373651057344</v>
      </c>
      <c r="P34" s="606"/>
      <c r="CL34" s="721">
        <f>+'FE - Aluminum'!M32</f>
        <v>1</v>
      </c>
      <c r="CM34" s="638" t="s">
        <v>5359</v>
      </c>
      <c r="CN34" s="677">
        <f t="shared" si="11"/>
        <v>1</v>
      </c>
      <c r="CO34" s="681">
        <v>27</v>
      </c>
      <c r="CP34" s="767">
        <v>1</v>
      </c>
      <c r="CQ34" s="788" t="s">
        <v>5359</v>
      </c>
      <c r="CR34" s="789">
        <v>0</v>
      </c>
      <c r="CS34" s="789">
        <v>0</v>
      </c>
      <c r="CT34" s="789">
        <v>0</v>
      </c>
      <c r="CU34" s="789">
        <v>0</v>
      </c>
      <c r="CV34" s="789">
        <v>3.1999999999999917E-2</v>
      </c>
      <c r="CW34" s="789">
        <v>3.1999999999999917E-2</v>
      </c>
      <c r="CX34" s="789">
        <v>3.1999999999999917E-2</v>
      </c>
      <c r="CY34" s="789">
        <v>1</v>
      </c>
      <c r="CZ34" s="789">
        <v>1</v>
      </c>
      <c r="DA34" s="789">
        <v>1</v>
      </c>
      <c r="DB34" s="789">
        <v>1</v>
      </c>
      <c r="DC34" s="789">
        <v>1</v>
      </c>
      <c r="DD34" s="789">
        <v>1</v>
      </c>
      <c r="DE34" s="789">
        <v>1</v>
      </c>
      <c r="DF34" s="789">
        <v>1</v>
      </c>
      <c r="DG34" s="789">
        <v>1</v>
      </c>
      <c r="DH34" s="789">
        <v>1</v>
      </c>
      <c r="DI34" s="789">
        <v>1</v>
      </c>
      <c r="DJ34" s="789">
        <v>1</v>
      </c>
      <c r="DK34" s="789">
        <v>1</v>
      </c>
      <c r="DL34" s="789">
        <v>1</v>
      </c>
      <c r="DM34" s="789">
        <v>1</v>
      </c>
      <c r="DN34" s="789">
        <v>1</v>
      </c>
      <c r="DO34" s="850">
        <v>1</v>
      </c>
      <c r="DP34" s="850">
        <v>1</v>
      </c>
      <c r="DQ34" s="850">
        <v>1</v>
      </c>
      <c r="DR34" s="850"/>
      <c r="DS34" s="850"/>
      <c r="DT34" s="854" t="s">
        <v>645</v>
      </c>
      <c r="DU34" s="1216" t="s">
        <v>5843</v>
      </c>
      <c r="DV34" s="924"/>
      <c r="DX34" s="994"/>
      <c r="DY34" s="994"/>
      <c r="DZ34" s="994"/>
      <c r="EA34" s="994"/>
      <c r="EB34" s="994"/>
    </row>
    <row r="35" spans="2:138" ht="25.05" customHeight="1" outlineLevel="1">
      <c r="B35" s="598">
        <f>HLOOKUP(D35,'FE - Aluminum'!$BS$9:$CA$10,2,FALSE)</f>
        <v>0</v>
      </c>
      <c r="C35" s="598">
        <f>SUMPRODUCT('FE - Aluminum'!BW$36:BW$37,'FE - Aluminum'!$DO$36:$DO$37)</f>
        <v>0</v>
      </c>
      <c r="D35" s="386" t="s">
        <v>550</v>
      </c>
      <c r="E35" s="553">
        <v>6.69299</v>
      </c>
      <c r="F35" s="553">
        <v>4.03</v>
      </c>
      <c r="H35" s="607">
        <f>SUM('FE - Aluminum'!BH18:BH19)/'FE - Aluminum'!AV10/'FE - ACV Aluminum'!K35</f>
        <v>0.58200000000000007</v>
      </c>
      <c r="I35" s="554" t="s">
        <v>5388</v>
      </c>
      <c r="J35" s="558" t="s">
        <v>244</v>
      </c>
      <c r="K35" s="605">
        <f>SUMPRODUCT('FE - Aluminum'!CO26:CO27,'FE - Aluminum'!DO26:DO27)</f>
        <v>1.6000000000000003E-3</v>
      </c>
      <c r="L35" s="595">
        <f>SUMPRODUCT('FE - Aluminum'!DO18:DO19,'FE - Aluminum'!DP18:DP19)</f>
        <v>3.6608930457824411</v>
      </c>
      <c r="M35" s="595">
        <f t="shared" si="12"/>
        <v>3.4090236042326103E-3</v>
      </c>
      <c r="N35" s="595">
        <f>SUMPRODUCT('FE - Aluminum'!DO18:DO19,'FE - Aluminum'!DL18:DL19)</f>
        <v>2177.5652243749996</v>
      </c>
      <c r="O35" s="595">
        <f t="shared" si="13"/>
        <v>2.0277487369380003</v>
      </c>
      <c r="P35" s="606"/>
      <c r="CL35" s="721">
        <f>+'FE - Aluminum'!M33</f>
        <v>0</v>
      </c>
      <c r="CM35" s="638" t="s">
        <v>5360</v>
      </c>
      <c r="CN35" s="677">
        <f t="shared" si="11"/>
        <v>0</v>
      </c>
      <c r="CO35" s="681">
        <v>28</v>
      </c>
      <c r="CP35" s="767">
        <v>1</v>
      </c>
      <c r="CQ35" s="788" t="s">
        <v>5360</v>
      </c>
      <c r="CR35" s="789">
        <v>0</v>
      </c>
      <c r="CS35" s="789">
        <v>0.83333333333333337</v>
      </c>
      <c r="CT35" s="789">
        <v>0.83333333333333337</v>
      </c>
      <c r="CU35" s="789">
        <v>0</v>
      </c>
      <c r="CV35" s="789">
        <v>0.1</v>
      </c>
      <c r="CW35" s="789">
        <v>0.1</v>
      </c>
      <c r="CX35" s="789">
        <v>0.1</v>
      </c>
      <c r="CY35" s="789">
        <v>0</v>
      </c>
      <c r="CZ35" s="789">
        <v>0</v>
      </c>
      <c r="DA35" s="789">
        <v>0</v>
      </c>
      <c r="DB35" s="789">
        <v>0</v>
      </c>
      <c r="DC35" s="789">
        <v>0</v>
      </c>
      <c r="DD35" s="789">
        <v>0</v>
      </c>
      <c r="DE35" s="789">
        <v>0</v>
      </c>
      <c r="DF35" s="789">
        <v>0</v>
      </c>
      <c r="DG35" s="789">
        <v>0</v>
      </c>
      <c r="DH35" s="789">
        <v>0</v>
      </c>
      <c r="DI35" s="789">
        <v>0</v>
      </c>
      <c r="DJ35" s="789">
        <v>0</v>
      </c>
      <c r="DK35" s="789">
        <v>0</v>
      </c>
      <c r="DL35" s="789">
        <v>0</v>
      </c>
      <c r="DM35" s="789">
        <v>0</v>
      </c>
      <c r="DN35" s="789">
        <v>0</v>
      </c>
      <c r="DO35" s="850">
        <v>0</v>
      </c>
      <c r="DP35" s="850">
        <v>0</v>
      </c>
      <c r="DQ35" s="850">
        <v>0</v>
      </c>
      <c r="DR35" s="850"/>
      <c r="DS35" s="850"/>
      <c r="DT35" s="854" t="s">
        <v>645</v>
      </c>
      <c r="DU35" s="1217"/>
      <c r="DV35" s="924"/>
      <c r="DX35" s="994"/>
      <c r="DY35" s="994"/>
      <c r="DZ35" s="994"/>
      <c r="EA35" s="994"/>
      <c r="EB35" s="994"/>
    </row>
    <row r="36" spans="2:138" ht="25.05" customHeight="1" outlineLevel="1">
      <c r="B36" s="598">
        <f>HLOOKUP(D36,'FE - Aluminum'!$BS$9:$CA$10,2,FALSE)</f>
        <v>0</v>
      </c>
      <c r="C36" s="598">
        <f>SUMPRODUCT('FE - Aluminum'!BX$36:BX$37,'FE - Aluminum'!$DO$36:$DO$37)</f>
        <v>0</v>
      </c>
      <c r="D36" s="386" t="s">
        <v>551</v>
      </c>
      <c r="E36" s="553">
        <v>18.1251</v>
      </c>
      <c r="F36" s="553">
        <v>13.08</v>
      </c>
      <c r="H36" s="607">
        <f>'FE - Aluminum'!BH20/'FE - Aluminum'!AV10/'FE - ACV Aluminum'!K36</f>
        <v>1.5014074852373559E-5</v>
      </c>
      <c r="I36" s="554" t="s">
        <v>5388</v>
      </c>
      <c r="J36" s="558" t="s">
        <v>509</v>
      </c>
      <c r="K36" s="605">
        <f>SUMPRODUCT('FE - Aluminum'!CP26:CP27,'FE - ACV Aluminum'!H15:H16)</f>
        <v>810.24508800000001</v>
      </c>
      <c r="L36" s="595">
        <f>VLOOKUP(J36,'FE - Aluminum'!$E$11:$DP$54,112,FALSE)</f>
        <v>1291.5303336666666</v>
      </c>
      <c r="M36" s="595">
        <f t="shared" si="12"/>
        <v>15.711570348093828</v>
      </c>
      <c r="N36" s="595">
        <f>VLOOKUP(J36,'FE - Aluminum'!$E$11:$DP$54,108,FALSE)</f>
        <v>0</v>
      </c>
      <c r="O36" s="595">
        <f t="shared" si="13"/>
        <v>0</v>
      </c>
      <c r="P36" s="606"/>
      <c r="CL36" s="721">
        <f>+'FE - Aluminum'!M34</f>
        <v>0</v>
      </c>
      <c r="CM36" s="638" t="s">
        <v>5361</v>
      </c>
      <c r="CN36" s="677">
        <f t="shared" si="11"/>
        <v>0</v>
      </c>
      <c r="CO36" s="681">
        <v>29</v>
      </c>
      <c r="CP36" s="767">
        <v>1</v>
      </c>
      <c r="CQ36" s="788" t="s">
        <v>5361</v>
      </c>
      <c r="CR36" s="789">
        <v>1</v>
      </c>
      <c r="CS36" s="789">
        <v>0</v>
      </c>
      <c r="CT36" s="789">
        <v>0</v>
      </c>
      <c r="CU36" s="789">
        <v>0</v>
      </c>
      <c r="CV36" s="789">
        <v>0.24399999999999999</v>
      </c>
      <c r="CW36" s="789">
        <v>0.24399999999999999</v>
      </c>
      <c r="CX36" s="789">
        <v>0.24399999999999999</v>
      </c>
      <c r="CY36" s="789">
        <v>0</v>
      </c>
      <c r="CZ36" s="789">
        <v>0</v>
      </c>
      <c r="DA36" s="789">
        <v>0</v>
      </c>
      <c r="DB36" s="789">
        <v>0</v>
      </c>
      <c r="DC36" s="789">
        <v>0</v>
      </c>
      <c r="DD36" s="789">
        <v>0</v>
      </c>
      <c r="DE36" s="789">
        <v>0</v>
      </c>
      <c r="DF36" s="789">
        <v>0</v>
      </c>
      <c r="DG36" s="789">
        <v>0</v>
      </c>
      <c r="DH36" s="789">
        <v>0</v>
      </c>
      <c r="DI36" s="789">
        <v>0</v>
      </c>
      <c r="DJ36" s="789">
        <v>0</v>
      </c>
      <c r="DK36" s="789">
        <v>0</v>
      </c>
      <c r="DL36" s="789">
        <v>0</v>
      </c>
      <c r="DM36" s="789">
        <v>0</v>
      </c>
      <c r="DN36" s="789">
        <v>0</v>
      </c>
      <c r="DO36" s="850">
        <v>0</v>
      </c>
      <c r="DP36" s="850">
        <v>0</v>
      </c>
      <c r="DQ36" s="850">
        <v>0</v>
      </c>
      <c r="DR36" s="850"/>
      <c r="DS36" s="850"/>
      <c r="DT36" s="854" t="s">
        <v>645</v>
      </c>
      <c r="DU36" s="1217"/>
      <c r="DV36" s="924"/>
      <c r="DX36" s="994"/>
      <c r="DY36" s="994"/>
      <c r="DZ36" s="994"/>
      <c r="EA36" s="994"/>
      <c r="EB36" s="994"/>
    </row>
    <row r="37" spans="2:138" ht="25.05" customHeight="1" outlineLevel="1">
      <c r="B37" s="598">
        <f>HLOOKUP(D37,'FE - Aluminum'!$BS$9:$CA$10,2,FALSE)</f>
        <v>0</v>
      </c>
      <c r="C37" s="598">
        <f>SUMPRODUCT('FE - Aluminum'!BY$36:BY$37,'FE - Aluminum'!$DO$36:$DO$37)</f>
        <v>0</v>
      </c>
      <c r="D37" s="386" t="s">
        <v>5372</v>
      </c>
      <c r="E37" s="553">
        <v>47.512230000000002</v>
      </c>
      <c r="F37" s="553">
        <v>54.241999999999997</v>
      </c>
      <c r="CL37" s="721">
        <f>+'FE - Aluminum'!M35</f>
        <v>0</v>
      </c>
      <c r="CM37" s="638" t="s">
        <v>5362</v>
      </c>
      <c r="CN37" s="677">
        <f t="shared" si="11"/>
        <v>0</v>
      </c>
      <c r="CO37" s="681">
        <v>30</v>
      </c>
      <c r="CP37" s="767">
        <v>1</v>
      </c>
      <c r="CQ37" s="788" t="s">
        <v>5362</v>
      </c>
      <c r="CR37" s="789">
        <v>0</v>
      </c>
      <c r="CS37" s="789">
        <v>0.16666666666666663</v>
      </c>
      <c r="CT37" s="789">
        <v>0.16666666666666663</v>
      </c>
      <c r="CU37" s="789">
        <v>0</v>
      </c>
      <c r="CV37" s="789">
        <v>2.4E-2</v>
      </c>
      <c r="CW37" s="789">
        <v>2.4E-2</v>
      </c>
      <c r="CX37" s="789">
        <v>2.4E-2</v>
      </c>
      <c r="CY37" s="789">
        <v>0</v>
      </c>
      <c r="CZ37" s="789">
        <v>0</v>
      </c>
      <c r="DA37" s="789">
        <v>0</v>
      </c>
      <c r="DB37" s="789">
        <v>0</v>
      </c>
      <c r="DC37" s="789">
        <v>0</v>
      </c>
      <c r="DD37" s="789">
        <v>0</v>
      </c>
      <c r="DE37" s="789">
        <v>0</v>
      </c>
      <c r="DF37" s="789">
        <v>0</v>
      </c>
      <c r="DG37" s="789">
        <v>0</v>
      </c>
      <c r="DH37" s="789">
        <v>0</v>
      </c>
      <c r="DI37" s="789">
        <v>0</v>
      </c>
      <c r="DJ37" s="789">
        <v>0</v>
      </c>
      <c r="DK37" s="789">
        <v>0</v>
      </c>
      <c r="DL37" s="789">
        <v>0</v>
      </c>
      <c r="DM37" s="789">
        <v>0</v>
      </c>
      <c r="DN37" s="789">
        <v>0</v>
      </c>
      <c r="DO37" s="850">
        <v>0</v>
      </c>
      <c r="DP37" s="850">
        <v>0</v>
      </c>
      <c r="DQ37" s="850">
        <v>0</v>
      </c>
      <c r="DR37" s="850"/>
      <c r="DS37" s="850"/>
      <c r="DT37" s="854" t="s">
        <v>645</v>
      </c>
      <c r="DU37" s="1217"/>
      <c r="DV37" s="924"/>
      <c r="DX37" s="994"/>
      <c r="DY37" s="994"/>
      <c r="DZ37" s="994"/>
      <c r="EA37" s="994"/>
      <c r="EB37" s="994"/>
    </row>
    <row r="38" spans="2:138" ht="25.05" customHeight="1" outlineLevel="1">
      <c r="B38" s="598">
        <f>HLOOKUP(D38,'FE - Aluminum'!$BS$9:$CA$10,2,FALSE)</f>
        <v>0</v>
      </c>
      <c r="C38" s="598">
        <f>SUMPRODUCT('FE - Aluminum'!BZ$36:BZ$37,'FE - Aluminum'!$DO$36:$DO$37)</f>
        <v>0</v>
      </c>
      <c r="D38" s="386" t="s">
        <v>5371</v>
      </c>
      <c r="E38" s="553">
        <v>22.863710000000001</v>
      </c>
      <c r="F38" s="553">
        <v>22.863710000000001</v>
      </c>
      <c r="CL38" s="721">
        <f>+'FE - Aluminum'!M36</f>
        <v>0</v>
      </c>
      <c r="CM38" s="638" t="s">
        <v>5476</v>
      </c>
      <c r="CN38" s="677">
        <f t="shared" si="11"/>
        <v>0</v>
      </c>
      <c r="CO38" s="681">
        <v>31</v>
      </c>
      <c r="CP38" s="767">
        <v>1</v>
      </c>
      <c r="CQ38" s="788" t="s">
        <v>5476</v>
      </c>
      <c r="CR38" s="789">
        <v>0</v>
      </c>
      <c r="CS38" s="789">
        <v>0</v>
      </c>
      <c r="CT38" s="789">
        <v>0</v>
      </c>
      <c r="CU38" s="789">
        <v>0.75</v>
      </c>
      <c r="CV38" s="789">
        <v>0.45</v>
      </c>
      <c r="CW38" s="789">
        <v>0.45</v>
      </c>
      <c r="CX38" s="789">
        <v>0.45</v>
      </c>
      <c r="CY38" s="789">
        <v>0</v>
      </c>
      <c r="CZ38" s="789">
        <v>0</v>
      </c>
      <c r="DA38" s="789">
        <v>0</v>
      </c>
      <c r="DB38" s="789">
        <v>0</v>
      </c>
      <c r="DC38" s="789">
        <v>0</v>
      </c>
      <c r="DD38" s="789">
        <v>0</v>
      </c>
      <c r="DE38" s="789">
        <v>0</v>
      </c>
      <c r="DF38" s="789">
        <v>0</v>
      </c>
      <c r="DG38" s="789">
        <v>0</v>
      </c>
      <c r="DH38" s="789">
        <v>0</v>
      </c>
      <c r="DI38" s="789">
        <v>0</v>
      </c>
      <c r="DJ38" s="789">
        <v>0</v>
      </c>
      <c r="DK38" s="789">
        <v>0</v>
      </c>
      <c r="DL38" s="789">
        <v>0</v>
      </c>
      <c r="DM38" s="789">
        <v>0</v>
      </c>
      <c r="DN38" s="789">
        <v>0</v>
      </c>
      <c r="DO38" s="850">
        <v>0</v>
      </c>
      <c r="DP38" s="850">
        <v>0</v>
      </c>
      <c r="DQ38" s="850">
        <v>0</v>
      </c>
      <c r="DR38" s="850"/>
      <c r="DS38" s="850"/>
      <c r="DT38" s="854" t="s">
        <v>645</v>
      </c>
      <c r="DU38" s="1217"/>
      <c r="DV38" s="924"/>
      <c r="DX38" s="994"/>
      <c r="DY38" s="994"/>
      <c r="DZ38" s="994"/>
      <c r="EA38" s="994"/>
      <c r="EB38" s="994"/>
    </row>
    <row r="39" spans="2:138" ht="25.05" customHeight="1" outlineLevel="1">
      <c r="B39" s="618">
        <f>HLOOKUP(D39,'FE - Aluminum'!$BS$9:$CA$10,2,FALSE)</f>
        <v>0</v>
      </c>
      <c r="C39" s="618">
        <f>SUMPRODUCT('FE - Aluminum'!CA$36:CA$37,'FE - Aluminum'!$DO$36:$DO$37)</f>
        <v>0</v>
      </c>
      <c r="D39" s="386" t="s">
        <v>549</v>
      </c>
      <c r="E39" s="623">
        <v>2.6684199999999998</v>
      </c>
      <c r="F39" s="553">
        <v>2.58</v>
      </c>
      <c r="CL39" s="721">
        <f>+'FE - Aluminum'!M37</f>
        <v>0</v>
      </c>
      <c r="CM39" s="638" t="s">
        <v>5477</v>
      </c>
      <c r="CN39" s="677">
        <f t="shared" si="11"/>
        <v>0</v>
      </c>
      <c r="CO39" s="681">
        <v>32</v>
      </c>
      <c r="CP39" s="767">
        <v>1</v>
      </c>
      <c r="CQ39" s="788" t="s">
        <v>5477</v>
      </c>
      <c r="CR39" s="789">
        <v>0</v>
      </c>
      <c r="CS39" s="789">
        <v>0</v>
      </c>
      <c r="CT39" s="789">
        <v>0</v>
      </c>
      <c r="CU39" s="789">
        <v>0.25</v>
      </c>
      <c r="CV39" s="789">
        <v>0.15</v>
      </c>
      <c r="CW39" s="789">
        <v>0.15</v>
      </c>
      <c r="CX39" s="789">
        <v>0.15</v>
      </c>
      <c r="CY39" s="789">
        <v>0</v>
      </c>
      <c r="CZ39" s="789">
        <v>0</v>
      </c>
      <c r="DA39" s="789">
        <v>0</v>
      </c>
      <c r="DB39" s="789">
        <v>0</v>
      </c>
      <c r="DC39" s="789">
        <v>0</v>
      </c>
      <c r="DD39" s="789">
        <v>0</v>
      </c>
      <c r="DE39" s="789">
        <v>0</v>
      </c>
      <c r="DF39" s="789">
        <v>0</v>
      </c>
      <c r="DG39" s="789">
        <v>0</v>
      </c>
      <c r="DH39" s="789">
        <v>0</v>
      </c>
      <c r="DI39" s="789">
        <v>0</v>
      </c>
      <c r="DJ39" s="789">
        <v>0</v>
      </c>
      <c r="DK39" s="789">
        <v>0</v>
      </c>
      <c r="DL39" s="789">
        <v>0</v>
      </c>
      <c r="DM39" s="789">
        <v>0</v>
      </c>
      <c r="DN39" s="789">
        <v>0</v>
      </c>
      <c r="DO39" s="850">
        <v>0</v>
      </c>
      <c r="DP39" s="850">
        <v>0</v>
      </c>
      <c r="DQ39" s="850">
        <v>0</v>
      </c>
      <c r="DR39" s="850"/>
      <c r="DS39" s="850"/>
      <c r="DT39" s="854" t="s">
        <v>645</v>
      </c>
      <c r="DU39" s="1218"/>
      <c r="DV39" s="924"/>
      <c r="DX39" s="994"/>
      <c r="DY39" s="994"/>
      <c r="DZ39" s="994"/>
      <c r="EA39" s="994"/>
      <c r="EB39" s="994"/>
    </row>
    <row r="40" spans="2:138" ht="25.05" customHeight="1" outlineLevel="1">
      <c r="B40" s="602">
        <f>SUMPRODUCT(B31:B39,F31:F39)</f>
        <v>0</v>
      </c>
      <c r="C40" s="602">
        <f>SUMPRODUCT(C31:C39,F31:F39)</f>
        <v>0</v>
      </c>
      <c r="D40" s="616" t="s">
        <v>5485</v>
      </c>
      <c r="E40" s="204" t="s">
        <v>451</v>
      </c>
      <c r="CL40" s="721">
        <f>'FE - Aluminum'!DO41</f>
        <v>0.26500000000000001</v>
      </c>
      <c r="CM40" s="638" t="s">
        <v>557</v>
      </c>
      <c r="CN40" s="677">
        <f t="shared" si="11"/>
        <v>0.26500000000000001</v>
      </c>
      <c r="CO40" s="681">
        <v>33</v>
      </c>
      <c r="CP40" s="766">
        <v>2</v>
      </c>
      <c r="CQ40" s="788" t="s">
        <v>557</v>
      </c>
      <c r="CR40" s="789">
        <v>0</v>
      </c>
      <c r="CS40" s="789">
        <v>1</v>
      </c>
      <c r="CT40" s="789">
        <v>1</v>
      </c>
      <c r="CU40" s="789">
        <v>0</v>
      </c>
      <c r="CV40" s="790">
        <v>0.26494000000000001</v>
      </c>
      <c r="CW40" s="790">
        <v>0.26494000000000001</v>
      </c>
      <c r="CX40" s="790">
        <v>0.26494000000000001</v>
      </c>
      <c r="CY40" s="789">
        <v>0</v>
      </c>
      <c r="CZ40" s="789">
        <v>1</v>
      </c>
      <c r="DA40" s="789">
        <v>1</v>
      </c>
      <c r="DB40" s="789">
        <v>0</v>
      </c>
      <c r="DC40" s="790">
        <v>0.26494000000000001</v>
      </c>
      <c r="DD40" s="790">
        <v>0.26494000000000001</v>
      </c>
      <c r="DE40" s="790">
        <v>0.26494000000000001</v>
      </c>
      <c r="DF40" s="789">
        <v>0</v>
      </c>
      <c r="DG40" s="789">
        <v>1</v>
      </c>
      <c r="DH40" s="789">
        <v>1</v>
      </c>
      <c r="DI40" s="789">
        <v>0</v>
      </c>
      <c r="DJ40" s="790">
        <v>0.26494000000000001</v>
      </c>
      <c r="DK40" s="790">
        <v>0.26494000000000001</v>
      </c>
      <c r="DL40" s="790">
        <v>0.26494000000000001</v>
      </c>
      <c r="DM40" s="790">
        <v>0.26494000000000001</v>
      </c>
      <c r="DN40" s="790">
        <v>0.26494000000000001</v>
      </c>
      <c r="DO40" s="802">
        <v>0.26500000000000001</v>
      </c>
      <c r="DP40" s="802">
        <v>0.26500000000000001</v>
      </c>
      <c r="DQ40" s="802">
        <v>0.26500000000000001</v>
      </c>
      <c r="DR40" s="917"/>
      <c r="DS40" s="917"/>
      <c r="DT40" s="850">
        <v>0.26500000000000001</v>
      </c>
      <c r="DU40" s="1216" t="s">
        <v>5844</v>
      </c>
      <c r="DV40" s="924" t="s">
        <v>5572</v>
      </c>
      <c r="DX40" s="994"/>
      <c r="DY40" s="994"/>
      <c r="DZ40" s="994"/>
      <c r="EA40" s="994"/>
      <c r="EB40" s="994"/>
    </row>
    <row r="41" spans="2:138" ht="25.05" customHeight="1" outlineLevel="1">
      <c r="B41" s="602">
        <f>SUMPRODUCT(B31:B39,E31:E39)</f>
        <v>0</v>
      </c>
      <c r="C41" s="602">
        <f>SUMPRODUCT(C31:C39,E31:E39)</f>
        <v>0</v>
      </c>
      <c r="D41" s="616" t="s">
        <v>5485</v>
      </c>
      <c r="E41" s="204" t="s">
        <v>150</v>
      </c>
      <c r="CL41" s="721">
        <f>'FE - Aluminum'!DO42</f>
        <v>0.13500000000000001</v>
      </c>
      <c r="CM41" s="638" t="s">
        <v>525</v>
      </c>
      <c r="CN41" s="677">
        <f t="shared" si="11"/>
        <v>0.13500000000000001</v>
      </c>
      <c r="CO41" s="681">
        <v>34</v>
      </c>
      <c r="CP41" s="766">
        <v>2</v>
      </c>
      <c r="CQ41" s="788" t="s">
        <v>525</v>
      </c>
      <c r="CR41" s="789">
        <v>1</v>
      </c>
      <c r="CS41" s="789">
        <v>0</v>
      </c>
      <c r="CT41" s="789">
        <v>0</v>
      </c>
      <c r="CU41" s="789">
        <v>0</v>
      </c>
      <c r="CV41" s="790">
        <v>0.13545800000000008</v>
      </c>
      <c r="CW41" s="790">
        <v>0.13545800000000008</v>
      </c>
      <c r="CX41" s="790">
        <v>0.13545800000000008</v>
      </c>
      <c r="CY41" s="789">
        <v>1</v>
      </c>
      <c r="CZ41" s="789">
        <v>0</v>
      </c>
      <c r="DA41" s="789">
        <v>0</v>
      </c>
      <c r="DB41" s="789">
        <v>0</v>
      </c>
      <c r="DC41" s="790">
        <v>0.13545800000000008</v>
      </c>
      <c r="DD41" s="790">
        <v>0.13545800000000008</v>
      </c>
      <c r="DE41" s="790">
        <v>0.13545800000000008</v>
      </c>
      <c r="DF41" s="789">
        <v>1</v>
      </c>
      <c r="DG41" s="789">
        <v>0</v>
      </c>
      <c r="DH41" s="789">
        <v>0</v>
      </c>
      <c r="DI41" s="789">
        <v>0</v>
      </c>
      <c r="DJ41" s="790">
        <v>0.13545800000000008</v>
      </c>
      <c r="DK41" s="790">
        <v>0.13545800000000008</v>
      </c>
      <c r="DL41" s="790">
        <v>0.13545800000000008</v>
      </c>
      <c r="DM41" s="790">
        <v>0.13545800000000008</v>
      </c>
      <c r="DN41" s="790">
        <v>0.13545800000000008</v>
      </c>
      <c r="DO41" s="802">
        <v>0.13500000000000001</v>
      </c>
      <c r="DP41" s="802">
        <v>0.13500000000000001</v>
      </c>
      <c r="DQ41" s="802">
        <v>0.13500000000000001</v>
      </c>
      <c r="DR41" s="917"/>
      <c r="DS41" s="917"/>
      <c r="DT41" s="850">
        <v>0.13500000000000001</v>
      </c>
      <c r="DU41" s="1217"/>
      <c r="DV41" s="924" t="s">
        <v>5573</v>
      </c>
      <c r="DX41" s="994"/>
      <c r="DY41" s="994"/>
      <c r="DZ41" s="994"/>
      <c r="EA41" s="994"/>
      <c r="EB41" s="994"/>
    </row>
    <row r="42" spans="2:138" ht="25.05" customHeight="1" outlineLevel="1">
      <c r="CL42" s="721">
        <f>+'FE - Aluminum'!DO45</f>
        <v>0.6</v>
      </c>
      <c r="CM42" s="638" t="s">
        <v>5475</v>
      </c>
      <c r="CN42" s="677">
        <f t="shared" si="11"/>
        <v>0.6</v>
      </c>
      <c r="CO42" s="681">
        <v>35</v>
      </c>
      <c r="CP42" s="766">
        <v>2</v>
      </c>
      <c r="CQ42" s="788" t="s">
        <v>5475</v>
      </c>
      <c r="CR42" s="789">
        <v>0</v>
      </c>
      <c r="CS42" s="789">
        <v>0</v>
      </c>
      <c r="CT42" s="789">
        <v>0</v>
      </c>
      <c r="CU42" s="789">
        <v>1</v>
      </c>
      <c r="CV42" s="790">
        <v>0.59960199999999997</v>
      </c>
      <c r="CW42" s="790">
        <v>0.59960199999999997</v>
      </c>
      <c r="CX42" s="790">
        <v>0.59960199999999997</v>
      </c>
      <c r="CY42" s="789">
        <v>0</v>
      </c>
      <c r="CZ42" s="789">
        <v>0</v>
      </c>
      <c r="DA42" s="789">
        <v>0</v>
      </c>
      <c r="DB42" s="789">
        <v>1</v>
      </c>
      <c r="DC42" s="790">
        <v>0.59960199999999997</v>
      </c>
      <c r="DD42" s="790">
        <v>0.59960199999999997</v>
      </c>
      <c r="DE42" s="790">
        <v>0.59960199999999997</v>
      </c>
      <c r="DF42" s="789">
        <v>0</v>
      </c>
      <c r="DG42" s="789">
        <v>0</v>
      </c>
      <c r="DH42" s="789">
        <v>0</v>
      </c>
      <c r="DI42" s="789">
        <v>1</v>
      </c>
      <c r="DJ42" s="790">
        <v>0.59960199999999997</v>
      </c>
      <c r="DK42" s="790">
        <v>0.59960199999999997</v>
      </c>
      <c r="DL42" s="790">
        <v>0.59960199999999997</v>
      </c>
      <c r="DM42" s="790">
        <v>0.59960199999999997</v>
      </c>
      <c r="DN42" s="790">
        <v>0.59960199999999997</v>
      </c>
      <c r="DO42" s="803">
        <v>0.6</v>
      </c>
      <c r="DP42" s="803">
        <v>0.6</v>
      </c>
      <c r="DQ42" s="803">
        <v>0.6</v>
      </c>
      <c r="DR42" s="918"/>
      <c r="DS42" s="918"/>
      <c r="DT42" s="850">
        <v>0.6</v>
      </c>
      <c r="DU42" s="1218"/>
      <c r="DV42" s="924" t="s">
        <v>5574</v>
      </c>
      <c r="DX42" s="994"/>
      <c r="DY42" s="994"/>
      <c r="DZ42" s="994"/>
      <c r="EA42" s="994"/>
      <c r="EB42" s="994"/>
    </row>
    <row r="43" spans="2:138" ht="25.05" customHeight="1" outlineLevel="1">
      <c r="CL43" s="721">
        <f>+'FE - Aluminum'!DO46</f>
        <v>1</v>
      </c>
      <c r="CM43" s="638" t="s">
        <v>526</v>
      </c>
      <c r="CN43" s="677">
        <f t="shared" si="11"/>
        <v>1</v>
      </c>
      <c r="CO43" s="681">
        <v>36</v>
      </c>
      <c r="CP43" s="768">
        <v>4</v>
      </c>
      <c r="CQ43" s="788" t="s">
        <v>526</v>
      </c>
      <c r="CR43" s="789">
        <v>0.8</v>
      </c>
      <c r="CS43" s="789">
        <v>0.8</v>
      </c>
      <c r="CT43" s="789">
        <v>0.30000000000000004</v>
      </c>
      <c r="CU43" s="789">
        <v>0.55000000000000004</v>
      </c>
      <c r="CV43" s="789">
        <v>0.20000000000000007</v>
      </c>
      <c r="CW43" s="789">
        <v>0.20000000000000007</v>
      </c>
      <c r="CX43" s="789">
        <v>0.20000000000000007</v>
      </c>
      <c r="CY43" s="789">
        <v>0.8</v>
      </c>
      <c r="CZ43" s="789">
        <v>0.8</v>
      </c>
      <c r="DA43" s="789">
        <v>0.30000000000000004</v>
      </c>
      <c r="DB43" s="789">
        <v>0.55000000000000004</v>
      </c>
      <c r="DC43" s="789">
        <v>0.20000000000000007</v>
      </c>
      <c r="DD43" s="789">
        <v>0.20000000000000007</v>
      </c>
      <c r="DE43" s="789">
        <v>0.20000000000000007</v>
      </c>
      <c r="DF43" s="789">
        <v>0.8</v>
      </c>
      <c r="DG43" s="789">
        <v>0.8</v>
      </c>
      <c r="DH43" s="789">
        <v>0.30000000000000004</v>
      </c>
      <c r="DI43" s="789">
        <v>0.55000000000000004</v>
      </c>
      <c r="DJ43" s="789">
        <v>1</v>
      </c>
      <c r="DK43" s="789">
        <v>0.20000000000000007</v>
      </c>
      <c r="DL43" s="789">
        <v>0.20000000000000007</v>
      </c>
      <c r="DM43" s="850">
        <v>1</v>
      </c>
      <c r="DN43" s="850">
        <v>1</v>
      </c>
      <c r="DO43" s="801">
        <v>1</v>
      </c>
      <c r="DP43" s="801">
        <v>1</v>
      </c>
      <c r="DQ43" s="801">
        <v>1</v>
      </c>
      <c r="DR43" s="919"/>
      <c r="DS43" s="919"/>
      <c r="DT43" s="850">
        <v>0.20000000000000007</v>
      </c>
      <c r="DU43" s="1219" t="s">
        <v>5842</v>
      </c>
      <c r="DV43" s="924"/>
      <c r="DX43" s="1002">
        <v>0.20000000000000007</v>
      </c>
      <c r="DY43" s="994"/>
      <c r="DZ43" s="994"/>
      <c r="EA43" s="994"/>
      <c r="EB43" s="994"/>
    </row>
    <row r="44" spans="2:138" ht="25.05" customHeight="1" outlineLevel="1">
      <c r="CL44" s="721">
        <f>+'FE - Aluminum'!DO47</f>
        <v>0</v>
      </c>
      <c r="CM44" s="638" t="s">
        <v>196</v>
      </c>
      <c r="CN44" s="677">
        <f t="shared" si="11"/>
        <v>0</v>
      </c>
      <c r="CO44" s="681">
        <v>37</v>
      </c>
      <c r="CP44" s="768">
        <v>4</v>
      </c>
      <c r="CQ44" s="788" t="s">
        <v>196</v>
      </c>
      <c r="CR44" s="789">
        <v>0</v>
      </c>
      <c r="CS44" s="789">
        <v>0</v>
      </c>
      <c r="CT44" s="789">
        <v>1</v>
      </c>
      <c r="CU44" s="789">
        <v>0</v>
      </c>
      <c r="CV44" s="789">
        <v>0.35</v>
      </c>
      <c r="CW44" s="789">
        <v>0.35</v>
      </c>
      <c r="CX44" s="789">
        <v>0.35</v>
      </c>
      <c r="CY44" s="789">
        <v>0</v>
      </c>
      <c r="CZ44" s="789">
        <v>0</v>
      </c>
      <c r="DA44" s="789">
        <v>1</v>
      </c>
      <c r="DB44" s="789">
        <v>0</v>
      </c>
      <c r="DC44" s="789">
        <v>0.35</v>
      </c>
      <c r="DD44" s="789">
        <v>0.35</v>
      </c>
      <c r="DE44" s="789">
        <v>0.35</v>
      </c>
      <c r="DF44" s="789">
        <v>0</v>
      </c>
      <c r="DG44" s="789">
        <v>0</v>
      </c>
      <c r="DH44" s="789">
        <v>1</v>
      </c>
      <c r="DI44" s="789">
        <v>0</v>
      </c>
      <c r="DJ44" s="789">
        <v>0</v>
      </c>
      <c r="DK44" s="789">
        <v>0.35</v>
      </c>
      <c r="DL44" s="789">
        <v>0.35</v>
      </c>
      <c r="DM44" s="850">
        <v>0</v>
      </c>
      <c r="DN44" s="850">
        <v>0</v>
      </c>
      <c r="DO44" s="801">
        <v>0</v>
      </c>
      <c r="DP44" s="801">
        <v>0</v>
      </c>
      <c r="DQ44" s="801">
        <v>0</v>
      </c>
      <c r="DR44" s="919"/>
      <c r="DS44" s="919"/>
      <c r="DT44" s="850">
        <v>0.35</v>
      </c>
      <c r="DU44" s="1220"/>
      <c r="DV44" s="924"/>
      <c r="DX44" s="1002">
        <v>0.35</v>
      </c>
      <c r="DY44" s="994"/>
      <c r="DZ44" s="994"/>
      <c r="EA44" s="994"/>
      <c r="EB44" s="994"/>
    </row>
    <row r="45" spans="2:138" ht="25.05" customHeight="1" outlineLevel="1">
      <c r="CL45" s="721">
        <f>+'FE - Aluminum'!DO48</f>
        <v>0</v>
      </c>
      <c r="CM45" s="638" t="s">
        <v>5193</v>
      </c>
      <c r="CN45" s="677">
        <f t="shared" si="11"/>
        <v>0</v>
      </c>
      <c r="CO45" s="681">
        <v>38</v>
      </c>
      <c r="CP45" s="768">
        <v>4</v>
      </c>
      <c r="CQ45" s="788" t="s">
        <v>5193</v>
      </c>
      <c r="CR45" s="789">
        <v>0.1</v>
      </c>
      <c r="CS45" s="789">
        <v>0.1</v>
      </c>
      <c r="CT45" s="789">
        <v>0.1</v>
      </c>
      <c r="CU45" s="789">
        <v>0.1</v>
      </c>
      <c r="CV45" s="789">
        <v>0.1</v>
      </c>
      <c r="CW45" s="789">
        <v>0.1</v>
      </c>
      <c r="CX45" s="789">
        <v>0.1</v>
      </c>
      <c r="CY45" s="789">
        <v>0.1</v>
      </c>
      <c r="CZ45" s="789">
        <v>0.1</v>
      </c>
      <c r="DA45" s="789">
        <v>0.1</v>
      </c>
      <c r="DB45" s="789">
        <v>0.1</v>
      </c>
      <c r="DC45" s="789">
        <v>0.1</v>
      </c>
      <c r="DD45" s="789">
        <v>0.1</v>
      </c>
      <c r="DE45" s="789">
        <v>0.1</v>
      </c>
      <c r="DF45" s="789">
        <v>0.1</v>
      </c>
      <c r="DG45" s="789">
        <v>0.1</v>
      </c>
      <c r="DH45" s="789">
        <v>0.1</v>
      </c>
      <c r="DI45" s="789">
        <v>0.1</v>
      </c>
      <c r="DJ45" s="789">
        <v>0</v>
      </c>
      <c r="DK45" s="789">
        <v>0.1</v>
      </c>
      <c r="DL45" s="789">
        <v>0.1</v>
      </c>
      <c r="DM45" s="850">
        <v>0</v>
      </c>
      <c r="DN45" s="850">
        <v>0</v>
      </c>
      <c r="DO45" s="801">
        <v>0</v>
      </c>
      <c r="DP45" s="801">
        <v>0</v>
      </c>
      <c r="DQ45" s="801">
        <v>0</v>
      </c>
      <c r="DR45" s="919"/>
      <c r="DS45" s="919"/>
      <c r="DT45" s="850">
        <v>0.1</v>
      </c>
      <c r="DU45" s="1220"/>
      <c r="DV45" s="924"/>
      <c r="DX45" s="1002">
        <v>0.1</v>
      </c>
      <c r="DY45" s="994"/>
      <c r="DZ45" s="994"/>
      <c r="EA45" s="994"/>
      <c r="EB45" s="994"/>
    </row>
    <row r="46" spans="2:138" ht="25.05" customHeight="1" outlineLevel="1">
      <c r="CL46" s="721">
        <f>+'FE - Aluminum'!DO49</f>
        <v>0</v>
      </c>
      <c r="CM46" s="638" t="s">
        <v>5210</v>
      </c>
      <c r="CN46" s="677">
        <f t="shared" si="11"/>
        <v>0</v>
      </c>
      <c r="CO46" s="681">
        <v>39</v>
      </c>
      <c r="CP46" s="768">
        <v>4</v>
      </c>
      <c r="CQ46" s="788" t="s">
        <v>5210</v>
      </c>
      <c r="CR46" s="789">
        <v>0</v>
      </c>
      <c r="CS46" s="789">
        <v>0</v>
      </c>
      <c r="CT46" s="789">
        <v>0</v>
      </c>
      <c r="CU46" s="789">
        <v>0.15</v>
      </c>
      <c r="CV46" s="789">
        <v>0.15</v>
      </c>
      <c r="CW46" s="789">
        <v>0.15</v>
      </c>
      <c r="CX46" s="789">
        <v>0.15</v>
      </c>
      <c r="CY46" s="789">
        <v>0</v>
      </c>
      <c r="CZ46" s="789">
        <v>0</v>
      </c>
      <c r="DA46" s="789">
        <v>0</v>
      </c>
      <c r="DB46" s="789">
        <v>0.15</v>
      </c>
      <c r="DC46" s="789">
        <v>0.15</v>
      </c>
      <c r="DD46" s="789">
        <v>0.15</v>
      </c>
      <c r="DE46" s="789">
        <v>0.15</v>
      </c>
      <c r="DF46" s="789">
        <v>0</v>
      </c>
      <c r="DG46" s="789">
        <v>0</v>
      </c>
      <c r="DH46" s="789">
        <v>0</v>
      </c>
      <c r="DI46" s="789">
        <v>0.15</v>
      </c>
      <c r="DJ46" s="789">
        <v>0</v>
      </c>
      <c r="DK46" s="789">
        <v>0.15</v>
      </c>
      <c r="DL46" s="789">
        <v>0.15</v>
      </c>
      <c r="DM46" s="850">
        <v>0</v>
      </c>
      <c r="DN46" s="850">
        <v>0</v>
      </c>
      <c r="DO46" s="801">
        <v>0</v>
      </c>
      <c r="DP46" s="801">
        <v>0</v>
      </c>
      <c r="DQ46" s="801">
        <v>0</v>
      </c>
      <c r="DR46" s="919"/>
      <c r="DS46" s="919"/>
      <c r="DT46" s="850">
        <v>0.15</v>
      </c>
      <c r="DU46" s="1220"/>
      <c r="DV46" s="924"/>
      <c r="DX46" s="1002">
        <v>0.15</v>
      </c>
      <c r="DY46" s="994"/>
      <c r="DZ46" s="994"/>
      <c r="EA46" s="994"/>
      <c r="EB46" s="994"/>
    </row>
    <row r="47" spans="2:138" ht="25.05" customHeight="1" outlineLevel="1">
      <c r="CL47" s="721">
        <f>+'FE - Aluminum'!DO50</f>
        <v>0</v>
      </c>
      <c r="CM47" s="638" t="s">
        <v>5211</v>
      </c>
      <c r="CN47" s="677">
        <f t="shared" si="11"/>
        <v>0</v>
      </c>
      <c r="CO47" s="681">
        <v>40</v>
      </c>
      <c r="CP47" s="768">
        <v>4</v>
      </c>
      <c r="CQ47" s="788" t="s">
        <v>5211</v>
      </c>
      <c r="CR47" s="789">
        <v>0</v>
      </c>
      <c r="CS47" s="789">
        <v>0</v>
      </c>
      <c r="CT47" s="789">
        <v>0</v>
      </c>
      <c r="CU47" s="789">
        <v>0.1</v>
      </c>
      <c r="CV47" s="789">
        <v>0.1</v>
      </c>
      <c r="CW47" s="789">
        <v>0.1</v>
      </c>
      <c r="CX47" s="789">
        <v>0.1</v>
      </c>
      <c r="CY47" s="789">
        <v>0</v>
      </c>
      <c r="CZ47" s="789">
        <v>0</v>
      </c>
      <c r="DA47" s="789">
        <v>0</v>
      </c>
      <c r="DB47" s="789">
        <v>0.1</v>
      </c>
      <c r="DC47" s="789">
        <v>0.1</v>
      </c>
      <c r="DD47" s="789">
        <v>0.1</v>
      </c>
      <c r="DE47" s="789">
        <v>0.1</v>
      </c>
      <c r="DF47" s="789">
        <v>0</v>
      </c>
      <c r="DG47" s="789">
        <v>0</v>
      </c>
      <c r="DH47" s="789">
        <v>0</v>
      </c>
      <c r="DI47" s="789">
        <v>0.1</v>
      </c>
      <c r="DJ47" s="789">
        <v>0</v>
      </c>
      <c r="DK47" s="789">
        <v>0.1</v>
      </c>
      <c r="DL47" s="789">
        <v>0.1</v>
      </c>
      <c r="DM47" s="850">
        <v>0</v>
      </c>
      <c r="DN47" s="850">
        <v>0</v>
      </c>
      <c r="DO47" s="801">
        <v>0</v>
      </c>
      <c r="DP47" s="801">
        <v>0</v>
      </c>
      <c r="DQ47" s="801">
        <v>0</v>
      </c>
      <c r="DR47" s="919"/>
      <c r="DS47" s="919"/>
      <c r="DT47" s="850">
        <v>0.1</v>
      </c>
      <c r="DU47" s="1220"/>
      <c r="DV47" s="924"/>
      <c r="DX47" s="1002">
        <v>0.1</v>
      </c>
      <c r="DY47" s="994"/>
      <c r="DZ47" s="994"/>
      <c r="EA47" s="994"/>
      <c r="EB47" s="994"/>
    </row>
    <row r="48" spans="2:138" ht="25.05" customHeight="1" outlineLevel="1">
      <c r="CL48" s="721">
        <f>+'FE - Aluminum'!DO51</f>
        <v>0</v>
      </c>
      <c r="CM48" s="638" t="s">
        <v>5212</v>
      </c>
      <c r="CN48" s="677">
        <f t="shared" si="11"/>
        <v>0</v>
      </c>
      <c r="CO48" s="681">
        <v>41</v>
      </c>
      <c r="CP48" s="768">
        <v>4</v>
      </c>
      <c r="CQ48" s="788" t="s">
        <v>5212</v>
      </c>
      <c r="CR48" s="789">
        <v>0.1</v>
      </c>
      <c r="CS48" s="789">
        <v>0.1</v>
      </c>
      <c r="CT48" s="789">
        <v>0.1</v>
      </c>
      <c r="CU48" s="789">
        <v>0.1</v>
      </c>
      <c r="CV48" s="789">
        <v>0.1</v>
      </c>
      <c r="CW48" s="789">
        <v>0.1</v>
      </c>
      <c r="CX48" s="789">
        <v>0.1</v>
      </c>
      <c r="CY48" s="789">
        <v>0.1</v>
      </c>
      <c r="CZ48" s="789">
        <v>0.1</v>
      </c>
      <c r="DA48" s="789">
        <v>0.1</v>
      </c>
      <c r="DB48" s="789">
        <v>0.1</v>
      </c>
      <c r="DC48" s="789">
        <v>0.1</v>
      </c>
      <c r="DD48" s="789">
        <v>0.1</v>
      </c>
      <c r="DE48" s="789">
        <v>0.1</v>
      </c>
      <c r="DF48" s="789">
        <v>0.1</v>
      </c>
      <c r="DG48" s="789">
        <v>0.1</v>
      </c>
      <c r="DH48" s="789">
        <v>0.1</v>
      </c>
      <c r="DI48" s="789">
        <v>0.1</v>
      </c>
      <c r="DJ48" s="789">
        <v>0</v>
      </c>
      <c r="DK48" s="789">
        <v>0.1</v>
      </c>
      <c r="DL48" s="789">
        <v>0.1</v>
      </c>
      <c r="DM48" s="850">
        <v>0</v>
      </c>
      <c r="DN48" s="850">
        <v>0</v>
      </c>
      <c r="DO48" s="801">
        <v>0</v>
      </c>
      <c r="DP48" s="801">
        <v>0</v>
      </c>
      <c r="DQ48" s="801">
        <v>0</v>
      </c>
      <c r="DR48" s="919"/>
      <c r="DS48" s="919"/>
      <c r="DT48" s="850">
        <v>0.1</v>
      </c>
      <c r="DU48" s="1221"/>
      <c r="DV48" s="924"/>
      <c r="DX48" s="1002">
        <v>0.1</v>
      </c>
      <c r="DY48" s="994"/>
      <c r="DZ48" s="994"/>
      <c r="EA48" s="994"/>
      <c r="EB48" s="994"/>
    </row>
    <row r="49" spans="90:132" ht="25.05" customHeight="1" outlineLevel="1">
      <c r="CL49" s="721">
        <f>+'FE - Aluminum'!DO52</f>
        <v>1</v>
      </c>
      <c r="CM49" s="638" t="s">
        <v>480</v>
      </c>
      <c r="CN49" s="677">
        <f t="shared" si="11"/>
        <v>1</v>
      </c>
      <c r="CO49" s="681">
        <v>42</v>
      </c>
      <c r="CP49" s="768">
        <v>4</v>
      </c>
      <c r="CQ49" s="788" t="s">
        <v>480</v>
      </c>
      <c r="CR49" s="789">
        <v>0.87</v>
      </c>
      <c r="CS49" s="789">
        <v>0.87</v>
      </c>
      <c r="CT49" s="789">
        <v>0.87</v>
      </c>
      <c r="CU49" s="789">
        <v>0.87</v>
      </c>
      <c r="CV49" s="789">
        <v>0.68428571500000002</v>
      </c>
      <c r="CW49" s="789">
        <v>0.68428571500000002</v>
      </c>
      <c r="CX49" s="789">
        <v>0.68428571500000002</v>
      </c>
      <c r="CY49" s="789">
        <v>0.87</v>
      </c>
      <c r="CZ49" s="789">
        <v>0.87</v>
      </c>
      <c r="DA49" s="789">
        <v>0.87</v>
      </c>
      <c r="DB49" s="789">
        <v>0.87</v>
      </c>
      <c r="DC49" s="789">
        <v>0.68428571500000002</v>
      </c>
      <c r="DD49" s="789">
        <v>0.68428571500000002</v>
      </c>
      <c r="DE49" s="789">
        <v>0.68428571500000002</v>
      </c>
      <c r="DF49" s="789">
        <v>0.87</v>
      </c>
      <c r="DG49" s="789">
        <v>0.87</v>
      </c>
      <c r="DH49" s="789">
        <v>0.87</v>
      </c>
      <c r="DI49" s="789">
        <v>0.87</v>
      </c>
      <c r="DJ49" s="789">
        <v>1</v>
      </c>
      <c r="DK49" s="789">
        <v>0.68428571500000002</v>
      </c>
      <c r="DL49" s="789">
        <v>0.68428571500000002</v>
      </c>
      <c r="DM49" s="850">
        <v>1</v>
      </c>
      <c r="DN49" s="850">
        <v>1</v>
      </c>
      <c r="DO49" s="801">
        <v>1</v>
      </c>
      <c r="DP49" s="801">
        <v>1</v>
      </c>
      <c r="DQ49" s="801">
        <v>1</v>
      </c>
      <c r="DR49" s="919"/>
      <c r="DS49" s="919"/>
      <c r="DT49" s="850">
        <v>0.67428571500000001</v>
      </c>
      <c r="DU49" s="1219" t="s">
        <v>5840</v>
      </c>
      <c r="DV49" s="924"/>
      <c r="DX49" s="994"/>
      <c r="DY49" s="994"/>
      <c r="DZ49" s="994"/>
      <c r="EA49" s="994"/>
      <c r="EB49" s="994"/>
    </row>
    <row r="50" spans="90:132" ht="25.05" customHeight="1" outlineLevel="1">
      <c r="CL50" s="721">
        <f>+'FE - Aluminum'!DO53</f>
        <v>0</v>
      </c>
      <c r="CM50" s="638" t="s">
        <v>5194</v>
      </c>
      <c r="CN50" s="677">
        <f t="shared" si="11"/>
        <v>0</v>
      </c>
      <c r="CO50" s="681">
        <v>43</v>
      </c>
      <c r="CP50" s="768">
        <v>4</v>
      </c>
      <c r="CQ50" s="788" t="s">
        <v>5194</v>
      </c>
      <c r="CR50" s="789">
        <v>0.03</v>
      </c>
      <c r="CS50" s="789">
        <v>0.03</v>
      </c>
      <c r="CT50" s="789">
        <v>0.03</v>
      </c>
      <c r="CU50" s="789">
        <v>0.03</v>
      </c>
      <c r="CV50" s="789">
        <v>0.03</v>
      </c>
      <c r="CW50" s="789">
        <v>0.03</v>
      </c>
      <c r="CX50" s="789">
        <v>0.03</v>
      </c>
      <c r="CY50" s="789">
        <v>0.03</v>
      </c>
      <c r="CZ50" s="789">
        <v>0.03</v>
      </c>
      <c r="DA50" s="789">
        <v>0.03</v>
      </c>
      <c r="DB50" s="789">
        <v>0.03</v>
      </c>
      <c r="DC50" s="789">
        <v>0.03</v>
      </c>
      <c r="DD50" s="789">
        <v>0.03</v>
      </c>
      <c r="DE50" s="789">
        <v>0.03</v>
      </c>
      <c r="DF50" s="789">
        <v>0.03</v>
      </c>
      <c r="DG50" s="789">
        <v>0.03</v>
      </c>
      <c r="DH50" s="789">
        <v>0.03</v>
      </c>
      <c r="DI50" s="789">
        <v>0.03</v>
      </c>
      <c r="DJ50" s="789">
        <v>0</v>
      </c>
      <c r="DK50" s="789">
        <v>0.03</v>
      </c>
      <c r="DL50" s="789">
        <v>0.03</v>
      </c>
      <c r="DM50" s="850">
        <v>0</v>
      </c>
      <c r="DN50" s="850">
        <v>0</v>
      </c>
      <c r="DO50" s="801">
        <v>0</v>
      </c>
      <c r="DP50" s="801">
        <v>0</v>
      </c>
      <c r="DQ50" s="801">
        <v>0</v>
      </c>
      <c r="DR50" s="919"/>
      <c r="DS50" s="919"/>
      <c r="DT50" s="850">
        <v>0.03</v>
      </c>
      <c r="DU50" s="1220"/>
      <c r="DV50" s="924"/>
      <c r="DX50" s="994"/>
      <c r="DY50" s="994"/>
      <c r="DZ50" s="994"/>
      <c r="EA50" s="994"/>
      <c r="EB50" s="994"/>
    </row>
    <row r="51" spans="90:132" ht="25.05" customHeight="1" outlineLevel="1">
      <c r="CL51" s="721">
        <f>+'FE - Aluminum'!DO54</f>
        <v>0</v>
      </c>
      <c r="CM51" s="638" t="s">
        <v>5195</v>
      </c>
      <c r="CN51" s="677">
        <f t="shared" si="11"/>
        <v>0</v>
      </c>
      <c r="CO51" s="681">
        <v>44</v>
      </c>
      <c r="CP51" s="768">
        <v>4</v>
      </c>
      <c r="CQ51" s="788" t="s">
        <v>5195</v>
      </c>
      <c r="CR51" s="789">
        <v>0.1</v>
      </c>
      <c r="CS51" s="789">
        <v>0.1</v>
      </c>
      <c r="CT51" s="789">
        <v>0.1</v>
      </c>
      <c r="CU51" s="789">
        <v>0.1</v>
      </c>
      <c r="CV51" s="789">
        <v>0.28571428500000001</v>
      </c>
      <c r="CW51" s="789">
        <v>0.28571428500000001</v>
      </c>
      <c r="CX51" s="789">
        <v>0.28571428500000001</v>
      </c>
      <c r="CY51" s="789">
        <v>0.1</v>
      </c>
      <c r="CZ51" s="789">
        <v>0.1</v>
      </c>
      <c r="DA51" s="789">
        <v>0.1</v>
      </c>
      <c r="DB51" s="789">
        <v>0.1</v>
      </c>
      <c r="DC51" s="789">
        <v>0.28571428500000001</v>
      </c>
      <c r="DD51" s="789">
        <v>0.28571428500000001</v>
      </c>
      <c r="DE51" s="789">
        <v>0.28571428500000001</v>
      </c>
      <c r="DF51" s="789">
        <v>0.1</v>
      </c>
      <c r="DG51" s="789">
        <v>0.1</v>
      </c>
      <c r="DH51" s="789">
        <v>0.1</v>
      </c>
      <c r="DI51" s="789">
        <v>0.1</v>
      </c>
      <c r="DJ51" s="789">
        <v>0</v>
      </c>
      <c r="DK51" s="789">
        <v>0.28571428500000001</v>
      </c>
      <c r="DL51" s="789">
        <v>0.28571428500000001</v>
      </c>
      <c r="DM51" s="850">
        <v>0</v>
      </c>
      <c r="DN51" s="850">
        <v>0</v>
      </c>
      <c r="DO51" s="801">
        <v>0</v>
      </c>
      <c r="DP51" s="801">
        <v>0</v>
      </c>
      <c r="DQ51" s="801">
        <v>0</v>
      </c>
      <c r="DR51" s="919"/>
      <c r="DS51" s="919"/>
      <c r="DT51" s="850">
        <v>0.28571428500000001</v>
      </c>
      <c r="DU51" s="1221"/>
      <c r="DV51" s="924"/>
      <c r="DX51" s="994"/>
      <c r="DY51" s="994"/>
      <c r="DZ51" s="994"/>
      <c r="EA51" s="994"/>
      <c r="EB51" s="994"/>
    </row>
    <row r="52" spans="90:132" ht="25.05" customHeight="1">
      <c r="CL52" s="720"/>
      <c r="CO52" s="681">
        <v>45</v>
      </c>
      <c r="CP52" s="702"/>
      <c r="CQ52" s="776"/>
    </row>
    <row r="53" spans="90:132" ht="15.6" outlineLevel="1">
      <c r="CL53" s="720"/>
      <c r="CO53" s="681">
        <v>46</v>
      </c>
      <c r="CP53" s="702"/>
      <c r="CR53" s="667"/>
      <c r="CS53" s="667"/>
      <c r="CT53" s="667"/>
      <c r="CU53" s="667"/>
      <c r="CY53" s="667"/>
      <c r="CZ53" s="667"/>
      <c r="DA53" s="667"/>
      <c r="DB53" s="667"/>
      <c r="DF53" s="667"/>
      <c r="DG53" s="667"/>
      <c r="DH53" s="667"/>
      <c r="DI53" s="667"/>
    </row>
    <row r="54" spans="90:132" ht="46.8" outlineLevel="1">
      <c r="CL54" s="720"/>
      <c r="CM54" s="722" t="s">
        <v>5543</v>
      </c>
      <c r="CO54" s="681">
        <v>47</v>
      </c>
      <c r="CP54" s="702"/>
      <c r="CQ54" s="792" t="s">
        <v>5594</v>
      </c>
      <c r="CR54" s="782" t="s">
        <v>5596</v>
      </c>
      <c r="CS54" s="782" t="s">
        <v>5599</v>
      </c>
      <c r="CT54" s="782" t="s">
        <v>5597</v>
      </c>
      <c r="CU54" s="782" t="s">
        <v>5598</v>
      </c>
      <c r="CV54" s="782" t="s">
        <v>5519</v>
      </c>
      <c r="CW54" s="782" t="s">
        <v>5520</v>
      </c>
      <c r="CX54" s="782" t="s">
        <v>5521</v>
      </c>
      <c r="CY54" s="937" t="s">
        <v>5909</v>
      </c>
      <c r="CZ54" s="937" t="s">
        <v>5910</v>
      </c>
      <c r="DA54" s="937" t="s">
        <v>5911</v>
      </c>
      <c r="DB54" s="937" t="s">
        <v>5912</v>
      </c>
      <c r="DC54" s="937" t="s">
        <v>5913</v>
      </c>
      <c r="DD54" s="937" t="s">
        <v>5914</v>
      </c>
      <c r="DE54" s="937" t="s">
        <v>5915</v>
      </c>
      <c r="DF54" s="937" t="s">
        <v>5917</v>
      </c>
      <c r="DG54" s="937" t="s">
        <v>5918</v>
      </c>
      <c r="DH54" s="937" t="s">
        <v>5919</v>
      </c>
      <c r="DI54" s="937" t="s">
        <v>5920</v>
      </c>
      <c r="DJ54" s="937" t="s">
        <v>5921</v>
      </c>
      <c r="DK54" s="937" t="s">
        <v>5922</v>
      </c>
      <c r="DL54" s="937" t="s">
        <v>5923</v>
      </c>
      <c r="DM54" s="848" t="s">
        <v>5816</v>
      </c>
      <c r="DN54" s="848" t="s">
        <v>5817</v>
      </c>
      <c r="DO54" s="848" t="s">
        <v>5837</v>
      </c>
      <c r="DP54" s="848" t="s">
        <v>5838</v>
      </c>
      <c r="DQ54" s="782" t="s">
        <v>5755</v>
      </c>
      <c r="DR54" s="848"/>
      <c r="DS54" s="848"/>
      <c r="DT54" s="800" t="s">
        <v>5600</v>
      </c>
      <c r="DU54" s="922" t="s">
        <v>5418</v>
      </c>
      <c r="DX54" s="933" t="s">
        <v>5333</v>
      </c>
      <c r="DY54" s="933" t="s">
        <v>5851</v>
      </c>
      <c r="DZ54" s="933" t="s">
        <v>5852</v>
      </c>
      <c r="EA54" s="933" t="s">
        <v>5853</v>
      </c>
      <c r="EB54" s="1004" t="s">
        <v>5901</v>
      </c>
    </row>
    <row r="55" spans="90:132" ht="25.2" customHeight="1" outlineLevel="1">
      <c r="CL55" s="720">
        <f>+'FE - Aluminum'!DP20</f>
        <v>3.6608930457824411</v>
      </c>
      <c r="CM55" s="638" t="s">
        <v>182</v>
      </c>
      <c r="CN55" s="761">
        <f t="shared" ref="CN55:CN65" si="14">HLOOKUP(CN$7,$CR$7:$DQ$129,($CO55+1),FALSE)</f>
        <v>8.92746438746439E-2</v>
      </c>
      <c r="CO55" s="681">
        <v>48</v>
      </c>
      <c r="CP55" s="766">
        <v>2</v>
      </c>
      <c r="CQ55" s="779" t="s">
        <v>182</v>
      </c>
      <c r="CR55" s="793">
        <v>0.12</v>
      </c>
      <c r="CS55" s="793">
        <v>0.12</v>
      </c>
      <c r="CT55" s="793">
        <v>0.12</v>
      </c>
      <c r="CU55" s="793">
        <v>0.12</v>
      </c>
      <c r="CV55" s="793">
        <v>0.12</v>
      </c>
      <c r="CW55" s="793">
        <v>0.12</v>
      </c>
      <c r="CX55" s="793">
        <v>0.12</v>
      </c>
      <c r="CY55" s="793">
        <v>0.12</v>
      </c>
      <c r="CZ55" s="793">
        <v>0.12</v>
      </c>
      <c r="DA55" s="793">
        <v>0.12</v>
      </c>
      <c r="DB55" s="793">
        <v>0.12</v>
      </c>
      <c r="DC55" s="793">
        <v>0.12</v>
      </c>
      <c r="DD55" s="793">
        <v>0.12</v>
      </c>
      <c r="DE55" s="793">
        <v>0.12</v>
      </c>
      <c r="DF55" s="793">
        <v>0.12</v>
      </c>
      <c r="DG55" s="793">
        <v>0.12</v>
      </c>
      <c r="DH55" s="793">
        <v>0.12</v>
      </c>
      <c r="DI55" s="793">
        <v>0.12</v>
      </c>
      <c r="DJ55" s="793">
        <v>0.12</v>
      </c>
      <c r="DK55" s="793">
        <v>0.12</v>
      </c>
      <c r="DL55" s="793">
        <v>0.12</v>
      </c>
      <c r="DM55" s="793">
        <v>0.12</v>
      </c>
      <c r="DN55" s="793">
        <v>0.12</v>
      </c>
      <c r="DO55" s="793">
        <v>8.92746438746439E-2</v>
      </c>
      <c r="DP55" s="793">
        <v>8.92746438746439E-2</v>
      </c>
      <c r="DQ55" s="793">
        <v>8.92746438746439E-2</v>
      </c>
      <c r="DR55" s="909"/>
      <c r="DS55" s="909"/>
      <c r="DT55" s="793">
        <v>8.92746438746439E-2</v>
      </c>
      <c r="DU55" s="950"/>
      <c r="DX55" s="933"/>
      <c r="DY55" s="933"/>
      <c r="DZ55" s="933"/>
      <c r="EA55" s="933"/>
      <c r="EB55" s="1003">
        <f>0.084*1.055</f>
        <v>8.8620000000000004E-2</v>
      </c>
    </row>
    <row r="56" spans="90:132" ht="24.6" customHeight="1" outlineLevel="1">
      <c r="CL56" s="720">
        <f>+'FE - Aluminum'!DP21</f>
        <v>0.53198443443079624</v>
      </c>
      <c r="CM56" s="638" t="s">
        <v>5394</v>
      </c>
      <c r="CN56" s="761">
        <f t="shared" si="14"/>
        <v>0.53198443443079624</v>
      </c>
      <c r="CO56" s="681">
        <v>49</v>
      </c>
      <c r="CP56" s="766">
        <v>2</v>
      </c>
      <c r="CQ56" s="779" t="s">
        <v>5394</v>
      </c>
      <c r="CR56" s="793">
        <v>0.39660262273242286</v>
      </c>
      <c r="CS56" s="793">
        <v>0.39660262273242286</v>
      </c>
      <c r="CT56" s="793">
        <v>0.39660262273242286</v>
      </c>
      <c r="CU56" s="793">
        <v>0.39660262273242286</v>
      </c>
      <c r="CV56" s="793">
        <v>0.26197515665495191</v>
      </c>
      <c r="CW56" s="793">
        <v>0.39660262273242286</v>
      </c>
      <c r="CX56" s="793">
        <v>0.5300286232090905</v>
      </c>
      <c r="CY56" s="793">
        <v>0.39660262273242286</v>
      </c>
      <c r="CZ56" s="793">
        <v>0.39660262273242286</v>
      </c>
      <c r="DA56" s="793">
        <v>0.39660262273242286</v>
      </c>
      <c r="DB56" s="793">
        <v>0.39660262273242286</v>
      </c>
      <c r="DC56" s="793">
        <v>0.26197515665495191</v>
      </c>
      <c r="DD56" s="793">
        <v>0.39660262273242286</v>
      </c>
      <c r="DE56" s="793">
        <v>0.5300286232090905</v>
      </c>
      <c r="DF56" s="793">
        <v>0.39660262273242286</v>
      </c>
      <c r="DG56" s="793">
        <v>0.39660262273242286</v>
      </c>
      <c r="DH56" s="793">
        <v>0.39660262273242286</v>
      </c>
      <c r="DI56" s="793">
        <v>0.39660262273242286</v>
      </c>
      <c r="DJ56" s="793">
        <v>0.26197515665495191</v>
      </c>
      <c r="DK56" s="793">
        <v>0.39660262273242286</v>
      </c>
      <c r="DL56" s="793">
        <v>0.5300286232090905</v>
      </c>
      <c r="DM56" s="793">
        <v>0.39022749552779384</v>
      </c>
      <c r="DN56" s="793">
        <v>0.39022749552779384</v>
      </c>
      <c r="DO56" s="793">
        <v>0.53198443443079624</v>
      </c>
      <c r="DP56" s="793">
        <v>0.53198443443079624</v>
      </c>
      <c r="DQ56" s="793">
        <v>0.53198443443079624</v>
      </c>
      <c r="DS56" s="909"/>
      <c r="DT56" s="1208">
        <v>3.4</v>
      </c>
      <c r="DU56" s="1179" t="s">
        <v>5845</v>
      </c>
      <c r="DW56" s="1211">
        <f>(DT56*'FE - Aluminum'!BH23+'FE - ACV Aluminum'!DT58*'FE - Aluminum'!BH24)/'FE - Aluminum'!BH24</f>
        <v>8.0548461538461495</v>
      </c>
      <c r="DX56" s="1175">
        <f>(CW56*'FE - Aluminum'!BH21+'FE - ACV Aluminum'!CW57*'FE - Aluminum'!BH22+CW58*'FE - Aluminum'!BH24)/'FE - Aluminum'!BH24</f>
        <v>6.5248832209999996</v>
      </c>
      <c r="DY56" s="932"/>
      <c r="DZ56" s="932"/>
      <c r="EA56" s="932"/>
      <c r="EB56" s="1225" t="s">
        <v>5902</v>
      </c>
    </row>
    <row r="57" spans="90:132" ht="24.6" customHeight="1" outlineLevel="1">
      <c r="CL57" s="720">
        <f>+'FE - Aluminum'!DP22</f>
        <v>1.7925410019496129</v>
      </c>
      <c r="CM57" s="638" t="s">
        <v>5395</v>
      </c>
      <c r="CN57" s="761">
        <f t="shared" si="14"/>
        <v>1.7925410019496129</v>
      </c>
      <c r="CO57" s="681">
        <v>50</v>
      </c>
      <c r="CP57" s="766">
        <v>2</v>
      </c>
      <c r="CQ57" s="779" t="s">
        <v>5395</v>
      </c>
      <c r="CR57" s="793">
        <f>CR56*CS57/CS56</f>
        <v>1.3363670376733607</v>
      </c>
      <c r="CS57" s="793">
        <f>CS56*CT57/CT56</f>
        <v>1.3363670376733607</v>
      </c>
      <c r="CT57" s="793">
        <f>CT56*CU57/CU56</f>
        <v>1.3363670376733607</v>
      </c>
      <c r="CU57" s="793">
        <f>CU56*CV57/CV56</f>
        <v>1.3363670376733607</v>
      </c>
      <c r="CV57" s="793">
        <v>0.88273486854672767</v>
      </c>
      <c r="CW57" s="793">
        <f>CW56*CX57/CX56</f>
        <v>1.336367037673361</v>
      </c>
      <c r="CX57" s="793">
        <v>1.7859508245307341</v>
      </c>
      <c r="CY57" s="793">
        <f>CY56*CZ57/CZ56</f>
        <v>1.3363670376733607</v>
      </c>
      <c r="CZ57" s="793">
        <f>CZ56*DA57/DA56</f>
        <v>1.3363670376733607</v>
      </c>
      <c r="DA57" s="793">
        <f>DA56*DB57/DB56</f>
        <v>1.3363670376733607</v>
      </c>
      <c r="DB57" s="793">
        <f>DB56*DC57/DC56</f>
        <v>1.3363670376733607</v>
      </c>
      <c r="DC57" s="793">
        <v>0.88273486854672767</v>
      </c>
      <c r="DD57" s="793">
        <f>DD56*DE57/DE56</f>
        <v>1.336367037673361</v>
      </c>
      <c r="DE57" s="793">
        <v>1.7859508245307341</v>
      </c>
      <c r="DF57" s="793">
        <f>DF56*DG57/DG56</f>
        <v>1.3363670376733607</v>
      </c>
      <c r="DG57" s="793">
        <f>DG56*DH57/DH56</f>
        <v>1.3363670376733607</v>
      </c>
      <c r="DH57" s="793">
        <f>DH56*DI57/DI56</f>
        <v>1.3363670376733607</v>
      </c>
      <c r="DI57" s="793">
        <f>DI56*DJ57/DJ56</f>
        <v>1.3363670376733607</v>
      </c>
      <c r="DJ57" s="793">
        <v>0.88273486854672767</v>
      </c>
      <c r="DK57" s="793">
        <f>DK56*DL57/DL56</f>
        <v>1.336367037673361</v>
      </c>
      <c r="DL57" s="793">
        <v>1.7859508245307341</v>
      </c>
      <c r="DM57" s="793">
        <v>1.3148858134733163</v>
      </c>
      <c r="DN57" s="793">
        <v>1.3148858134733163</v>
      </c>
      <c r="DO57" s="793">
        <f>DM57/DM56*DO56</f>
        <v>1.7925410019496129</v>
      </c>
      <c r="DP57" s="793">
        <f>DN57/DN56*DP56</f>
        <v>1.7925410019496129</v>
      </c>
      <c r="DQ57" s="793">
        <f>DO57/DO56*DQ56</f>
        <v>1.7925410019496129</v>
      </c>
      <c r="DR57" s="909"/>
      <c r="DS57" s="909"/>
      <c r="DT57" s="1209"/>
      <c r="DU57" s="1181"/>
      <c r="DW57" s="1211"/>
      <c r="DX57" s="1210"/>
      <c r="DY57" s="932"/>
      <c r="DZ57" s="932"/>
      <c r="EA57" s="932"/>
      <c r="EB57" s="1226"/>
    </row>
    <row r="58" spans="90:132" ht="24.6" customHeight="1" outlineLevel="1">
      <c r="CL58" s="720">
        <f>+'FE - Aluminum'!DP24</f>
        <v>2.8528461538461496</v>
      </c>
      <c r="CM58" s="638" t="s">
        <v>489</v>
      </c>
      <c r="CN58" s="761">
        <f t="shared" si="14"/>
        <v>2.8528461538461496</v>
      </c>
      <c r="CO58" s="681">
        <v>51</v>
      </c>
      <c r="CP58" s="766">
        <v>2</v>
      </c>
      <c r="CQ58" s="779" t="s">
        <v>489</v>
      </c>
      <c r="CR58" s="793">
        <f>CR56*CS58/CS56</f>
        <v>2.6592588000264721</v>
      </c>
      <c r="CS58" s="793">
        <f>CS56*CT58/CT56</f>
        <v>2.6592588000264721</v>
      </c>
      <c r="CT58" s="793">
        <f>CT56*CU58/CU56</f>
        <v>2.6592588000264721</v>
      </c>
      <c r="CU58" s="793">
        <f>CU56*CV58/CV56</f>
        <v>2.6592588000264721</v>
      </c>
      <c r="CV58" s="793">
        <v>1.7565686679611598</v>
      </c>
      <c r="CW58" s="793">
        <f>CW56*CX58/CX56</f>
        <v>2.6592588000264721</v>
      </c>
      <c r="CX58" s="793">
        <v>3.5538929894713016</v>
      </c>
      <c r="CY58" s="793">
        <f>CY56*CZ58/CZ56</f>
        <v>2.6592588000264721</v>
      </c>
      <c r="CZ58" s="793">
        <f>CZ56*DA58/DA56</f>
        <v>2.6592588000264721</v>
      </c>
      <c r="DA58" s="793">
        <f>DA56*DB58/DB56</f>
        <v>2.6592588000264721</v>
      </c>
      <c r="DB58" s="793">
        <f>DB56*DC58/DC56</f>
        <v>2.6592588000264721</v>
      </c>
      <c r="DC58" s="793">
        <v>1.7565686679611598</v>
      </c>
      <c r="DD58" s="793">
        <f>DD56*DE58/DE56</f>
        <v>2.6592588000264721</v>
      </c>
      <c r="DE58" s="793">
        <v>3.5538929894713016</v>
      </c>
      <c r="DF58" s="793">
        <f>DF56*DG58/DG56</f>
        <v>2.6592588000264721</v>
      </c>
      <c r="DG58" s="793">
        <f>DG56*DH58/DH56</f>
        <v>2.6592588000264721</v>
      </c>
      <c r="DH58" s="793">
        <f>DH56*DI58/DI56</f>
        <v>2.6592588000264721</v>
      </c>
      <c r="DI58" s="793">
        <f>DI56*DJ58/DJ56</f>
        <v>2.6592588000264721</v>
      </c>
      <c r="DJ58" s="793">
        <v>1.7565686679611598</v>
      </c>
      <c r="DK58" s="793">
        <f>DK56*DL58/DL56</f>
        <v>2.6592588000264721</v>
      </c>
      <c r="DL58" s="793">
        <v>3.5538929894713016</v>
      </c>
      <c r="DM58" s="793">
        <v>2.6165129578446975</v>
      </c>
      <c r="DN58" s="793">
        <v>2.6165129578446975</v>
      </c>
      <c r="DO58" s="793">
        <v>2.8528461538461496</v>
      </c>
      <c r="DP58" s="793">
        <v>2.8528461538461496</v>
      </c>
      <c r="DQ58" s="793">
        <v>2.8528461538461496</v>
      </c>
      <c r="DR58" s="909"/>
      <c r="DS58" s="909"/>
      <c r="DT58" s="793">
        <v>2.8528461538461496</v>
      </c>
      <c r="DU58" s="1180"/>
      <c r="DW58" s="1211"/>
      <c r="DX58" s="1176"/>
      <c r="DY58" s="932"/>
      <c r="DZ58" s="932"/>
      <c r="EA58" s="932"/>
      <c r="EB58" s="1174"/>
    </row>
    <row r="59" spans="90:132" ht="24.6" customHeight="1" outlineLevel="1">
      <c r="CL59" s="720">
        <f>+'FE - Aluminum'!DP26</f>
        <v>56.703600000000002</v>
      </c>
      <c r="CM59" s="638" t="s">
        <v>5314</v>
      </c>
      <c r="CN59" s="761">
        <f t="shared" si="14"/>
        <v>56.703600000000002</v>
      </c>
      <c r="CO59" s="681">
        <v>52</v>
      </c>
      <c r="CP59" s="767">
        <v>1</v>
      </c>
      <c r="CQ59" s="779" t="s">
        <v>5314</v>
      </c>
      <c r="CR59" s="793">
        <v>54.701320000000003</v>
      </c>
      <c r="CS59" s="793">
        <v>54.701320000000003</v>
      </c>
      <c r="CT59" s="793">
        <v>54.701320000000003</v>
      </c>
      <c r="CU59" s="793">
        <v>54.701320000000003</v>
      </c>
      <c r="CV59" s="794">
        <v>43.2</v>
      </c>
      <c r="CW59" s="794">
        <v>54.701320000000003</v>
      </c>
      <c r="CX59" s="794">
        <v>57.851999999999997</v>
      </c>
      <c r="CY59" s="793">
        <v>54.701320000000003</v>
      </c>
      <c r="CZ59" s="793">
        <v>54.701320000000003</v>
      </c>
      <c r="DA59" s="793">
        <v>54.701320000000003</v>
      </c>
      <c r="DB59" s="793">
        <v>54.701320000000003</v>
      </c>
      <c r="DC59" s="794">
        <v>43.2</v>
      </c>
      <c r="DD59" s="794">
        <v>54.701320000000003</v>
      </c>
      <c r="DE59" s="794">
        <v>57.851999999999997</v>
      </c>
      <c r="DF59" s="793">
        <v>54.701320000000003</v>
      </c>
      <c r="DG59" s="793">
        <v>54.701320000000003</v>
      </c>
      <c r="DH59" s="793">
        <v>54.701320000000003</v>
      </c>
      <c r="DI59" s="793">
        <v>54.701320000000003</v>
      </c>
      <c r="DJ59" s="794">
        <v>43.2</v>
      </c>
      <c r="DK59" s="794">
        <v>54.701320000000003</v>
      </c>
      <c r="DL59" s="794">
        <v>57.851999999999997</v>
      </c>
      <c r="DM59" s="794">
        <v>54.701320000000003</v>
      </c>
      <c r="DN59" s="794">
        <v>54.701320000000003</v>
      </c>
      <c r="DO59" s="794">
        <v>56.703600000000002</v>
      </c>
      <c r="DP59" s="794">
        <v>56.703600000000002</v>
      </c>
      <c r="DQ59" s="794">
        <v>56.703600000000002</v>
      </c>
      <c r="DR59" s="794"/>
      <c r="DS59" s="794"/>
      <c r="DT59" s="794">
        <v>56.703600000000002</v>
      </c>
      <c r="DU59" s="1179" t="s">
        <v>5846</v>
      </c>
      <c r="DX59" s="794">
        <v>56.703600000000002</v>
      </c>
      <c r="DY59" s="932"/>
      <c r="DZ59" s="932"/>
      <c r="EA59" s="932"/>
      <c r="EB59" s="1175">
        <f>46.953*1.055</f>
        <v>49.535415</v>
      </c>
    </row>
    <row r="60" spans="90:132" ht="24.6" customHeight="1" outlineLevel="1">
      <c r="CL60" s="720">
        <f>+'FE - Aluminum'!DP27</f>
        <v>61.023600000000002</v>
      </c>
      <c r="CM60" s="638" t="s">
        <v>5315</v>
      </c>
      <c r="CN60" s="761">
        <f t="shared" si="14"/>
        <v>61.023600000000002</v>
      </c>
      <c r="CO60" s="681">
        <v>53</v>
      </c>
      <c r="CP60" s="767">
        <v>1</v>
      </c>
      <c r="CQ60" s="779" t="s">
        <v>5315</v>
      </c>
      <c r="CR60" s="793">
        <v>58.868774503676697</v>
      </c>
      <c r="CS60" s="793">
        <v>58.868774503676697</v>
      </c>
      <c r="CT60" s="793">
        <v>58.868774503676697</v>
      </c>
      <c r="CU60" s="793">
        <v>58.868774503676697</v>
      </c>
      <c r="CV60" s="794">
        <v>46.49121919834537</v>
      </c>
      <c r="CW60" s="794">
        <v>58.868774503676697</v>
      </c>
      <c r="CX60" s="794">
        <v>62.259491043117499</v>
      </c>
      <c r="CY60" s="793">
        <v>58.868774503676697</v>
      </c>
      <c r="CZ60" s="793">
        <v>58.868774503676697</v>
      </c>
      <c r="DA60" s="793">
        <v>58.868774503676697</v>
      </c>
      <c r="DB60" s="793">
        <v>58.868774503676697</v>
      </c>
      <c r="DC60" s="794">
        <v>46.49121919834537</v>
      </c>
      <c r="DD60" s="794">
        <v>58.868774503676697</v>
      </c>
      <c r="DE60" s="794">
        <v>62.259491043117499</v>
      </c>
      <c r="DF60" s="793">
        <v>58.868774503676697</v>
      </c>
      <c r="DG60" s="793">
        <v>58.868774503676697</v>
      </c>
      <c r="DH60" s="793">
        <v>58.868774503676697</v>
      </c>
      <c r="DI60" s="793">
        <v>58.868774503676697</v>
      </c>
      <c r="DJ60" s="794">
        <v>46.49121919834537</v>
      </c>
      <c r="DK60" s="794">
        <v>58.868774503676697</v>
      </c>
      <c r="DL60" s="794">
        <v>62.259491043117499</v>
      </c>
      <c r="DM60" s="794">
        <v>58.868774503676697</v>
      </c>
      <c r="DN60" s="794">
        <v>58.868774503676697</v>
      </c>
      <c r="DO60" s="794">
        <v>61.023600000000002</v>
      </c>
      <c r="DP60" s="794">
        <v>61.023600000000002</v>
      </c>
      <c r="DQ60" s="794">
        <v>61.023600000000002</v>
      </c>
      <c r="DR60" s="910"/>
      <c r="DS60" s="910"/>
      <c r="DT60" s="794">
        <v>61.023600000000002</v>
      </c>
      <c r="DU60" s="1180"/>
      <c r="DX60" s="794">
        <v>61.023600000000002</v>
      </c>
      <c r="DY60" s="932"/>
      <c r="DZ60" s="932"/>
      <c r="EA60" s="932"/>
      <c r="EB60" s="1176"/>
    </row>
    <row r="61" spans="90:132" ht="24.6" customHeight="1" outlineLevel="1">
      <c r="CL61" s="720">
        <f>+'FE - Aluminum'!DP45</f>
        <v>4.8882782999999996</v>
      </c>
      <c r="CM61" s="638" t="s">
        <v>5475</v>
      </c>
      <c r="CN61" s="761">
        <f t="shared" si="14"/>
        <v>4.8882782999999996</v>
      </c>
      <c r="CO61" s="681">
        <v>54</v>
      </c>
      <c r="CP61" s="791">
        <v>2</v>
      </c>
      <c r="CQ61" s="779" t="s">
        <v>5475</v>
      </c>
      <c r="CR61" s="793">
        <v>4.8882782999999996</v>
      </c>
      <c r="CS61" s="793">
        <v>4.8882782999999996</v>
      </c>
      <c r="CT61" s="793">
        <v>4.8882782999999996</v>
      </c>
      <c r="CU61" s="793">
        <v>4.8882782999999996</v>
      </c>
      <c r="CV61" s="793">
        <v>4.8882782999999996</v>
      </c>
      <c r="CW61" s="793">
        <v>4.8882782999999996</v>
      </c>
      <c r="CX61" s="793">
        <v>4.8882782999999996</v>
      </c>
      <c r="CY61" s="793">
        <v>4.8882782999999996</v>
      </c>
      <c r="CZ61" s="793">
        <v>4.8882782999999996</v>
      </c>
      <c r="DA61" s="793">
        <v>4.8882782999999996</v>
      </c>
      <c r="DB61" s="793">
        <v>4.8882782999999996</v>
      </c>
      <c r="DC61" s="793">
        <v>4.8882782999999996</v>
      </c>
      <c r="DD61" s="793">
        <v>4.8882782999999996</v>
      </c>
      <c r="DE61" s="793">
        <v>4.8882782999999996</v>
      </c>
      <c r="DF61" s="793">
        <v>4.8882782999999996</v>
      </c>
      <c r="DG61" s="793">
        <v>4.8882782999999996</v>
      </c>
      <c r="DH61" s="793">
        <v>4.8882782999999996</v>
      </c>
      <c r="DI61" s="793">
        <v>4.8882782999999996</v>
      </c>
      <c r="DJ61" s="793">
        <v>4.8882782999999996</v>
      </c>
      <c r="DK61" s="793">
        <v>4.8882782999999996</v>
      </c>
      <c r="DL61" s="793">
        <v>4.8882782999999996</v>
      </c>
      <c r="DM61" s="793">
        <v>4.8882782999999996</v>
      </c>
      <c r="DN61" s="793">
        <v>4.8882782999999996</v>
      </c>
      <c r="DO61" s="793">
        <v>4.8882782999999996</v>
      </c>
      <c r="DP61" s="793">
        <v>4.8882782999999996</v>
      </c>
      <c r="DQ61" s="793">
        <v>4.8882782999999996</v>
      </c>
      <c r="DR61" s="909"/>
      <c r="DS61" s="909"/>
      <c r="DT61" s="793">
        <v>1.3901959999999998</v>
      </c>
      <c r="DU61" s="1179" t="s">
        <v>5847</v>
      </c>
      <c r="DX61" s="932"/>
      <c r="DY61" s="932"/>
      <c r="DZ61" s="932"/>
      <c r="EA61" s="932"/>
      <c r="EB61" s="984">
        <v>4.8882782999999996</v>
      </c>
    </row>
    <row r="62" spans="90:132" ht="24.6" customHeight="1" outlineLevel="1">
      <c r="CL62" s="720">
        <f>+'FE - Aluminum'!DP41</f>
        <v>3.8819749999999944</v>
      </c>
      <c r="CM62" s="638" t="s">
        <v>557</v>
      </c>
      <c r="CN62" s="761">
        <f t="shared" si="14"/>
        <v>3.8819749999999944</v>
      </c>
      <c r="CO62" s="681">
        <v>55</v>
      </c>
      <c r="CP62" s="791">
        <v>2</v>
      </c>
      <c r="CQ62" s="779" t="s">
        <v>557</v>
      </c>
      <c r="CR62" s="793">
        <v>10.103637599999999</v>
      </c>
      <c r="CS62" s="793">
        <v>10.103637599999999</v>
      </c>
      <c r="CT62" s="793">
        <v>10.103637599999999</v>
      </c>
      <c r="CU62" s="793">
        <v>10.103637599999999</v>
      </c>
      <c r="CV62" s="793">
        <v>3.74</v>
      </c>
      <c r="CW62" s="793">
        <v>10.103637599999999</v>
      </c>
      <c r="CX62" s="793">
        <v>10.103637599999999</v>
      </c>
      <c r="CY62" s="793">
        <v>10.103637599999999</v>
      </c>
      <c r="CZ62" s="793">
        <v>10.103637599999999</v>
      </c>
      <c r="DA62" s="793">
        <v>10.103637599999999</v>
      </c>
      <c r="DB62" s="793">
        <v>10.103637599999999</v>
      </c>
      <c r="DC62" s="793">
        <v>3.74</v>
      </c>
      <c r="DD62" s="793">
        <v>10.103637599999999</v>
      </c>
      <c r="DE62" s="793">
        <v>10.103637599999999</v>
      </c>
      <c r="DF62" s="793">
        <v>10.103637599999999</v>
      </c>
      <c r="DG62" s="793">
        <v>10.103637599999999</v>
      </c>
      <c r="DH62" s="793">
        <v>10.103637599999999</v>
      </c>
      <c r="DI62" s="793">
        <v>10.103637599999999</v>
      </c>
      <c r="DJ62" s="793">
        <v>3.74</v>
      </c>
      <c r="DK62" s="793">
        <v>10.103637599999999</v>
      </c>
      <c r="DL62" s="793">
        <v>10.103637599999999</v>
      </c>
      <c r="DM62" s="793">
        <v>10.103637599999999</v>
      </c>
      <c r="DN62" s="793">
        <v>10.103637599999999</v>
      </c>
      <c r="DO62" s="793">
        <v>3.8819749999999944</v>
      </c>
      <c r="DP62" s="793">
        <v>3.8819749999999944</v>
      </c>
      <c r="DQ62" s="793">
        <v>3.8819749999999944</v>
      </c>
      <c r="DR62" s="909"/>
      <c r="DS62" s="909"/>
      <c r="DT62" s="793">
        <v>3.8819749999999944</v>
      </c>
      <c r="DU62" s="1181"/>
      <c r="DX62" s="932"/>
      <c r="DY62" s="995">
        <v>2.3199999999999998</v>
      </c>
      <c r="DZ62" s="932"/>
      <c r="EA62" s="932"/>
      <c r="EB62" s="984">
        <v>10.103637599999999</v>
      </c>
    </row>
    <row r="63" spans="90:132" ht="24.6" customHeight="1" outlineLevel="1">
      <c r="CL63" s="720">
        <f>+'FE - Aluminum'!DP42</f>
        <v>6.8303149999999979</v>
      </c>
      <c r="CM63" s="638" t="s">
        <v>525</v>
      </c>
      <c r="CN63" s="761">
        <f t="shared" si="14"/>
        <v>6.8303149999999979</v>
      </c>
      <c r="CO63" s="681">
        <v>56</v>
      </c>
      <c r="CP63" s="791">
        <v>2</v>
      </c>
      <c r="CQ63" s="779" t="s">
        <v>525</v>
      </c>
      <c r="CR63" s="793">
        <v>12.679136699999999</v>
      </c>
      <c r="CS63" s="793">
        <v>12.679136699999999</v>
      </c>
      <c r="CT63" s="793">
        <v>12.679136699999999</v>
      </c>
      <c r="CU63" s="793">
        <v>12.679136699999999</v>
      </c>
      <c r="CV63" s="793">
        <v>6.79</v>
      </c>
      <c r="CW63" s="793">
        <v>12.679136699999999</v>
      </c>
      <c r="CX63" s="793">
        <v>12.679136699999999</v>
      </c>
      <c r="CY63" s="793">
        <v>12.679136699999999</v>
      </c>
      <c r="CZ63" s="793">
        <v>12.679136699999999</v>
      </c>
      <c r="DA63" s="793">
        <v>12.679136699999999</v>
      </c>
      <c r="DB63" s="793">
        <v>12.679136699999999</v>
      </c>
      <c r="DC63" s="793">
        <v>6.79</v>
      </c>
      <c r="DD63" s="793">
        <v>12.679136699999999</v>
      </c>
      <c r="DE63" s="793">
        <v>12.679136699999999</v>
      </c>
      <c r="DF63" s="793">
        <v>12.679136699999999</v>
      </c>
      <c r="DG63" s="793">
        <v>12.679136699999999</v>
      </c>
      <c r="DH63" s="793">
        <v>12.679136699999999</v>
      </c>
      <c r="DI63" s="793">
        <v>12.679136699999999</v>
      </c>
      <c r="DJ63" s="793">
        <v>6.79</v>
      </c>
      <c r="DK63" s="793">
        <v>12.679136699999999</v>
      </c>
      <c r="DL63" s="793">
        <v>12.679136699999999</v>
      </c>
      <c r="DM63" s="793">
        <v>12.679136699999999</v>
      </c>
      <c r="DN63" s="793">
        <v>12.679136699999999</v>
      </c>
      <c r="DO63" s="793">
        <v>6.8303149999999979</v>
      </c>
      <c r="DP63" s="793">
        <v>6.8303149999999979</v>
      </c>
      <c r="DQ63" s="793">
        <v>6.8303149999999979</v>
      </c>
      <c r="DR63" s="909"/>
      <c r="DS63" s="909"/>
      <c r="DT63" s="793">
        <v>6.8303149999999979</v>
      </c>
      <c r="DU63" s="1180"/>
      <c r="DX63" s="932"/>
      <c r="DY63" s="932"/>
      <c r="DZ63" s="932"/>
      <c r="EA63" s="932"/>
      <c r="EB63" s="984">
        <v>12.679136699999999</v>
      </c>
    </row>
    <row r="64" spans="90:132" ht="24.6" customHeight="1" outlineLevel="1">
      <c r="CL64" s="720">
        <f>+'FE - Aluminum'!DP16</f>
        <v>2.1874548907882199</v>
      </c>
      <c r="CM64" s="638" t="s">
        <v>555</v>
      </c>
      <c r="CN64" s="761">
        <f t="shared" si="14"/>
        <v>2.1874548907882199</v>
      </c>
      <c r="CO64" s="681">
        <v>57</v>
      </c>
      <c r="CP64" s="791">
        <v>2</v>
      </c>
      <c r="CQ64" s="779" t="s">
        <v>555</v>
      </c>
      <c r="CR64" s="793">
        <v>3.2832776728455828</v>
      </c>
      <c r="CS64" s="793">
        <v>3.2832776728455828</v>
      </c>
      <c r="CT64" s="793">
        <v>3.2832776728455828</v>
      </c>
      <c r="CU64" s="793">
        <v>3.2832776728455828</v>
      </c>
      <c r="CV64" s="793">
        <v>3.2832776728455828</v>
      </c>
      <c r="CW64" s="793">
        <v>3.2832776728455828</v>
      </c>
      <c r="CX64" s="793">
        <v>3.2832776728455828</v>
      </c>
      <c r="CY64" s="793">
        <v>3.2832776728455828</v>
      </c>
      <c r="CZ64" s="793">
        <v>3.2832776728455828</v>
      </c>
      <c r="DA64" s="793">
        <v>3.2832776728455828</v>
      </c>
      <c r="DB64" s="793">
        <v>3.2832776728455828</v>
      </c>
      <c r="DC64" s="793">
        <v>3.2832776728455828</v>
      </c>
      <c r="DD64" s="793">
        <v>3.2832776728455828</v>
      </c>
      <c r="DE64" s="793">
        <v>3.2832776728455828</v>
      </c>
      <c r="DF64" s="793">
        <v>3.2832776728455828</v>
      </c>
      <c r="DG64" s="793">
        <v>3.2832776728455828</v>
      </c>
      <c r="DH64" s="793">
        <v>3.2832776728455828</v>
      </c>
      <c r="DI64" s="793">
        <v>3.2832776728455828</v>
      </c>
      <c r="DJ64" s="793">
        <v>3.2832776728455828</v>
      </c>
      <c r="DK64" s="793">
        <v>3.2832776728455828</v>
      </c>
      <c r="DL64" s="793">
        <v>3.2832776728455828</v>
      </c>
      <c r="DM64" s="793">
        <v>3.2832776728455828</v>
      </c>
      <c r="DN64" s="793">
        <v>3.2832776728455828</v>
      </c>
      <c r="DO64" s="793">
        <v>2.1874548907882199</v>
      </c>
      <c r="DP64" s="793">
        <v>2.1874548907882199</v>
      </c>
      <c r="DQ64" s="793">
        <v>2.1874548907882199</v>
      </c>
      <c r="DR64" s="909"/>
      <c r="DS64" s="909"/>
      <c r="DT64" s="793">
        <v>2.1874548907882199</v>
      </c>
      <c r="DU64" s="1179" t="s">
        <v>5848</v>
      </c>
      <c r="DX64" s="932"/>
      <c r="DY64" s="932"/>
      <c r="DZ64" s="932"/>
      <c r="EA64" s="932"/>
      <c r="EB64" s="1173">
        <v>2.78</v>
      </c>
    </row>
    <row r="65" spans="90:132" ht="24.6" customHeight="1" outlineLevel="1">
      <c r="CL65" s="720">
        <f>+'FE - Aluminum'!DP17</f>
        <v>0.62766090218423576</v>
      </c>
      <c r="CM65" s="638" t="s">
        <v>554</v>
      </c>
      <c r="CN65" s="761">
        <f t="shared" si="14"/>
        <v>0.62766090218423576</v>
      </c>
      <c r="CO65" s="681">
        <v>58</v>
      </c>
      <c r="CP65" s="791">
        <v>2</v>
      </c>
      <c r="CQ65" s="779" t="s">
        <v>554</v>
      </c>
      <c r="CR65" s="793">
        <v>0.71799051567240491</v>
      </c>
      <c r="CS65" s="793">
        <v>0.71799051567240491</v>
      </c>
      <c r="CT65" s="793">
        <v>0.71799051567240491</v>
      </c>
      <c r="CU65" s="793">
        <v>0.71799051567240491</v>
      </c>
      <c r="CV65" s="793">
        <v>0.71799051567240491</v>
      </c>
      <c r="CW65" s="793">
        <v>0.71799051567240491</v>
      </c>
      <c r="CX65" s="793">
        <v>0.71799051567240491</v>
      </c>
      <c r="CY65" s="793">
        <v>0.71799051567240491</v>
      </c>
      <c r="CZ65" s="793">
        <v>0.71799051567240491</v>
      </c>
      <c r="DA65" s="793">
        <v>0.71799051567240491</v>
      </c>
      <c r="DB65" s="793">
        <v>0.71799051567240491</v>
      </c>
      <c r="DC65" s="793">
        <v>0.71799051567240491</v>
      </c>
      <c r="DD65" s="793">
        <v>0.71799051567240491</v>
      </c>
      <c r="DE65" s="793">
        <v>0.71799051567240491</v>
      </c>
      <c r="DF65" s="793">
        <v>0.71799051567240491</v>
      </c>
      <c r="DG65" s="793">
        <v>0.71799051567240491</v>
      </c>
      <c r="DH65" s="793">
        <v>0.71799051567240491</v>
      </c>
      <c r="DI65" s="793">
        <v>0.71799051567240491</v>
      </c>
      <c r="DJ65" s="793">
        <v>0.71799051567240491</v>
      </c>
      <c r="DK65" s="793">
        <v>0.71799051567240491</v>
      </c>
      <c r="DL65" s="793">
        <v>0.71799051567240491</v>
      </c>
      <c r="DM65" s="793">
        <v>0.71799051567240491</v>
      </c>
      <c r="DN65" s="793">
        <v>0.71799051567240491</v>
      </c>
      <c r="DO65" s="793">
        <v>0.62766090218423576</v>
      </c>
      <c r="DP65" s="793">
        <v>0.62766090218423576</v>
      </c>
      <c r="DQ65" s="793">
        <v>0.62766090218423576</v>
      </c>
      <c r="DR65" s="909"/>
      <c r="DS65" s="909"/>
      <c r="DT65" s="793">
        <v>0.62766090218423576</v>
      </c>
      <c r="DU65" s="1180"/>
      <c r="DX65" s="932"/>
      <c r="DY65" s="932"/>
      <c r="DZ65" s="932"/>
      <c r="EA65" s="932"/>
      <c r="EB65" s="1174"/>
    </row>
    <row r="66" spans="90:132" ht="25.05" customHeight="1">
      <c r="CO66" s="681">
        <v>59</v>
      </c>
    </row>
    <row r="67" spans="90:132" ht="45.6" outlineLevel="1">
      <c r="CM67" s="722" t="s">
        <v>5553</v>
      </c>
      <c r="CO67" s="681">
        <v>60</v>
      </c>
      <c r="CP67" s="702"/>
      <c r="CR67" s="667"/>
      <c r="CS67" s="667"/>
      <c r="CT67" s="667"/>
      <c r="CU67" s="667"/>
      <c r="CY67" s="667"/>
      <c r="CZ67" s="667"/>
      <c r="DA67" s="667"/>
      <c r="DB67" s="667"/>
      <c r="DF67" s="667"/>
      <c r="DG67" s="667"/>
      <c r="DH67" s="667"/>
      <c r="DI67" s="667"/>
    </row>
    <row r="68" spans="90:132" ht="46.8" outlineLevel="1">
      <c r="CM68" s="762" t="s">
        <v>5320</v>
      </c>
      <c r="CO68" s="681">
        <v>61</v>
      </c>
      <c r="CP68" s="702"/>
      <c r="CQ68" s="778" t="s">
        <v>5320</v>
      </c>
      <c r="CR68" s="782" t="s">
        <v>5596</v>
      </c>
      <c r="CS68" s="782" t="s">
        <v>5599</v>
      </c>
      <c r="CT68" s="782" t="s">
        <v>5597</v>
      </c>
      <c r="CU68" s="782" t="s">
        <v>5598</v>
      </c>
      <c r="CV68" s="782" t="s">
        <v>5519</v>
      </c>
      <c r="CW68" s="782" t="s">
        <v>5520</v>
      </c>
      <c r="CX68" s="782" t="s">
        <v>5521</v>
      </c>
      <c r="CY68" s="937" t="s">
        <v>5909</v>
      </c>
      <c r="CZ68" s="937" t="s">
        <v>5910</v>
      </c>
      <c r="DA68" s="937" t="s">
        <v>5911</v>
      </c>
      <c r="DB68" s="937" t="s">
        <v>5912</v>
      </c>
      <c r="DC68" s="937" t="s">
        <v>5913</v>
      </c>
      <c r="DD68" s="937" t="s">
        <v>5914</v>
      </c>
      <c r="DE68" s="937" t="s">
        <v>5915</v>
      </c>
      <c r="DF68" s="937" t="s">
        <v>5917</v>
      </c>
      <c r="DG68" s="937" t="s">
        <v>5918</v>
      </c>
      <c r="DH68" s="937" t="s">
        <v>5919</v>
      </c>
      <c r="DI68" s="937" t="s">
        <v>5920</v>
      </c>
      <c r="DJ68" s="937" t="s">
        <v>5921</v>
      </c>
      <c r="DK68" s="937" t="s">
        <v>5922</v>
      </c>
      <c r="DL68" s="937" t="s">
        <v>5923</v>
      </c>
      <c r="DM68" s="848" t="s">
        <v>5816</v>
      </c>
      <c r="DN68" s="848" t="s">
        <v>5817</v>
      </c>
      <c r="DO68" s="848" t="s">
        <v>5837</v>
      </c>
      <c r="DP68" s="848" t="s">
        <v>5838</v>
      </c>
      <c r="DQ68" s="782" t="s">
        <v>5755</v>
      </c>
      <c r="DR68" s="848"/>
      <c r="DS68" s="848"/>
      <c r="DT68" s="782" t="s">
        <v>5600</v>
      </c>
      <c r="DU68" s="922" t="s">
        <v>5418</v>
      </c>
      <c r="DX68" s="933" t="s">
        <v>5333</v>
      </c>
      <c r="DY68" s="933" t="s">
        <v>5851</v>
      </c>
      <c r="DZ68" s="933" t="s">
        <v>5852</v>
      </c>
      <c r="EA68" s="933" t="s">
        <v>5853</v>
      </c>
      <c r="EB68" s="938" t="s">
        <v>5901</v>
      </c>
    </row>
    <row r="69" spans="90:132" ht="25.2" customHeight="1" outlineLevel="1">
      <c r="CM69" s="770" t="s">
        <v>5588</v>
      </c>
      <c r="CN69" s="761">
        <f>HLOOKUP(CN$7,$CR$7:$DQ$129,($CO69+1),FALSE)</f>
        <v>38.530113431951413</v>
      </c>
      <c r="CO69" s="681">
        <v>62</v>
      </c>
      <c r="CP69" s="769">
        <v>1</v>
      </c>
      <c r="CQ69" s="795" t="s">
        <v>5595</v>
      </c>
      <c r="CR69" s="797">
        <v>38.5</v>
      </c>
      <c r="CS69" s="797">
        <v>38.5</v>
      </c>
      <c r="CT69" s="797">
        <v>38.5</v>
      </c>
      <c r="CU69" s="797">
        <v>38.5</v>
      </c>
      <c r="CV69" s="794">
        <v>20.14</v>
      </c>
      <c r="CW69" s="794">
        <v>38.5</v>
      </c>
      <c r="CX69" s="794">
        <v>55.555555555555557</v>
      </c>
      <c r="CY69" s="797">
        <v>38.5</v>
      </c>
      <c r="CZ69" s="797">
        <v>38.5</v>
      </c>
      <c r="DA69" s="797">
        <v>38.5</v>
      </c>
      <c r="DB69" s="797">
        <v>38.5</v>
      </c>
      <c r="DC69" s="794">
        <v>20.14</v>
      </c>
      <c r="DD69" s="794">
        <v>38.5</v>
      </c>
      <c r="DE69" s="794">
        <v>55.555555555555557</v>
      </c>
      <c r="DF69" s="797">
        <v>38.5</v>
      </c>
      <c r="DG69" s="797">
        <v>38.5</v>
      </c>
      <c r="DH69" s="797">
        <v>38.5</v>
      </c>
      <c r="DI69" s="797">
        <v>38.5</v>
      </c>
      <c r="DJ69" s="794">
        <v>20.14</v>
      </c>
      <c r="DK69" s="794">
        <v>38.5</v>
      </c>
      <c r="DL69" s="794">
        <v>55.555555555555557</v>
      </c>
      <c r="DM69" s="794">
        <v>38.53</v>
      </c>
      <c r="DN69" s="794">
        <v>38.53</v>
      </c>
      <c r="DO69" s="794">
        <v>38.530113431951413</v>
      </c>
      <c r="DP69" s="794">
        <v>38.530113431951413</v>
      </c>
      <c r="DQ69" s="794">
        <v>38.530113431951413</v>
      </c>
      <c r="DR69" s="910"/>
      <c r="DS69" s="910"/>
      <c r="DT69" s="794">
        <v>38.530113431951413</v>
      </c>
      <c r="DX69" s="932"/>
      <c r="DY69" s="932"/>
      <c r="DZ69" s="932"/>
      <c r="EA69" s="932"/>
      <c r="EB69" s="932"/>
    </row>
    <row r="70" spans="90:132" ht="25.2" customHeight="1">
      <c r="CO70" s="681">
        <v>63</v>
      </c>
    </row>
    <row r="71" spans="90:132" ht="46.8" outlineLevel="1">
      <c r="CM71" s="762" t="s">
        <v>146</v>
      </c>
      <c r="CO71" s="681">
        <v>64</v>
      </c>
      <c r="CP71" s="702"/>
      <c r="CQ71" s="762" t="s">
        <v>146</v>
      </c>
      <c r="CR71" s="798" t="s">
        <v>5596</v>
      </c>
      <c r="CS71" s="798" t="s">
        <v>5599</v>
      </c>
      <c r="CT71" s="798" t="s">
        <v>5597</v>
      </c>
      <c r="CU71" s="798" t="s">
        <v>5598</v>
      </c>
      <c r="CV71" s="926" t="s">
        <v>5519</v>
      </c>
      <c r="CW71" s="927" t="s">
        <v>5520</v>
      </c>
      <c r="CX71" s="851" t="s">
        <v>5521</v>
      </c>
      <c r="CY71" s="937" t="s">
        <v>5909</v>
      </c>
      <c r="CZ71" s="937" t="s">
        <v>5910</v>
      </c>
      <c r="DA71" s="937" t="s">
        <v>5911</v>
      </c>
      <c r="DB71" s="937" t="s">
        <v>5912</v>
      </c>
      <c r="DC71" s="937" t="s">
        <v>5913</v>
      </c>
      <c r="DD71" s="937" t="s">
        <v>5914</v>
      </c>
      <c r="DE71" s="937" t="s">
        <v>5915</v>
      </c>
      <c r="DF71" s="937" t="s">
        <v>5917</v>
      </c>
      <c r="DG71" s="937" t="s">
        <v>5918</v>
      </c>
      <c r="DH71" s="937" t="s">
        <v>5919</v>
      </c>
      <c r="DI71" s="937" t="s">
        <v>5920</v>
      </c>
      <c r="DJ71" s="937" t="s">
        <v>5921</v>
      </c>
      <c r="DK71" s="937" t="s">
        <v>5922</v>
      </c>
      <c r="DL71" s="937" t="s">
        <v>5923</v>
      </c>
      <c r="DM71" s="848" t="s">
        <v>5816</v>
      </c>
      <c r="DN71" s="848" t="s">
        <v>5817</v>
      </c>
      <c r="DO71" s="848" t="s">
        <v>5837</v>
      </c>
      <c r="DP71" s="848" t="s">
        <v>5838</v>
      </c>
      <c r="DQ71" s="782" t="s">
        <v>5755</v>
      </c>
      <c r="DR71" s="848"/>
      <c r="DS71" s="848"/>
      <c r="DT71" s="931" t="s">
        <v>5600</v>
      </c>
      <c r="DU71" s="922" t="s">
        <v>5418</v>
      </c>
      <c r="DX71" s="933" t="s">
        <v>5333</v>
      </c>
      <c r="DY71" s="933" t="s">
        <v>5851</v>
      </c>
      <c r="DZ71" s="933" t="s">
        <v>5852</v>
      </c>
      <c r="EA71" s="933" t="s">
        <v>5853</v>
      </c>
      <c r="EB71" s="938" t="s">
        <v>5901</v>
      </c>
    </row>
    <row r="72" spans="90:132" ht="25.2" customHeight="1" outlineLevel="1">
      <c r="CM72" s="638" t="s">
        <v>87</v>
      </c>
      <c r="CN72" s="677">
        <f t="shared" ref="CN72:CN79" si="15">HLOOKUP(CN$7,$CR$7:$DQ$129,($CO72+1),FALSE)</f>
        <v>0</v>
      </c>
      <c r="CO72" s="681">
        <v>65</v>
      </c>
      <c r="CP72" s="704">
        <v>2</v>
      </c>
      <c r="CQ72" s="795" t="s">
        <v>87</v>
      </c>
      <c r="CR72" s="678">
        <v>0</v>
      </c>
      <c r="CS72" s="678">
        <v>0</v>
      </c>
      <c r="CT72" s="678">
        <v>0</v>
      </c>
      <c r="CU72" s="678">
        <v>0</v>
      </c>
      <c r="CV72" s="928">
        <v>0</v>
      </c>
      <c r="CW72" s="929">
        <v>0</v>
      </c>
      <c r="CX72" s="928">
        <f>(1-$CX$75-$CX$77)/4</f>
        <v>0.1114</v>
      </c>
      <c r="CY72" s="678">
        <v>0</v>
      </c>
      <c r="CZ72" s="678">
        <v>0</v>
      </c>
      <c r="DA72" s="678">
        <v>0</v>
      </c>
      <c r="DB72" s="678">
        <v>0</v>
      </c>
      <c r="DC72" s="928">
        <v>0</v>
      </c>
      <c r="DD72" s="929">
        <v>0</v>
      </c>
      <c r="DE72" s="928">
        <f>(1-$CX$75-$CX$77)/4</f>
        <v>0.1114</v>
      </c>
      <c r="DF72" s="678">
        <v>0</v>
      </c>
      <c r="DG72" s="678">
        <v>0</v>
      </c>
      <c r="DH72" s="678">
        <v>0</v>
      </c>
      <c r="DI72" s="678">
        <v>0</v>
      </c>
      <c r="DJ72" s="928">
        <v>0</v>
      </c>
      <c r="DK72" s="929">
        <v>0</v>
      </c>
      <c r="DL72" s="928">
        <f>(1-$CX$75-$CX$77)/4</f>
        <v>0.1114</v>
      </c>
      <c r="DM72" s="796">
        <v>0</v>
      </c>
      <c r="DN72" s="796">
        <v>0</v>
      </c>
      <c r="DO72" s="796">
        <v>0</v>
      </c>
      <c r="DP72" s="796">
        <v>0</v>
      </c>
      <c r="DQ72" s="796">
        <v>0</v>
      </c>
      <c r="DR72" s="930"/>
      <c r="DS72" s="930"/>
      <c r="DT72" s="930" t="s">
        <v>645</v>
      </c>
      <c r="DU72" s="1177" t="s">
        <v>5849</v>
      </c>
      <c r="DX72" s="1000">
        <v>0</v>
      </c>
      <c r="DY72" s="932"/>
      <c r="DZ72" s="932"/>
      <c r="EA72" s="932"/>
      <c r="EB72" s="932"/>
    </row>
    <row r="73" spans="90:132" ht="25.2" customHeight="1" outlineLevel="1">
      <c r="CM73" s="638" t="s">
        <v>5338</v>
      </c>
      <c r="CN73" s="677">
        <f t="shared" si="15"/>
        <v>0.19500000000000001</v>
      </c>
      <c r="CO73" s="681">
        <v>66</v>
      </c>
      <c r="CP73" s="704">
        <v>2</v>
      </c>
      <c r="CQ73" s="795" t="s">
        <v>5338</v>
      </c>
      <c r="CR73" s="678">
        <v>0.19500000000000001</v>
      </c>
      <c r="CS73" s="678">
        <v>0.19500000000000001</v>
      </c>
      <c r="CT73" s="678">
        <v>0.19500000000000001</v>
      </c>
      <c r="CU73" s="678">
        <v>0.19500000000000001</v>
      </c>
      <c r="CV73" s="764">
        <v>0</v>
      </c>
      <c r="CW73" s="678">
        <v>0.19500000000000001</v>
      </c>
      <c r="CX73" s="764">
        <f>(1-$CX$75-$CX$77)/4</f>
        <v>0.1114</v>
      </c>
      <c r="CY73" s="678">
        <v>0.19500000000000001</v>
      </c>
      <c r="CZ73" s="678">
        <v>0.19500000000000001</v>
      </c>
      <c r="DA73" s="678">
        <v>0.19500000000000001</v>
      </c>
      <c r="DB73" s="678">
        <v>0.19500000000000001</v>
      </c>
      <c r="DC73" s="764">
        <v>0</v>
      </c>
      <c r="DD73" s="678">
        <v>0.19500000000000001</v>
      </c>
      <c r="DE73" s="764">
        <f>(1-$CX$75-$CX$77)/4</f>
        <v>0.1114</v>
      </c>
      <c r="DF73" s="678">
        <v>0.19500000000000001</v>
      </c>
      <c r="DG73" s="678">
        <v>0.19500000000000001</v>
      </c>
      <c r="DH73" s="678">
        <v>0.19500000000000001</v>
      </c>
      <c r="DI73" s="678">
        <v>0.19500000000000001</v>
      </c>
      <c r="DJ73" s="764">
        <v>0</v>
      </c>
      <c r="DK73" s="678">
        <v>0.19500000000000001</v>
      </c>
      <c r="DL73" s="764">
        <f>(1-$CX$75-$CX$77)/4</f>
        <v>0.1114</v>
      </c>
      <c r="DM73" s="796">
        <v>0.19500000000000001</v>
      </c>
      <c r="DN73" s="796">
        <v>0.19500000000000001</v>
      </c>
      <c r="DO73" s="796">
        <v>0.19500000000000001</v>
      </c>
      <c r="DP73" s="796">
        <v>0.19500000000000001</v>
      </c>
      <c r="DQ73" s="796">
        <v>0.19500000000000001</v>
      </c>
      <c r="DR73" s="911"/>
      <c r="DS73" s="911"/>
      <c r="DT73" s="796" t="s">
        <v>645</v>
      </c>
      <c r="DU73" s="1178"/>
      <c r="DX73" s="1000">
        <v>0.19500000000000001</v>
      </c>
      <c r="DY73" s="932"/>
      <c r="DZ73" s="932"/>
      <c r="EA73" s="932"/>
      <c r="EB73" s="932"/>
    </row>
    <row r="74" spans="90:132" ht="25.2" customHeight="1" outlineLevel="1">
      <c r="CM74" s="638" t="s">
        <v>464</v>
      </c>
      <c r="CN74" s="677">
        <f t="shared" si="15"/>
        <v>1.4999999999999999E-2</v>
      </c>
      <c r="CO74" s="681">
        <v>67</v>
      </c>
      <c r="CP74" s="704">
        <v>2</v>
      </c>
      <c r="CQ74" s="795" t="s">
        <v>464</v>
      </c>
      <c r="CR74" s="678">
        <v>1.4999999999999999E-2</v>
      </c>
      <c r="CS74" s="678">
        <v>1.4999999999999999E-2</v>
      </c>
      <c r="CT74" s="678">
        <v>1.4999999999999999E-2</v>
      </c>
      <c r="CU74" s="678">
        <v>1.4999999999999999E-2</v>
      </c>
      <c r="CV74" s="764">
        <v>0</v>
      </c>
      <c r="CW74" s="678">
        <v>1.4999999999999999E-2</v>
      </c>
      <c r="CX74" s="764">
        <f>(1-$CX$75-$CX$77)/4</f>
        <v>0.1114</v>
      </c>
      <c r="CY74" s="678">
        <v>1.4999999999999999E-2</v>
      </c>
      <c r="CZ74" s="678">
        <v>1.4999999999999999E-2</v>
      </c>
      <c r="DA74" s="678">
        <v>1.4999999999999999E-2</v>
      </c>
      <c r="DB74" s="678">
        <v>1.4999999999999999E-2</v>
      </c>
      <c r="DC74" s="764">
        <v>0</v>
      </c>
      <c r="DD74" s="678">
        <v>1.4999999999999999E-2</v>
      </c>
      <c r="DE74" s="764">
        <f>(1-$CX$75-$CX$77)/4</f>
        <v>0.1114</v>
      </c>
      <c r="DF74" s="678">
        <v>1.4999999999999999E-2</v>
      </c>
      <c r="DG74" s="678">
        <v>1.4999999999999999E-2</v>
      </c>
      <c r="DH74" s="678">
        <v>1.4999999999999999E-2</v>
      </c>
      <c r="DI74" s="678">
        <v>1.4999999999999999E-2</v>
      </c>
      <c r="DJ74" s="764">
        <v>0</v>
      </c>
      <c r="DK74" s="678">
        <v>1.4999999999999999E-2</v>
      </c>
      <c r="DL74" s="764">
        <f>(1-$CX$75-$CX$77)/4</f>
        <v>0.1114</v>
      </c>
      <c r="DM74" s="796">
        <v>1.4999999999999999E-2</v>
      </c>
      <c r="DN74" s="796">
        <v>1.4999999999999999E-2</v>
      </c>
      <c r="DO74" s="796">
        <v>1.4999999999999999E-2</v>
      </c>
      <c r="DP74" s="796">
        <v>1.4999999999999999E-2</v>
      </c>
      <c r="DQ74" s="796">
        <v>1.4999999999999999E-2</v>
      </c>
      <c r="DR74" s="911"/>
      <c r="DS74" s="911"/>
      <c r="DT74" s="796" t="s">
        <v>645</v>
      </c>
      <c r="DU74" s="1178"/>
      <c r="DX74" s="1000">
        <v>1.4999999999999999E-2</v>
      </c>
      <c r="DY74" s="932"/>
      <c r="DZ74" s="932"/>
      <c r="EA74" s="932"/>
      <c r="EB74" s="932"/>
    </row>
    <row r="75" spans="90:132" ht="25.2" customHeight="1" outlineLevel="1">
      <c r="CM75" s="638" t="s">
        <v>84</v>
      </c>
      <c r="CN75" s="677">
        <f t="shared" si="15"/>
        <v>0</v>
      </c>
      <c r="CO75" s="681">
        <v>68</v>
      </c>
      <c r="CP75" s="701">
        <v>1</v>
      </c>
      <c r="CQ75" s="795" t="s">
        <v>84</v>
      </c>
      <c r="CR75" s="678">
        <v>0</v>
      </c>
      <c r="CS75" s="678">
        <v>0</v>
      </c>
      <c r="CT75" s="678">
        <v>0</v>
      </c>
      <c r="CU75" s="678">
        <v>0</v>
      </c>
      <c r="CV75" s="764">
        <f>1-CV77</f>
        <v>0.30700000000000005</v>
      </c>
      <c r="CW75" s="678">
        <v>0</v>
      </c>
      <c r="CX75" s="764">
        <f>0.8*CW75</f>
        <v>0</v>
      </c>
      <c r="CY75" s="678">
        <v>0</v>
      </c>
      <c r="CZ75" s="678">
        <v>0</v>
      </c>
      <c r="DA75" s="678">
        <v>0</v>
      </c>
      <c r="DB75" s="678">
        <v>0</v>
      </c>
      <c r="DC75" s="764">
        <f>1-DC77</f>
        <v>0.30700000000000005</v>
      </c>
      <c r="DD75" s="678">
        <v>0</v>
      </c>
      <c r="DE75" s="764">
        <f>0.8*DD75</f>
        <v>0</v>
      </c>
      <c r="DF75" s="678">
        <v>0</v>
      </c>
      <c r="DG75" s="678">
        <v>0</v>
      </c>
      <c r="DH75" s="678">
        <v>0</v>
      </c>
      <c r="DI75" s="678">
        <v>0</v>
      </c>
      <c r="DJ75" s="764">
        <f>1-DJ77</f>
        <v>0.30700000000000005</v>
      </c>
      <c r="DK75" s="678">
        <v>0</v>
      </c>
      <c r="DL75" s="764">
        <f>0.8*DK75</f>
        <v>0</v>
      </c>
      <c r="DM75" s="796">
        <v>0</v>
      </c>
      <c r="DN75" s="796">
        <v>0</v>
      </c>
      <c r="DO75" s="796">
        <v>0</v>
      </c>
      <c r="DP75" s="796">
        <v>0</v>
      </c>
      <c r="DQ75" s="796">
        <v>0</v>
      </c>
      <c r="DR75" s="911"/>
      <c r="DS75" s="911"/>
      <c r="DT75" s="796" t="s">
        <v>645</v>
      </c>
      <c r="DU75" s="1178"/>
      <c r="DX75" s="1000">
        <v>0</v>
      </c>
      <c r="DY75" s="932"/>
      <c r="DZ75" s="932"/>
      <c r="EA75" s="932"/>
      <c r="EB75" s="932"/>
    </row>
    <row r="76" spans="90:132" ht="25.2" customHeight="1" outlineLevel="1">
      <c r="CM76" s="638" t="s">
        <v>85</v>
      </c>
      <c r="CN76" s="677">
        <f t="shared" si="15"/>
        <v>0</v>
      </c>
      <c r="CO76" s="681">
        <v>69</v>
      </c>
      <c r="CP76" s="704">
        <v>2</v>
      </c>
      <c r="CQ76" s="795" t="s">
        <v>85</v>
      </c>
      <c r="CR76" s="678">
        <v>0</v>
      </c>
      <c r="CS76" s="678">
        <v>0</v>
      </c>
      <c r="CT76" s="678">
        <v>0</v>
      </c>
      <c r="CU76" s="678">
        <v>0</v>
      </c>
      <c r="CV76" s="764">
        <v>0</v>
      </c>
      <c r="CW76" s="678">
        <v>0</v>
      </c>
      <c r="CX76" s="764">
        <f>(1-$CX$75-$CX$77)/4</f>
        <v>0.1114</v>
      </c>
      <c r="CY76" s="678">
        <v>0</v>
      </c>
      <c r="CZ76" s="678">
        <v>0</v>
      </c>
      <c r="DA76" s="678">
        <v>0</v>
      </c>
      <c r="DB76" s="678">
        <v>0</v>
      </c>
      <c r="DC76" s="764">
        <v>0</v>
      </c>
      <c r="DD76" s="678">
        <v>0</v>
      </c>
      <c r="DE76" s="764">
        <f>(1-$CX$75-$CX$77)/4</f>
        <v>0.1114</v>
      </c>
      <c r="DF76" s="678">
        <v>0</v>
      </c>
      <c r="DG76" s="678">
        <v>0</v>
      </c>
      <c r="DH76" s="678">
        <v>0</v>
      </c>
      <c r="DI76" s="678">
        <v>0</v>
      </c>
      <c r="DJ76" s="764">
        <v>0</v>
      </c>
      <c r="DK76" s="678">
        <v>0</v>
      </c>
      <c r="DL76" s="764">
        <f>(1-$CX$75-$CX$77)/4</f>
        <v>0.1114</v>
      </c>
      <c r="DM76" s="796">
        <v>0</v>
      </c>
      <c r="DN76" s="796">
        <v>0</v>
      </c>
      <c r="DO76" s="796">
        <v>0</v>
      </c>
      <c r="DP76" s="796">
        <v>0</v>
      </c>
      <c r="DQ76" s="796">
        <v>0</v>
      </c>
      <c r="DR76" s="911"/>
      <c r="DS76" s="911"/>
      <c r="DT76" s="796" t="s">
        <v>645</v>
      </c>
      <c r="DU76" s="1178"/>
      <c r="DX76" s="1000">
        <v>0</v>
      </c>
      <c r="DY76" s="932"/>
      <c r="DZ76" s="932"/>
      <c r="EA76" s="932"/>
      <c r="EB76" s="932"/>
    </row>
    <row r="77" spans="90:132" ht="25.2" customHeight="1" outlineLevel="1">
      <c r="CM77" s="638" t="s">
        <v>465</v>
      </c>
      <c r="CN77" s="677">
        <f t="shared" si="15"/>
        <v>0.69299999999999995</v>
      </c>
      <c r="CO77" s="681">
        <v>70</v>
      </c>
      <c r="CP77" s="701">
        <v>1</v>
      </c>
      <c r="CQ77" s="795" t="s">
        <v>465</v>
      </c>
      <c r="CR77" s="678">
        <v>0.69299999999999995</v>
      </c>
      <c r="CS77" s="678">
        <v>0.69299999999999995</v>
      </c>
      <c r="CT77" s="678">
        <v>0.69299999999999995</v>
      </c>
      <c r="CU77" s="678">
        <v>0.69299999999999995</v>
      </c>
      <c r="CV77" s="764">
        <f>CW77</f>
        <v>0.69299999999999995</v>
      </c>
      <c r="CW77" s="678">
        <v>0.69299999999999995</v>
      </c>
      <c r="CX77" s="764">
        <f>0.8*CW77</f>
        <v>0.5544</v>
      </c>
      <c r="CY77" s="678">
        <v>0.69299999999999995</v>
      </c>
      <c r="CZ77" s="678">
        <v>0.69299999999999995</v>
      </c>
      <c r="DA77" s="678">
        <v>0.69299999999999995</v>
      </c>
      <c r="DB77" s="678">
        <v>0.69299999999999995</v>
      </c>
      <c r="DC77" s="764">
        <f>DD77</f>
        <v>0.69299999999999995</v>
      </c>
      <c r="DD77" s="678">
        <v>0.69299999999999995</v>
      </c>
      <c r="DE77" s="764">
        <f>0.8*DD77</f>
        <v>0.5544</v>
      </c>
      <c r="DF77" s="678">
        <v>0.69299999999999995</v>
      </c>
      <c r="DG77" s="678">
        <v>0.69299999999999995</v>
      </c>
      <c r="DH77" s="678">
        <v>0.69299999999999995</v>
      </c>
      <c r="DI77" s="678">
        <v>0.69299999999999995</v>
      </c>
      <c r="DJ77" s="764">
        <f>DK77</f>
        <v>0.69299999999999995</v>
      </c>
      <c r="DK77" s="678">
        <v>0.69299999999999995</v>
      </c>
      <c r="DL77" s="764">
        <f>0.8*DK77</f>
        <v>0.5544</v>
      </c>
      <c r="DM77" s="796">
        <v>0.69299999999999995</v>
      </c>
      <c r="DN77" s="796">
        <v>0.69299999999999995</v>
      </c>
      <c r="DO77" s="796">
        <v>0.69299999999999995</v>
      </c>
      <c r="DP77" s="796">
        <v>0.69299999999999995</v>
      </c>
      <c r="DQ77" s="796">
        <v>0.69299999999999995</v>
      </c>
      <c r="DR77" s="911"/>
      <c r="DS77" s="911"/>
      <c r="DT77" s="796" t="s">
        <v>645</v>
      </c>
      <c r="DU77" s="1178"/>
      <c r="DX77" s="1000">
        <v>0.69299999999999995</v>
      </c>
      <c r="DY77" s="932"/>
      <c r="DZ77" s="932"/>
      <c r="EA77" s="932"/>
      <c r="EB77" s="932"/>
    </row>
    <row r="78" spans="90:132" ht="25.2" customHeight="1" outlineLevel="1">
      <c r="CM78" s="638" t="s">
        <v>5343</v>
      </c>
      <c r="CN78" s="677">
        <f t="shared" si="15"/>
        <v>9.7000000000000003E-2</v>
      </c>
      <c r="CO78" s="681">
        <v>71</v>
      </c>
      <c r="CP78" s="703">
        <v>2</v>
      </c>
      <c r="CQ78" s="795" t="s">
        <v>5343</v>
      </c>
      <c r="CR78" s="678">
        <v>9.7000000000000003E-2</v>
      </c>
      <c r="CS78" s="678">
        <v>9.7000000000000003E-2</v>
      </c>
      <c r="CT78" s="678">
        <v>9.7000000000000003E-2</v>
      </c>
      <c r="CU78" s="678">
        <v>9.7000000000000003E-2</v>
      </c>
      <c r="CV78" s="764">
        <v>0</v>
      </c>
      <c r="CW78" s="678">
        <v>9.7000000000000003E-2</v>
      </c>
      <c r="CX78" s="764">
        <v>0</v>
      </c>
      <c r="CY78" s="678">
        <v>9.7000000000000003E-2</v>
      </c>
      <c r="CZ78" s="678">
        <v>9.7000000000000003E-2</v>
      </c>
      <c r="DA78" s="678">
        <v>9.7000000000000003E-2</v>
      </c>
      <c r="DB78" s="678">
        <v>9.7000000000000003E-2</v>
      </c>
      <c r="DC78" s="764">
        <v>0</v>
      </c>
      <c r="DD78" s="678">
        <v>9.7000000000000003E-2</v>
      </c>
      <c r="DE78" s="764">
        <v>0</v>
      </c>
      <c r="DF78" s="678">
        <v>9.7000000000000003E-2</v>
      </c>
      <c r="DG78" s="678">
        <v>9.7000000000000003E-2</v>
      </c>
      <c r="DH78" s="678">
        <v>9.7000000000000003E-2</v>
      </c>
      <c r="DI78" s="678">
        <v>9.7000000000000003E-2</v>
      </c>
      <c r="DJ78" s="764">
        <v>0</v>
      </c>
      <c r="DK78" s="678">
        <v>9.7000000000000003E-2</v>
      </c>
      <c r="DL78" s="764">
        <v>0</v>
      </c>
      <c r="DM78" s="796">
        <v>9.7000000000000003E-2</v>
      </c>
      <c r="DN78" s="796">
        <v>9.7000000000000003E-2</v>
      </c>
      <c r="DO78" s="796">
        <v>9.7000000000000003E-2</v>
      </c>
      <c r="DP78" s="796">
        <v>9.7000000000000003E-2</v>
      </c>
      <c r="DQ78" s="796">
        <v>9.7000000000000003E-2</v>
      </c>
      <c r="DR78" s="911"/>
      <c r="DS78" s="911"/>
      <c r="DT78" s="796" t="s">
        <v>645</v>
      </c>
      <c r="DU78" s="1178"/>
      <c r="DX78" s="1000">
        <v>9.7000000000000003E-2</v>
      </c>
      <c r="DY78" s="932"/>
      <c r="DZ78" s="932"/>
      <c r="EA78" s="932"/>
      <c r="EB78" s="932"/>
    </row>
    <row r="79" spans="90:132" ht="25.2" customHeight="1" outlineLevel="1">
      <c r="CM79" s="638" t="s">
        <v>215</v>
      </c>
      <c r="CN79" s="677">
        <f t="shared" si="15"/>
        <v>0</v>
      </c>
      <c r="CO79" s="681">
        <v>72</v>
      </c>
      <c r="CP79" s="703">
        <v>2</v>
      </c>
      <c r="CQ79" s="795" t="s">
        <v>215</v>
      </c>
      <c r="CR79" s="678">
        <v>0</v>
      </c>
      <c r="CS79" s="678">
        <v>0</v>
      </c>
      <c r="CT79" s="678">
        <v>0</v>
      </c>
      <c r="CU79" s="678">
        <v>0</v>
      </c>
      <c r="CV79" s="764">
        <v>0</v>
      </c>
      <c r="CW79" s="678">
        <v>0</v>
      </c>
      <c r="CX79" s="764">
        <v>0</v>
      </c>
      <c r="CY79" s="678">
        <v>0</v>
      </c>
      <c r="CZ79" s="678">
        <v>0</v>
      </c>
      <c r="DA79" s="678">
        <v>0</v>
      </c>
      <c r="DB79" s="678">
        <v>0</v>
      </c>
      <c r="DC79" s="764">
        <v>0</v>
      </c>
      <c r="DD79" s="678">
        <v>0</v>
      </c>
      <c r="DE79" s="764">
        <v>0</v>
      </c>
      <c r="DF79" s="678">
        <v>0</v>
      </c>
      <c r="DG79" s="678">
        <v>0</v>
      </c>
      <c r="DH79" s="678">
        <v>0</v>
      </c>
      <c r="DI79" s="678">
        <v>0</v>
      </c>
      <c r="DJ79" s="764">
        <v>0</v>
      </c>
      <c r="DK79" s="678">
        <v>0</v>
      </c>
      <c r="DL79" s="764">
        <v>0</v>
      </c>
      <c r="DM79" s="796">
        <v>0</v>
      </c>
      <c r="DN79" s="796">
        <v>0</v>
      </c>
      <c r="DO79" s="796">
        <v>0</v>
      </c>
      <c r="DP79" s="796">
        <v>0</v>
      </c>
      <c r="DQ79" s="796">
        <v>0</v>
      </c>
      <c r="DR79" s="911"/>
      <c r="DS79" s="911"/>
      <c r="DT79" s="796" t="s">
        <v>645</v>
      </c>
      <c r="DU79" s="1178"/>
      <c r="DX79" s="1000">
        <v>0</v>
      </c>
      <c r="DY79" s="932"/>
      <c r="DZ79" s="932"/>
      <c r="EA79" s="932"/>
      <c r="EB79" s="932"/>
    </row>
    <row r="80" spans="90:132" ht="18" outlineLevel="1">
      <c r="CO80" s="681">
        <v>73</v>
      </c>
      <c r="DX80" s="1001"/>
    </row>
    <row r="81" spans="91:132" ht="25.2" customHeight="1" outlineLevel="1">
      <c r="CM81" s="762" t="s">
        <v>5646</v>
      </c>
      <c r="CO81" s="681">
        <v>74</v>
      </c>
      <c r="CQ81" s="762" t="s">
        <v>5646</v>
      </c>
      <c r="DX81" s="1001"/>
    </row>
    <row r="82" spans="91:132" ht="25.2" customHeight="1" outlineLevel="1">
      <c r="CM82" s="638" t="s">
        <v>87</v>
      </c>
      <c r="CN82" s="677">
        <f t="shared" ref="CN82:CN89" si="16">HLOOKUP(CN$7,$CR$7:$DQ$129,($CO82+1),FALSE)</f>
        <v>0</v>
      </c>
      <c r="CO82" s="681">
        <v>75</v>
      </c>
      <c r="CP82" s="704">
        <v>2</v>
      </c>
      <c r="CQ82" s="795" t="s">
        <v>87</v>
      </c>
      <c r="CR82" s="764">
        <v>0</v>
      </c>
      <c r="CS82" s="764">
        <v>0</v>
      </c>
      <c r="CT82" s="764">
        <v>0</v>
      </c>
      <c r="CU82" s="764">
        <v>0</v>
      </c>
      <c r="CV82" s="764">
        <v>0</v>
      </c>
      <c r="CW82" s="764">
        <v>0</v>
      </c>
      <c r="CX82" s="764">
        <f>(1-$CX$85-$CX$87)/4</f>
        <v>0.23100000000000001</v>
      </c>
      <c r="CY82" s="764">
        <v>0</v>
      </c>
      <c r="CZ82" s="764">
        <v>0</v>
      </c>
      <c r="DA82" s="764">
        <v>0</v>
      </c>
      <c r="DB82" s="764">
        <v>0</v>
      </c>
      <c r="DC82" s="764">
        <v>0</v>
      </c>
      <c r="DD82" s="764">
        <v>0</v>
      </c>
      <c r="DE82" s="764">
        <f>(1-$CX$85-$CX$87)/4</f>
        <v>0.23100000000000001</v>
      </c>
      <c r="DF82" s="764">
        <v>0</v>
      </c>
      <c r="DG82" s="764">
        <v>0</v>
      </c>
      <c r="DH82" s="764">
        <v>0</v>
      </c>
      <c r="DI82" s="764">
        <v>0</v>
      </c>
      <c r="DJ82" s="764">
        <v>0</v>
      </c>
      <c r="DK82" s="764">
        <v>0</v>
      </c>
      <c r="DL82" s="764">
        <f>(1-$CX$85-$CX$87)/4</f>
        <v>0.23100000000000001</v>
      </c>
      <c r="DM82" s="796">
        <v>0</v>
      </c>
      <c r="DN82" s="796">
        <v>0</v>
      </c>
      <c r="DO82" s="796">
        <v>0</v>
      </c>
      <c r="DP82" s="796">
        <v>0</v>
      </c>
      <c r="DQ82" s="796">
        <v>0</v>
      </c>
      <c r="DR82" s="911"/>
      <c r="DS82" s="911"/>
      <c r="DT82" s="796" t="s">
        <v>645</v>
      </c>
      <c r="DU82" s="1177" t="s">
        <v>5849</v>
      </c>
      <c r="DX82" s="1000">
        <v>0</v>
      </c>
      <c r="DY82" s="932"/>
      <c r="DZ82" s="932"/>
      <c r="EA82" s="932"/>
      <c r="EB82" s="932"/>
    </row>
    <row r="83" spans="91:132" ht="25.2" customHeight="1" outlineLevel="1">
      <c r="CM83" s="638" t="s">
        <v>5338</v>
      </c>
      <c r="CN83" s="677">
        <f t="shared" si="16"/>
        <v>0.53500000000000003</v>
      </c>
      <c r="CO83" s="681">
        <v>76</v>
      </c>
      <c r="CP83" s="704">
        <v>2</v>
      </c>
      <c r="CQ83" s="795" t="s">
        <v>5338</v>
      </c>
      <c r="CR83" s="764">
        <v>0.53500000000000003</v>
      </c>
      <c r="CS83" s="764">
        <v>0.53500000000000003</v>
      </c>
      <c r="CT83" s="764">
        <v>0.53500000000000003</v>
      </c>
      <c r="CU83" s="764">
        <v>0.53500000000000003</v>
      </c>
      <c r="CV83" s="764">
        <v>0</v>
      </c>
      <c r="CW83" s="764">
        <v>0.53500000000000003</v>
      </c>
      <c r="CX83" s="764">
        <f>(1-$CX$85-$CX$87)/4</f>
        <v>0.23100000000000001</v>
      </c>
      <c r="CY83" s="764">
        <v>0.53500000000000003</v>
      </c>
      <c r="CZ83" s="764">
        <v>0.53500000000000003</v>
      </c>
      <c r="DA83" s="764">
        <v>0.53500000000000003</v>
      </c>
      <c r="DB83" s="764">
        <v>0.53500000000000003</v>
      </c>
      <c r="DC83" s="764">
        <v>0</v>
      </c>
      <c r="DD83" s="764">
        <v>0.53500000000000003</v>
      </c>
      <c r="DE83" s="764">
        <f>(1-$CX$85-$CX$87)/4</f>
        <v>0.23100000000000001</v>
      </c>
      <c r="DF83" s="764">
        <v>0.53500000000000003</v>
      </c>
      <c r="DG83" s="764">
        <v>0.53500000000000003</v>
      </c>
      <c r="DH83" s="764">
        <v>0.53500000000000003</v>
      </c>
      <c r="DI83" s="764">
        <v>0.53500000000000003</v>
      </c>
      <c r="DJ83" s="764">
        <v>0</v>
      </c>
      <c r="DK83" s="764">
        <v>0.53500000000000003</v>
      </c>
      <c r="DL83" s="764">
        <f>(1-$CX$85-$CX$87)/4</f>
        <v>0.23100000000000001</v>
      </c>
      <c r="DM83" s="796">
        <v>0.53500000000000003</v>
      </c>
      <c r="DN83" s="796">
        <v>0.53500000000000003</v>
      </c>
      <c r="DO83" s="796">
        <v>0.53500000000000003</v>
      </c>
      <c r="DP83" s="796">
        <v>0.53500000000000003</v>
      </c>
      <c r="DQ83" s="796">
        <v>0.53500000000000003</v>
      </c>
      <c r="DR83" s="911"/>
      <c r="DS83" s="911"/>
      <c r="DT83" s="796" t="s">
        <v>645</v>
      </c>
      <c r="DU83" s="1178"/>
      <c r="DX83" s="1000">
        <v>0.53500000000000003</v>
      </c>
      <c r="DY83" s="932"/>
      <c r="DZ83" s="932"/>
      <c r="EA83" s="932"/>
      <c r="EB83" s="932"/>
    </row>
    <row r="84" spans="91:132" ht="25.2" customHeight="1" outlineLevel="1">
      <c r="CM84" s="638" t="s">
        <v>464</v>
      </c>
      <c r="CN84" s="677">
        <f t="shared" si="16"/>
        <v>0</v>
      </c>
      <c r="CO84" s="681">
        <v>77</v>
      </c>
      <c r="CP84" s="704">
        <v>2</v>
      </c>
      <c r="CQ84" s="795" t="s">
        <v>464</v>
      </c>
      <c r="CR84" s="764">
        <v>0</v>
      </c>
      <c r="CS84" s="764">
        <v>0</v>
      </c>
      <c r="CT84" s="764">
        <v>0</v>
      </c>
      <c r="CU84" s="764">
        <v>0</v>
      </c>
      <c r="CV84" s="764">
        <v>0</v>
      </c>
      <c r="CW84" s="764">
        <v>0</v>
      </c>
      <c r="CX84" s="764">
        <f>(1-$CX$85-$CX$87)/4</f>
        <v>0.23100000000000001</v>
      </c>
      <c r="CY84" s="764">
        <v>0</v>
      </c>
      <c r="CZ84" s="764">
        <v>0</v>
      </c>
      <c r="DA84" s="764">
        <v>0</v>
      </c>
      <c r="DB84" s="764">
        <v>0</v>
      </c>
      <c r="DC84" s="764">
        <v>0</v>
      </c>
      <c r="DD84" s="764">
        <v>0</v>
      </c>
      <c r="DE84" s="764">
        <f>(1-$CX$85-$CX$87)/4</f>
        <v>0.23100000000000001</v>
      </c>
      <c r="DF84" s="764">
        <v>0</v>
      </c>
      <c r="DG84" s="764">
        <v>0</v>
      </c>
      <c r="DH84" s="764">
        <v>0</v>
      </c>
      <c r="DI84" s="764">
        <v>0</v>
      </c>
      <c r="DJ84" s="764">
        <v>0</v>
      </c>
      <c r="DK84" s="764">
        <v>0</v>
      </c>
      <c r="DL84" s="764">
        <f>(1-$CX$85-$CX$87)/4</f>
        <v>0.23100000000000001</v>
      </c>
      <c r="DM84" s="796">
        <v>0</v>
      </c>
      <c r="DN84" s="796">
        <v>0</v>
      </c>
      <c r="DO84" s="796">
        <v>0</v>
      </c>
      <c r="DP84" s="796">
        <v>0</v>
      </c>
      <c r="DQ84" s="796">
        <v>0</v>
      </c>
      <c r="DR84" s="911"/>
      <c r="DS84" s="911"/>
      <c r="DT84" s="796" t="s">
        <v>645</v>
      </c>
      <c r="DU84" s="1178"/>
      <c r="DX84" s="1000">
        <v>0</v>
      </c>
      <c r="DY84" s="932"/>
      <c r="DZ84" s="932"/>
      <c r="EA84" s="932"/>
      <c r="EB84" s="932"/>
    </row>
    <row r="85" spans="91:132" ht="25.2" customHeight="1" outlineLevel="1">
      <c r="CM85" s="638" t="s">
        <v>84</v>
      </c>
      <c r="CN85" s="677">
        <f t="shared" si="16"/>
        <v>3.5000000000000003E-2</v>
      </c>
      <c r="CO85" s="681">
        <v>78</v>
      </c>
      <c r="CP85" s="701">
        <v>1</v>
      </c>
      <c r="CQ85" s="795" t="s">
        <v>84</v>
      </c>
      <c r="CR85" s="764">
        <v>3.4000000000000002E-2</v>
      </c>
      <c r="CS85" s="764">
        <v>3.4000000000000002E-2</v>
      </c>
      <c r="CT85" s="764">
        <v>3.4000000000000002E-2</v>
      </c>
      <c r="CU85" s="764">
        <v>3.4000000000000002E-2</v>
      </c>
      <c r="CV85" s="764">
        <f>1-CV87</f>
        <v>0.93900000000000006</v>
      </c>
      <c r="CW85" s="764">
        <v>3.4000000000000002E-2</v>
      </c>
      <c r="CX85" s="764">
        <f>0.8*CW85</f>
        <v>2.7200000000000002E-2</v>
      </c>
      <c r="CY85" s="764">
        <v>3.4000000000000002E-2</v>
      </c>
      <c r="CZ85" s="764">
        <v>3.4000000000000002E-2</v>
      </c>
      <c r="DA85" s="764">
        <v>3.4000000000000002E-2</v>
      </c>
      <c r="DB85" s="764">
        <v>3.4000000000000002E-2</v>
      </c>
      <c r="DC85" s="764">
        <f>1-DC87</f>
        <v>0.93900000000000006</v>
      </c>
      <c r="DD85" s="764">
        <v>3.4000000000000002E-2</v>
      </c>
      <c r="DE85" s="764">
        <f>0.8*DD85</f>
        <v>2.7200000000000002E-2</v>
      </c>
      <c r="DF85" s="764">
        <v>3.4000000000000002E-2</v>
      </c>
      <c r="DG85" s="764">
        <v>3.4000000000000002E-2</v>
      </c>
      <c r="DH85" s="764">
        <v>3.4000000000000002E-2</v>
      </c>
      <c r="DI85" s="764">
        <v>3.4000000000000002E-2</v>
      </c>
      <c r="DJ85" s="764">
        <f>1-DJ87</f>
        <v>0.93900000000000006</v>
      </c>
      <c r="DK85" s="764">
        <v>3.4000000000000002E-2</v>
      </c>
      <c r="DL85" s="764">
        <f>0.8*DK85</f>
        <v>2.7200000000000002E-2</v>
      </c>
      <c r="DM85" s="796">
        <v>3.4000000000000002E-2</v>
      </c>
      <c r="DN85" s="796">
        <v>3.4000000000000002E-2</v>
      </c>
      <c r="DO85" s="796">
        <v>3.5000000000000003E-2</v>
      </c>
      <c r="DP85" s="796">
        <v>3.5000000000000003E-2</v>
      </c>
      <c r="DQ85" s="796">
        <v>3.5000000000000003E-2</v>
      </c>
      <c r="DR85" s="911"/>
      <c r="DS85" s="911"/>
      <c r="DT85" s="796" t="s">
        <v>645</v>
      </c>
      <c r="DU85" s="1178"/>
      <c r="DX85" s="1000">
        <v>3.4000000000000002E-2</v>
      </c>
      <c r="DY85" s="932"/>
      <c r="DZ85" s="932"/>
      <c r="EA85" s="932"/>
      <c r="EB85" s="932"/>
    </row>
    <row r="86" spans="91:132" ht="25.2" customHeight="1" outlineLevel="1">
      <c r="CM86" s="638" t="s">
        <v>85</v>
      </c>
      <c r="CN86" s="677">
        <f t="shared" si="16"/>
        <v>0.37</v>
      </c>
      <c r="CO86" s="681">
        <v>79</v>
      </c>
      <c r="CP86" s="704">
        <v>2</v>
      </c>
      <c r="CQ86" s="795" t="s">
        <v>85</v>
      </c>
      <c r="CR86" s="764">
        <v>0.37</v>
      </c>
      <c r="CS86" s="764">
        <v>0.37</v>
      </c>
      <c r="CT86" s="764">
        <v>0.37</v>
      </c>
      <c r="CU86" s="764">
        <v>0.37</v>
      </c>
      <c r="CV86" s="764">
        <v>0</v>
      </c>
      <c r="CW86" s="764">
        <v>0.37</v>
      </c>
      <c r="CX86" s="764">
        <f>(1-$CX$85-$CX$87)/4</f>
        <v>0.23100000000000001</v>
      </c>
      <c r="CY86" s="764">
        <v>0.37</v>
      </c>
      <c r="CZ86" s="764">
        <v>0.37</v>
      </c>
      <c r="DA86" s="764">
        <v>0.37</v>
      </c>
      <c r="DB86" s="764">
        <v>0.37</v>
      </c>
      <c r="DC86" s="764">
        <v>0</v>
      </c>
      <c r="DD86" s="764">
        <v>0.37</v>
      </c>
      <c r="DE86" s="764">
        <f>(1-$CX$85-$CX$87)/4</f>
        <v>0.23100000000000001</v>
      </c>
      <c r="DF86" s="764">
        <v>0.37</v>
      </c>
      <c r="DG86" s="764">
        <v>0.37</v>
      </c>
      <c r="DH86" s="764">
        <v>0.37</v>
      </c>
      <c r="DI86" s="764">
        <v>0.37</v>
      </c>
      <c r="DJ86" s="764">
        <v>0</v>
      </c>
      <c r="DK86" s="764">
        <v>0.37</v>
      </c>
      <c r="DL86" s="764">
        <f>(1-$CX$85-$CX$87)/4</f>
        <v>0.23100000000000001</v>
      </c>
      <c r="DM86" s="796">
        <v>0.37</v>
      </c>
      <c r="DN86" s="796">
        <v>0.37</v>
      </c>
      <c r="DO86" s="796">
        <v>0.37</v>
      </c>
      <c r="DP86" s="796">
        <v>0.37</v>
      </c>
      <c r="DQ86" s="796">
        <v>0.37</v>
      </c>
      <c r="DR86" s="911"/>
      <c r="DS86" s="911"/>
      <c r="DT86" s="796" t="s">
        <v>645</v>
      </c>
      <c r="DU86" s="1178"/>
      <c r="DX86" s="1000">
        <v>0.37</v>
      </c>
      <c r="DY86" s="932"/>
      <c r="DZ86" s="932"/>
      <c r="EA86" s="932"/>
      <c r="EB86" s="932"/>
    </row>
    <row r="87" spans="91:132" ht="25.2" customHeight="1" outlineLevel="1">
      <c r="CM87" s="638" t="s">
        <v>465</v>
      </c>
      <c r="CN87" s="677">
        <f t="shared" si="16"/>
        <v>0.06</v>
      </c>
      <c r="CO87" s="681">
        <v>80</v>
      </c>
      <c r="CP87" s="701">
        <v>1</v>
      </c>
      <c r="CQ87" s="795" t="s">
        <v>465</v>
      </c>
      <c r="CR87" s="764">
        <v>6.0999999999999999E-2</v>
      </c>
      <c r="CS87" s="764">
        <v>6.0999999999999999E-2</v>
      </c>
      <c r="CT87" s="764">
        <v>6.0999999999999999E-2</v>
      </c>
      <c r="CU87" s="764">
        <v>6.0999999999999999E-2</v>
      </c>
      <c r="CV87" s="764">
        <f>CW87</f>
        <v>6.0999999999999999E-2</v>
      </c>
      <c r="CW87" s="764">
        <v>6.0999999999999999E-2</v>
      </c>
      <c r="CX87" s="764">
        <f>0.8*CW87</f>
        <v>4.8800000000000003E-2</v>
      </c>
      <c r="CY87" s="764">
        <v>6.0999999999999999E-2</v>
      </c>
      <c r="CZ87" s="764">
        <v>6.0999999999999999E-2</v>
      </c>
      <c r="DA87" s="764">
        <v>6.0999999999999999E-2</v>
      </c>
      <c r="DB87" s="764">
        <v>6.0999999999999999E-2</v>
      </c>
      <c r="DC87" s="764">
        <f>DD87</f>
        <v>6.0999999999999999E-2</v>
      </c>
      <c r="DD87" s="764">
        <v>6.0999999999999999E-2</v>
      </c>
      <c r="DE87" s="764">
        <f>0.8*DD87</f>
        <v>4.8800000000000003E-2</v>
      </c>
      <c r="DF87" s="764">
        <v>6.0999999999999999E-2</v>
      </c>
      <c r="DG87" s="764">
        <v>6.0999999999999999E-2</v>
      </c>
      <c r="DH87" s="764">
        <v>6.0999999999999999E-2</v>
      </c>
      <c r="DI87" s="764">
        <v>6.0999999999999999E-2</v>
      </c>
      <c r="DJ87" s="764">
        <f>DK87</f>
        <v>6.0999999999999999E-2</v>
      </c>
      <c r="DK87" s="764">
        <v>6.0999999999999999E-2</v>
      </c>
      <c r="DL87" s="764">
        <f>0.8*DK87</f>
        <v>4.8800000000000003E-2</v>
      </c>
      <c r="DM87" s="796">
        <v>6.0999999999999999E-2</v>
      </c>
      <c r="DN87" s="796">
        <v>6.0999999999999999E-2</v>
      </c>
      <c r="DO87" s="796">
        <v>0.06</v>
      </c>
      <c r="DP87" s="796">
        <v>0.06</v>
      </c>
      <c r="DQ87" s="796">
        <v>0.06</v>
      </c>
      <c r="DR87" s="911"/>
      <c r="DS87" s="911"/>
      <c r="DT87" s="796" t="s">
        <v>645</v>
      </c>
      <c r="DU87" s="1178"/>
      <c r="DX87" s="1000">
        <v>6.0999999999999999E-2</v>
      </c>
      <c r="DY87" s="932"/>
      <c r="DZ87" s="932"/>
      <c r="EA87" s="932"/>
      <c r="EB87" s="932"/>
    </row>
    <row r="88" spans="91:132" ht="25.2" customHeight="1" outlineLevel="1">
      <c r="CM88" s="638" t="s">
        <v>5343</v>
      </c>
      <c r="CN88" s="677">
        <f t="shared" si="16"/>
        <v>0</v>
      </c>
      <c r="CO88" s="681">
        <v>81</v>
      </c>
      <c r="CP88" s="703">
        <v>2</v>
      </c>
      <c r="CQ88" s="795" t="s">
        <v>5343</v>
      </c>
      <c r="CR88" s="764">
        <v>0</v>
      </c>
      <c r="CS88" s="764">
        <v>0</v>
      </c>
      <c r="CT88" s="764">
        <v>0</v>
      </c>
      <c r="CU88" s="764">
        <v>0</v>
      </c>
      <c r="CV88" s="764">
        <v>0</v>
      </c>
      <c r="CW88" s="764">
        <v>0</v>
      </c>
      <c r="CX88" s="764">
        <v>0</v>
      </c>
      <c r="CY88" s="764">
        <v>0</v>
      </c>
      <c r="CZ88" s="764">
        <v>0</v>
      </c>
      <c r="DA88" s="764">
        <v>0</v>
      </c>
      <c r="DB88" s="764">
        <v>0</v>
      </c>
      <c r="DC88" s="764">
        <v>0</v>
      </c>
      <c r="DD88" s="764">
        <v>0</v>
      </c>
      <c r="DE88" s="764">
        <v>0</v>
      </c>
      <c r="DF88" s="764">
        <v>0</v>
      </c>
      <c r="DG88" s="764">
        <v>0</v>
      </c>
      <c r="DH88" s="764">
        <v>0</v>
      </c>
      <c r="DI88" s="764">
        <v>0</v>
      </c>
      <c r="DJ88" s="764">
        <v>0</v>
      </c>
      <c r="DK88" s="764">
        <v>0</v>
      </c>
      <c r="DL88" s="764">
        <v>0</v>
      </c>
      <c r="DM88" s="796">
        <v>0</v>
      </c>
      <c r="DN88" s="796">
        <v>0</v>
      </c>
      <c r="DO88" s="796">
        <v>0</v>
      </c>
      <c r="DP88" s="796">
        <v>0</v>
      </c>
      <c r="DQ88" s="796">
        <v>0</v>
      </c>
      <c r="DR88" s="911"/>
      <c r="DS88" s="911"/>
      <c r="DT88" s="796" t="s">
        <v>645</v>
      </c>
      <c r="DU88" s="1178"/>
      <c r="DX88" s="1000">
        <v>0</v>
      </c>
      <c r="DY88" s="932"/>
      <c r="DZ88" s="932"/>
      <c r="EA88" s="932"/>
      <c r="EB88" s="932"/>
    </row>
    <row r="89" spans="91:132" ht="25.2" customHeight="1" outlineLevel="1">
      <c r="CM89" s="638" t="s">
        <v>215</v>
      </c>
      <c r="CN89" s="677">
        <f t="shared" si="16"/>
        <v>0</v>
      </c>
      <c r="CO89" s="681">
        <v>82</v>
      </c>
      <c r="CP89" s="703">
        <v>2</v>
      </c>
      <c r="CQ89" s="795" t="s">
        <v>215</v>
      </c>
      <c r="CR89" s="764">
        <v>0</v>
      </c>
      <c r="CS89" s="764">
        <v>0</v>
      </c>
      <c r="CT89" s="764">
        <v>0</v>
      </c>
      <c r="CU89" s="764">
        <v>0</v>
      </c>
      <c r="CV89" s="764">
        <v>0</v>
      </c>
      <c r="CW89" s="764">
        <v>0</v>
      </c>
      <c r="CX89" s="764">
        <v>0</v>
      </c>
      <c r="CY89" s="764">
        <v>0</v>
      </c>
      <c r="CZ89" s="764">
        <v>0</v>
      </c>
      <c r="DA89" s="764">
        <v>0</v>
      </c>
      <c r="DB89" s="764">
        <v>0</v>
      </c>
      <c r="DC89" s="764">
        <v>0</v>
      </c>
      <c r="DD89" s="764">
        <v>0</v>
      </c>
      <c r="DE89" s="764">
        <v>0</v>
      </c>
      <c r="DF89" s="764">
        <v>0</v>
      </c>
      <c r="DG89" s="764">
        <v>0</v>
      </c>
      <c r="DH89" s="764">
        <v>0</v>
      </c>
      <c r="DI89" s="764">
        <v>0</v>
      </c>
      <c r="DJ89" s="764">
        <v>0</v>
      </c>
      <c r="DK89" s="764">
        <v>0</v>
      </c>
      <c r="DL89" s="764">
        <v>0</v>
      </c>
      <c r="DM89" s="796">
        <v>0</v>
      </c>
      <c r="DN89" s="796">
        <v>0</v>
      </c>
      <c r="DO89" s="796">
        <v>0</v>
      </c>
      <c r="DP89" s="796">
        <v>0</v>
      </c>
      <c r="DQ89" s="796">
        <v>0</v>
      </c>
      <c r="DR89" s="911"/>
      <c r="DS89" s="911"/>
      <c r="DT89" s="796" t="s">
        <v>645</v>
      </c>
      <c r="DU89" s="1178"/>
      <c r="DX89" s="1000">
        <v>0</v>
      </c>
      <c r="DY89" s="932"/>
      <c r="DZ89" s="932"/>
      <c r="EA89" s="932"/>
      <c r="EB89" s="932"/>
    </row>
    <row r="90" spans="91:132" ht="18" outlineLevel="1">
      <c r="CO90" s="681">
        <v>83</v>
      </c>
      <c r="DO90" s="259"/>
      <c r="DP90" s="259"/>
      <c r="DQ90" s="259"/>
      <c r="DX90" s="1001"/>
    </row>
    <row r="91" spans="91:132" ht="25.2" customHeight="1" outlineLevel="1">
      <c r="CM91" s="762" t="s">
        <v>5788</v>
      </c>
      <c r="CO91" s="681">
        <v>84</v>
      </c>
      <c r="CQ91" s="762" t="s">
        <v>5788</v>
      </c>
      <c r="DO91" s="259"/>
      <c r="DP91" s="259"/>
      <c r="DQ91" s="259"/>
      <c r="DX91" s="1001"/>
    </row>
    <row r="92" spans="91:132" ht="25.2" customHeight="1" outlineLevel="1">
      <c r="CM92" s="638" t="s">
        <v>87</v>
      </c>
      <c r="CN92" s="677">
        <f t="shared" ref="CN92:CN99" si="17">HLOOKUP(CN$7,$CR$7:$DQ$129,($CO92+1),FALSE)</f>
        <v>0</v>
      </c>
      <c r="CO92" s="681">
        <v>85</v>
      </c>
      <c r="CP92" s="704">
        <v>2</v>
      </c>
      <c r="CQ92" s="795" t="s">
        <v>87</v>
      </c>
      <c r="CR92" s="764">
        <v>0</v>
      </c>
      <c r="CS92" s="764">
        <v>0</v>
      </c>
      <c r="CT92" s="764">
        <v>0</v>
      </c>
      <c r="CU92" s="764">
        <v>0</v>
      </c>
      <c r="CV92" s="764">
        <v>0</v>
      </c>
      <c r="CW92" s="764">
        <v>0</v>
      </c>
      <c r="CX92" s="764">
        <f>(1-$CX$85-$CX$87)/4</f>
        <v>0.23100000000000001</v>
      </c>
      <c r="CY92" s="764">
        <v>0</v>
      </c>
      <c r="CZ92" s="764">
        <v>0</v>
      </c>
      <c r="DA92" s="764">
        <v>0</v>
      </c>
      <c r="DB92" s="764">
        <v>0</v>
      </c>
      <c r="DC92" s="764">
        <v>0</v>
      </c>
      <c r="DD92" s="764">
        <v>0</v>
      </c>
      <c r="DE92" s="764">
        <f>(1-$CX$85-$CX$87)/4</f>
        <v>0.23100000000000001</v>
      </c>
      <c r="DF92" s="764">
        <v>0</v>
      </c>
      <c r="DG92" s="764">
        <v>0</v>
      </c>
      <c r="DH92" s="764">
        <v>0</v>
      </c>
      <c r="DI92" s="764">
        <v>0</v>
      </c>
      <c r="DJ92" s="764">
        <v>0</v>
      </c>
      <c r="DK92" s="764">
        <v>0</v>
      </c>
      <c r="DL92" s="764">
        <f>(1-$CX$85-$CX$87)/4</f>
        <v>0.23100000000000001</v>
      </c>
      <c r="DM92" s="796">
        <v>0</v>
      </c>
      <c r="DN92" s="796">
        <v>0</v>
      </c>
      <c r="DO92" s="796">
        <v>0</v>
      </c>
      <c r="DP92" s="796">
        <v>0</v>
      </c>
      <c r="DQ92" s="796">
        <v>0</v>
      </c>
      <c r="DR92" s="911"/>
      <c r="DS92" s="911"/>
      <c r="DT92" s="796" t="s">
        <v>645</v>
      </c>
      <c r="DU92" s="1177" t="s">
        <v>5849</v>
      </c>
      <c r="DX92" s="1000">
        <v>0</v>
      </c>
      <c r="DY92" s="932"/>
      <c r="DZ92" s="932"/>
      <c r="EA92" s="932"/>
      <c r="EB92" s="932"/>
    </row>
    <row r="93" spans="91:132" ht="25.2" customHeight="1" outlineLevel="1">
      <c r="CM93" s="638" t="s">
        <v>5338</v>
      </c>
      <c r="CN93" s="677">
        <f t="shared" si="17"/>
        <v>0.53500000000000003</v>
      </c>
      <c r="CO93" s="681">
        <v>86</v>
      </c>
      <c r="CP93" s="704">
        <v>2</v>
      </c>
      <c r="CQ93" s="795" t="s">
        <v>5338</v>
      </c>
      <c r="CR93" s="764">
        <v>0.53500000000000003</v>
      </c>
      <c r="CS93" s="764">
        <v>0.53500000000000003</v>
      </c>
      <c r="CT93" s="764">
        <v>0.53500000000000003</v>
      </c>
      <c r="CU93" s="764">
        <v>0.53500000000000003</v>
      </c>
      <c r="CV93" s="764">
        <v>0</v>
      </c>
      <c r="CW93" s="764">
        <v>0.53500000000000003</v>
      </c>
      <c r="CX93" s="764">
        <f>(1-$CX$85-$CX$87)/4</f>
        <v>0.23100000000000001</v>
      </c>
      <c r="CY93" s="764">
        <v>0.53500000000000003</v>
      </c>
      <c r="CZ93" s="764">
        <v>0.53500000000000003</v>
      </c>
      <c r="DA93" s="764">
        <v>0.53500000000000003</v>
      </c>
      <c r="DB93" s="764">
        <v>0.53500000000000003</v>
      </c>
      <c r="DC93" s="764">
        <v>0</v>
      </c>
      <c r="DD93" s="764">
        <v>0.53500000000000003</v>
      </c>
      <c r="DE93" s="764">
        <f>(1-$CX$85-$CX$87)/4</f>
        <v>0.23100000000000001</v>
      </c>
      <c r="DF93" s="764">
        <v>0.53500000000000003</v>
      </c>
      <c r="DG93" s="764">
        <v>0.53500000000000003</v>
      </c>
      <c r="DH93" s="764">
        <v>0.53500000000000003</v>
      </c>
      <c r="DI93" s="764">
        <v>0.53500000000000003</v>
      </c>
      <c r="DJ93" s="764">
        <v>0</v>
      </c>
      <c r="DK93" s="764">
        <v>0.53500000000000003</v>
      </c>
      <c r="DL93" s="764">
        <f>(1-$CX$85-$CX$87)/4</f>
        <v>0.23100000000000001</v>
      </c>
      <c r="DM93" s="796">
        <v>0.53500000000000003</v>
      </c>
      <c r="DN93" s="796">
        <v>0.53500000000000003</v>
      </c>
      <c r="DO93" s="796">
        <v>0.53500000000000003</v>
      </c>
      <c r="DP93" s="796">
        <v>0.53500000000000003</v>
      </c>
      <c r="DQ93" s="796">
        <v>0.53500000000000003</v>
      </c>
      <c r="DR93" s="911"/>
      <c r="DS93" s="911"/>
      <c r="DT93" s="796" t="s">
        <v>645</v>
      </c>
      <c r="DU93" s="1178"/>
      <c r="DX93" s="1000">
        <v>0.53500000000000003</v>
      </c>
      <c r="DY93" s="932"/>
      <c r="DZ93" s="932"/>
      <c r="EA93" s="932"/>
      <c r="EB93" s="932"/>
    </row>
    <row r="94" spans="91:132" ht="25.2" customHeight="1" outlineLevel="1">
      <c r="CM94" s="638" t="s">
        <v>464</v>
      </c>
      <c r="CN94" s="677">
        <f t="shared" si="17"/>
        <v>0</v>
      </c>
      <c r="CO94" s="681">
        <v>87</v>
      </c>
      <c r="CP94" s="704">
        <v>2</v>
      </c>
      <c r="CQ94" s="795" t="s">
        <v>464</v>
      </c>
      <c r="CR94" s="764">
        <v>0</v>
      </c>
      <c r="CS94" s="764">
        <v>0</v>
      </c>
      <c r="CT94" s="764">
        <v>0</v>
      </c>
      <c r="CU94" s="764">
        <v>0</v>
      </c>
      <c r="CV94" s="764">
        <v>0</v>
      </c>
      <c r="CW94" s="764">
        <v>0</v>
      </c>
      <c r="CX94" s="764">
        <f>(1-$CX$85-$CX$87)/4</f>
        <v>0.23100000000000001</v>
      </c>
      <c r="CY94" s="764">
        <v>0</v>
      </c>
      <c r="CZ94" s="764">
        <v>0</v>
      </c>
      <c r="DA94" s="764">
        <v>0</v>
      </c>
      <c r="DB94" s="764">
        <v>0</v>
      </c>
      <c r="DC94" s="764">
        <v>0</v>
      </c>
      <c r="DD94" s="764">
        <v>0</v>
      </c>
      <c r="DE94" s="764">
        <f>(1-$CX$85-$CX$87)/4</f>
        <v>0.23100000000000001</v>
      </c>
      <c r="DF94" s="764">
        <v>0</v>
      </c>
      <c r="DG94" s="764">
        <v>0</v>
      </c>
      <c r="DH94" s="764">
        <v>0</v>
      </c>
      <c r="DI94" s="764">
        <v>0</v>
      </c>
      <c r="DJ94" s="764">
        <v>0</v>
      </c>
      <c r="DK94" s="764">
        <v>0</v>
      </c>
      <c r="DL94" s="764">
        <f>(1-$CX$85-$CX$87)/4</f>
        <v>0.23100000000000001</v>
      </c>
      <c r="DM94" s="796">
        <v>0</v>
      </c>
      <c r="DN94" s="796">
        <v>0</v>
      </c>
      <c r="DO94" s="796">
        <v>0</v>
      </c>
      <c r="DP94" s="796">
        <v>0</v>
      </c>
      <c r="DQ94" s="796">
        <v>0</v>
      </c>
      <c r="DR94" s="911"/>
      <c r="DS94" s="911"/>
      <c r="DT94" s="796" t="s">
        <v>645</v>
      </c>
      <c r="DU94" s="1178"/>
      <c r="DX94" s="1000">
        <v>0</v>
      </c>
      <c r="DY94" s="932"/>
      <c r="DZ94" s="932"/>
      <c r="EA94" s="932"/>
      <c r="EB94" s="932"/>
    </row>
    <row r="95" spans="91:132" ht="25.2" customHeight="1" outlineLevel="1">
      <c r="CM95" s="638" t="s">
        <v>84</v>
      </c>
      <c r="CN95" s="677">
        <f t="shared" si="17"/>
        <v>3.5000000000000003E-2</v>
      </c>
      <c r="CO95" s="681">
        <v>88</v>
      </c>
      <c r="CP95" s="701">
        <v>1</v>
      </c>
      <c r="CQ95" s="795" t="s">
        <v>84</v>
      </c>
      <c r="CR95" s="764">
        <v>3.4000000000000002E-2</v>
      </c>
      <c r="CS95" s="764">
        <v>3.4000000000000002E-2</v>
      </c>
      <c r="CT95" s="764">
        <v>3.4000000000000002E-2</v>
      </c>
      <c r="CU95" s="764">
        <v>3.4000000000000002E-2</v>
      </c>
      <c r="CV95" s="764">
        <f>1-CV97</f>
        <v>0.93900000000000006</v>
      </c>
      <c r="CW95" s="764">
        <v>3.4000000000000002E-2</v>
      </c>
      <c r="CX95" s="764">
        <f>0.8*CW95</f>
        <v>2.7200000000000002E-2</v>
      </c>
      <c r="CY95" s="764">
        <v>3.4000000000000002E-2</v>
      </c>
      <c r="CZ95" s="764">
        <v>3.4000000000000002E-2</v>
      </c>
      <c r="DA95" s="764">
        <v>3.4000000000000002E-2</v>
      </c>
      <c r="DB95" s="764">
        <v>3.4000000000000002E-2</v>
      </c>
      <c r="DC95" s="764">
        <f>1-DC97</f>
        <v>0.93900000000000006</v>
      </c>
      <c r="DD95" s="764">
        <v>3.4000000000000002E-2</v>
      </c>
      <c r="DE95" s="764">
        <f>0.8*DD95</f>
        <v>2.7200000000000002E-2</v>
      </c>
      <c r="DF95" s="764">
        <v>3.4000000000000002E-2</v>
      </c>
      <c r="DG95" s="764">
        <v>3.4000000000000002E-2</v>
      </c>
      <c r="DH95" s="764">
        <v>3.4000000000000002E-2</v>
      </c>
      <c r="DI95" s="764">
        <v>3.4000000000000002E-2</v>
      </c>
      <c r="DJ95" s="764">
        <f>1-DJ97</f>
        <v>0.93900000000000006</v>
      </c>
      <c r="DK95" s="764">
        <v>3.4000000000000002E-2</v>
      </c>
      <c r="DL95" s="764">
        <f>0.8*DK95</f>
        <v>2.7200000000000002E-2</v>
      </c>
      <c r="DM95" s="796">
        <v>3.4000000000000002E-2</v>
      </c>
      <c r="DN95" s="796">
        <v>3.4000000000000002E-2</v>
      </c>
      <c r="DO95" s="796">
        <v>3.5000000000000003E-2</v>
      </c>
      <c r="DP95" s="796">
        <v>3.5000000000000003E-2</v>
      </c>
      <c r="DQ95" s="796">
        <v>3.5000000000000003E-2</v>
      </c>
      <c r="DR95" s="911"/>
      <c r="DS95" s="911"/>
      <c r="DT95" s="796" t="s">
        <v>645</v>
      </c>
      <c r="DU95" s="1178"/>
      <c r="DX95" s="1000">
        <v>3.4000000000000002E-2</v>
      </c>
      <c r="DY95" s="932"/>
      <c r="DZ95" s="932"/>
      <c r="EA95" s="932"/>
      <c r="EB95" s="932"/>
    </row>
    <row r="96" spans="91:132" ht="25.2" customHeight="1" outlineLevel="1">
      <c r="CM96" s="638" t="s">
        <v>85</v>
      </c>
      <c r="CN96" s="677">
        <f t="shared" si="17"/>
        <v>0.37</v>
      </c>
      <c r="CO96" s="681">
        <v>89</v>
      </c>
      <c r="CP96" s="704">
        <v>2</v>
      </c>
      <c r="CQ96" s="795" t="s">
        <v>85</v>
      </c>
      <c r="CR96" s="764">
        <v>0.37</v>
      </c>
      <c r="CS96" s="764">
        <v>0.37</v>
      </c>
      <c r="CT96" s="764">
        <v>0.37</v>
      </c>
      <c r="CU96" s="764">
        <v>0.37</v>
      </c>
      <c r="CV96" s="764">
        <v>0</v>
      </c>
      <c r="CW96" s="764">
        <v>0.37</v>
      </c>
      <c r="CX96" s="764">
        <f>(1-$CX$85-$CX$87)/4</f>
        <v>0.23100000000000001</v>
      </c>
      <c r="CY96" s="764">
        <v>0.37</v>
      </c>
      <c r="CZ96" s="764">
        <v>0.37</v>
      </c>
      <c r="DA96" s="764">
        <v>0.37</v>
      </c>
      <c r="DB96" s="764">
        <v>0.37</v>
      </c>
      <c r="DC96" s="764">
        <v>0</v>
      </c>
      <c r="DD96" s="764">
        <v>0.37</v>
      </c>
      <c r="DE96" s="764">
        <f>(1-$CX$85-$CX$87)/4</f>
        <v>0.23100000000000001</v>
      </c>
      <c r="DF96" s="764">
        <v>0.37</v>
      </c>
      <c r="DG96" s="764">
        <v>0.37</v>
      </c>
      <c r="DH96" s="764">
        <v>0.37</v>
      </c>
      <c r="DI96" s="764">
        <v>0.37</v>
      </c>
      <c r="DJ96" s="764">
        <v>0</v>
      </c>
      <c r="DK96" s="764">
        <v>0.37</v>
      </c>
      <c r="DL96" s="764">
        <f>(1-$CX$85-$CX$87)/4</f>
        <v>0.23100000000000001</v>
      </c>
      <c r="DM96" s="796">
        <v>0.37</v>
      </c>
      <c r="DN96" s="796">
        <v>0.37</v>
      </c>
      <c r="DO96" s="796">
        <v>0.37</v>
      </c>
      <c r="DP96" s="796">
        <v>0.37</v>
      </c>
      <c r="DQ96" s="796">
        <v>0.37</v>
      </c>
      <c r="DR96" s="911"/>
      <c r="DS96" s="911"/>
      <c r="DT96" s="796" t="s">
        <v>645</v>
      </c>
      <c r="DU96" s="1178"/>
      <c r="DX96" s="1000">
        <v>0.37</v>
      </c>
      <c r="DY96" s="932"/>
      <c r="DZ96" s="932"/>
      <c r="EA96" s="932"/>
      <c r="EB96" s="932"/>
    </row>
    <row r="97" spans="91:132" ht="25.2" customHeight="1" outlineLevel="1">
      <c r="CM97" s="638" t="s">
        <v>465</v>
      </c>
      <c r="CN97" s="677">
        <f t="shared" si="17"/>
        <v>0.06</v>
      </c>
      <c r="CO97" s="681">
        <v>90</v>
      </c>
      <c r="CP97" s="701">
        <v>1</v>
      </c>
      <c r="CQ97" s="795" t="s">
        <v>465</v>
      </c>
      <c r="CR97" s="764">
        <v>6.0999999999999999E-2</v>
      </c>
      <c r="CS97" s="764">
        <v>6.0999999999999999E-2</v>
      </c>
      <c r="CT97" s="764">
        <v>6.0999999999999999E-2</v>
      </c>
      <c r="CU97" s="764">
        <v>6.0999999999999999E-2</v>
      </c>
      <c r="CV97" s="764">
        <f>CW97</f>
        <v>6.0999999999999999E-2</v>
      </c>
      <c r="CW97" s="764">
        <v>6.0999999999999999E-2</v>
      </c>
      <c r="CX97" s="764">
        <f>0.8*CW97</f>
        <v>4.8800000000000003E-2</v>
      </c>
      <c r="CY97" s="764">
        <v>6.0999999999999999E-2</v>
      </c>
      <c r="CZ97" s="764">
        <v>6.0999999999999999E-2</v>
      </c>
      <c r="DA97" s="764">
        <v>6.0999999999999999E-2</v>
      </c>
      <c r="DB97" s="764">
        <v>6.0999999999999999E-2</v>
      </c>
      <c r="DC97" s="764">
        <f>DD97</f>
        <v>6.0999999999999999E-2</v>
      </c>
      <c r="DD97" s="764">
        <v>6.0999999999999999E-2</v>
      </c>
      <c r="DE97" s="764">
        <f>0.8*DD97</f>
        <v>4.8800000000000003E-2</v>
      </c>
      <c r="DF97" s="764">
        <v>6.0999999999999999E-2</v>
      </c>
      <c r="DG97" s="764">
        <v>6.0999999999999999E-2</v>
      </c>
      <c r="DH97" s="764">
        <v>6.0999999999999999E-2</v>
      </c>
      <c r="DI97" s="764">
        <v>6.0999999999999999E-2</v>
      </c>
      <c r="DJ97" s="764">
        <f>DK97</f>
        <v>6.0999999999999999E-2</v>
      </c>
      <c r="DK97" s="764">
        <v>6.0999999999999999E-2</v>
      </c>
      <c r="DL97" s="764">
        <f>0.8*DK97</f>
        <v>4.8800000000000003E-2</v>
      </c>
      <c r="DM97" s="796">
        <v>6.0999999999999999E-2</v>
      </c>
      <c r="DN97" s="796">
        <v>6.0999999999999999E-2</v>
      </c>
      <c r="DO97" s="796">
        <v>0.06</v>
      </c>
      <c r="DP97" s="796">
        <v>0.06</v>
      </c>
      <c r="DQ97" s="796">
        <v>0.06</v>
      </c>
      <c r="DR97" s="911"/>
      <c r="DS97" s="911"/>
      <c r="DT97" s="796" t="s">
        <v>645</v>
      </c>
      <c r="DU97" s="1178"/>
      <c r="DX97" s="1000">
        <v>6.0999999999999999E-2</v>
      </c>
      <c r="DY97" s="932"/>
      <c r="DZ97" s="932"/>
      <c r="EA97" s="932"/>
      <c r="EB97" s="932"/>
    </row>
    <row r="98" spans="91:132" ht="25.2" customHeight="1" outlineLevel="1">
      <c r="CM98" s="638" t="s">
        <v>5343</v>
      </c>
      <c r="CN98" s="677">
        <f t="shared" si="17"/>
        <v>0</v>
      </c>
      <c r="CO98" s="681">
        <v>91</v>
      </c>
      <c r="CP98" s="703">
        <v>2</v>
      </c>
      <c r="CQ98" s="795" t="s">
        <v>5343</v>
      </c>
      <c r="CR98" s="764">
        <v>0</v>
      </c>
      <c r="CS98" s="764">
        <v>0</v>
      </c>
      <c r="CT98" s="764">
        <v>0</v>
      </c>
      <c r="CU98" s="764">
        <v>0</v>
      </c>
      <c r="CV98" s="764">
        <v>0</v>
      </c>
      <c r="CW98" s="764">
        <v>0</v>
      </c>
      <c r="CX98" s="764">
        <v>0</v>
      </c>
      <c r="CY98" s="764">
        <v>0</v>
      </c>
      <c r="CZ98" s="764">
        <v>0</v>
      </c>
      <c r="DA98" s="764">
        <v>0</v>
      </c>
      <c r="DB98" s="764">
        <v>0</v>
      </c>
      <c r="DC98" s="764">
        <v>0</v>
      </c>
      <c r="DD98" s="764">
        <v>0</v>
      </c>
      <c r="DE98" s="764">
        <v>0</v>
      </c>
      <c r="DF98" s="764">
        <v>0</v>
      </c>
      <c r="DG98" s="764">
        <v>0</v>
      </c>
      <c r="DH98" s="764">
        <v>0</v>
      </c>
      <c r="DI98" s="764">
        <v>0</v>
      </c>
      <c r="DJ98" s="764">
        <v>0</v>
      </c>
      <c r="DK98" s="764">
        <v>0</v>
      </c>
      <c r="DL98" s="764">
        <v>0</v>
      </c>
      <c r="DM98" s="796">
        <v>0</v>
      </c>
      <c r="DN98" s="796">
        <v>0</v>
      </c>
      <c r="DO98" s="796">
        <v>0</v>
      </c>
      <c r="DP98" s="796">
        <v>0</v>
      </c>
      <c r="DQ98" s="796">
        <v>0</v>
      </c>
      <c r="DR98" s="911"/>
      <c r="DS98" s="911"/>
      <c r="DT98" s="796" t="s">
        <v>645</v>
      </c>
      <c r="DU98" s="1178"/>
      <c r="DX98" s="1000">
        <v>0</v>
      </c>
      <c r="DY98" s="932"/>
      <c r="DZ98" s="932"/>
      <c r="EA98" s="932"/>
      <c r="EB98" s="932"/>
    </row>
    <row r="99" spans="91:132" ht="25.2" customHeight="1" outlineLevel="1">
      <c r="CM99" s="638" t="s">
        <v>215</v>
      </c>
      <c r="CN99" s="677">
        <f t="shared" si="17"/>
        <v>0</v>
      </c>
      <c r="CO99" s="681">
        <v>92</v>
      </c>
      <c r="CP99" s="703">
        <v>2</v>
      </c>
      <c r="CQ99" s="795" t="s">
        <v>215</v>
      </c>
      <c r="CR99" s="764">
        <v>0</v>
      </c>
      <c r="CS99" s="764">
        <v>0</v>
      </c>
      <c r="CT99" s="764">
        <v>0</v>
      </c>
      <c r="CU99" s="764">
        <v>0</v>
      </c>
      <c r="CV99" s="764">
        <v>0</v>
      </c>
      <c r="CW99" s="764">
        <v>0</v>
      </c>
      <c r="CX99" s="764">
        <v>0</v>
      </c>
      <c r="CY99" s="764">
        <v>0</v>
      </c>
      <c r="CZ99" s="764">
        <v>0</v>
      </c>
      <c r="DA99" s="764">
        <v>0</v>
      </c>
      <c r="DB99" s="764">
        <v>0</v>
      </c>
      <c r="DC99" s="764">
        <v>0</v>
      </c>
      <c r="DD99" s="764">
        <v>0</v>
      </c>
      <c r="DE99" s="764">
        <v>0</v>
      </c>
      <c r="DF99" s="764">
        <v>0</v>
      </c>
      <c r="DG99" s="764">
        <v>0</v>
      </c>
      <c r="DH99" s="764">
        <v>0</v>
      </c>
      <c r="DI99" s="764">
        <v>0</v>
      </c>
      <c r="DJ99" s="764">
        <v>0</v>
      </c>
      <c r="DK99" s="764">
        <v>0</v>
      </c>
      <c r="DL99" s="764">
        <v>0</v>
      </c>
      <c r="DM99" s="796">
        <v>0</v>
      </c>
      <c r="DN99" s="796">
        <v>0</v>
      </c>
      <c r="DO99" s="796">
        <v>0</v>
      </c>
      <c r="DP99" s="796">
        <v>0</v>
      </c>
      <c r="DQ99" s="796">
        <v>0</v>
      </c>
      <c r="DR99" s="911"/>
      <c r="DS99" s="911"/>
      <c r="DT99" s="796" t="s">
        <v>645</v>
      </c>
      <c r="DU99" s="1178"/>
      <c r="DX99" s="1000">
        <v>0</v>
      </c>
      <c r="DY99" s="932"/>
      <c r="DZ99" s="932"/>
      <c r="EA99" s="932"/>
      <c r="EB99" s="932"/>
    </row>
    <row r="100" spans="91:132" ht="25.2" customHeight="1" outlineLevel="1">
      <c r="CO100" s="681">
        <v>93</v>
      </c>
      <c r="DT100" s="940"/>
      <c r="DU100" s="939"/>
      <c r="DX100" s="1001"/>
    </row>
    <row r="101" spans="91:132" ht="25.2" customHeight="1" outlineLevel="1">
      <c r="CM101" s="762" t="s">
        <v>32</v>
      </c>
      <c r="CO101" s="681">
        <v>94</v>
      </c>
      <c r="CQ101" s="762" t="s">
        <v>32</v>
      </c>
      <c r="DX101" s="1001"/>
    </row>
    <row r="102" spans="91:132" ht="25.2" customHeight="1" outlineLevel="1">
      <c r="CM102" s="638" t="s">
        <v>87</v>
      </c>
      <c r="CN102" s="677">
        <f t="shared" ref="CN102:CN109" si="18">HLOOKUP(CN$7,$CR$7:$DQ$129,($CO102+1),FALSE)</f>
        <v>0</v>
      </c>
      <c r="CO102" s="681">
        <v>95</v>
      </c>
      <c r="CP102" s="704">
        <v>2</v>
      </c>
      <c r="CQ102" s="795" t="s">
        <v>87</v>
      </c>
      <c r="CR102" s="764">
        <v>7.0000000000000001E-3</v>
      </c>
      <c r="CS102" s="764">
        <v>7.0000000000000001E-3</v>
      </c>
      <c r="CT102" s="764">
        <v>7.0000000000000001E-3</v>
      </c>
      <c r="CU102" s="764">
        <v>7.0000000000000001E-3</v>
      </c>
      <c r="CV102" s="764">
        <v>0</v>
      </c>
      <c r="CW102" s="764">
        <v>7.0000000000000001E-3</v>
      </c>
      <c r="CX102" s="764">
        <f>(1-$CX$105-$CX$107)/4</f>
        <v>0.11679999999999999</v>
      </c>
      <c r="CY102" s="764">
        <v>7.0000000000000001E-3</v>
      </c>
      <c r="CZ102" s="764">
        <v>7.0000000000000001E-3</v>
      </c>
      <c r="DA102" s="764">
        <v>7.0000000000000001E-3</v>
      </c>
      <c r="DB102" s="764">
        <v>7.0000000000000001E-3</v>
      </c>
      <c r="DC102" s="764">
        <v>0</v>
      </c>
      <c r="DD102" s="764">
        <v>7.0000000000000001E-3</v>
      </c>
      <c r="DE102" s="764">
        <f>(1-$CX$105-$CX$107)/4</f>
        <v>0.11679999999999999</v>
      </c>
      <c r="DF102" s="764">
        <v>7.0000000000000001E-3</v>
      </c>
      <c r="DG102" s="764">
        <v>7.0000000000000001E-3</v>
      </c>
      <c r="DH102" s="764">
        <v>7.0000000000000001E-3</v>
      </c>
      <c r="DI102" s="764">
        <v>7.0000000000000001E-3</v>
      </c>
      <c r="DJ102" s="764">
        <v>0</v>
      </c>
      <c r="DK102" s="764">
        <v>7.0000000000000001E-3</v>
      </c>
      <c r="DL102" s="764">
        <f>(1-$CX$105-$CX$107)/4</f>
        <v>0.11679999999999999</v>
      </c>
      <c r="DM102" s="796">
        <v>7.0000000000000001E-3</v>
      </c>
      <c r="DN102" s="796">
        <v>7.0000000000000001E-3</v>
      </c>
      <c r="DO102" s="1015">
        <v>0</v>
      </c>
      <c r="DP102" s="1015">
        <v>0</v>
      </c>
      <c r="DQ102" s="1015">
        <v>0</v>
      </c>
      <c r="DR102" s="911"/>
      <c r="DS102" s="911"/>
      <c r="DT102" s="796" t="s">
        <v>645</v>
      </c>
      <c r="DU102" s="1177" t="s">
        <v>5849</v>
      </c>
      <c r="DX102" s="1000">
        <v>7.0000000000000001E-3</v>
      </c>
      <c r="DY102" s="932"/>
      <c r="DZ102" s="932"/>
      <c r="EA102" s="932"/>
      <c r="EB102" s="932"/>
    </row>
    <row r="103" spans="91:132" ht="25.2" customHeight="1" outlineLevel="1">
      <c r="CM103" s="638" t="s">
        <v>5338</v>
      </c>
      <c r="CN103" s="677">
        <f t="shared" si="18"/>
        <v>0.29699999999999999</v>
      </c>
      <c r="CO103" s="681">
        <v>96</v>
      </c>
      <c r="CP103" s="704">
        <v>2</v>
      </c>
      <c r="CQ103" s="795" t="s">
        <v>5338</v>
      </c>
      <c r="CR103" s="764">
        <v>0.29699999999999999</v>
      </c>
      <c r="CS103" s="764">
        <v>0.29699999999999999</v>
      </c>
      <c r="CT103" s="764">
        <v>0.29699999999999999</v>
      </c>
      <c r="CU103" s="764">
        <v>0.29699999999999999</v>
      </c>
      <c r="CV103" s="764">
        <v>0</v>
      </c>
      <c r="CW103" s="764">
        <v>0.29699999999999999</v>
      </c>
      <c r="CX103" s="764">
        <f>(1-$CX$105-$CX$107)/4</f>
        <v>0.11679999999999999</v>
      </c>
      <c r="CY103" s="764">
        <v>0.29699999999999999</v>
      </c>
      <c r="CZ103" s="764">
        <v>0.29699999999999999</v>
      </c>
      <c r="DA103" s="764">
        <v>0.29699999999999999</v>
      </c>
      <c r="DB103" s="764">
        <v>0.29699999999999999</v>
      </c>
      <c r="DC103" s="764">
        <v>0</v>
      </c>
      <c r="DD103" s="764">
        <v>0.29699999999999999</v>
      </c>
      <c r="DE103" s="764">
        <f>(1-$CX$105-$CX$107)/4</f>
        <v>0.11679999999999999</v>
      </c>
      <c r="DF103" s="764">
        <v>0.29699999999999999</v>
      </c>
      <c r="DG103" s="764">
        <v>0.29699999999999999</v>
      </c>
      <c r="DH103" s="764">
        <v>0.29699999999999999</v>
      </c>
      <c r="DI103" s="764">
        <v>0.29699999999999999</v>
      </c>
      <c r="DJ103" s="764">
        <v>0</v>
      </c>
      <c r="DK103" s="764">
        <v>0.29699999999999999</v>
      </c>
      <c r="DL103" s="764">
        <f>(1-$CX$105-$CX$107)/4</f>
        <v>0.11679999999999999</v>
      </c>
      <c r="DM103" s="796">
        <v>0.29699999999999999</v>
      </c>
      <c r="DN103" s="796">
        <v>0.29699999999999999</v>
      </c>
      <c r="DO103" s="1015">
        <v>0.29699999999999999</v>
      </c>
      <c r="DP103" s="1015">
        <v>0.29699999999999999</v>
      </c>
      <c r="DQ103" s="1015">
        <v>0.29699999999999999</v>
      </c>
      <c r="DR103" s="911"/>
      <c r="DS103" s="911"/>
      <c r="DT103" s="796" t="s">
        <v>645</v>
      </c>
      <c r="DU103" s="1178"/>
      <c r="DX103" s="1000">
        <v>0.29699999999999999</v>
      </c>
      <c r="DY103" s="932"/>
      <c r="DZ103" s="932"/>
      <c r="EA103" s="932"/>
      <c r="EB103" s="932"/>
    </row>
    <row r="104" spans="91:132" ht="25.2" customHeight="1" outlineLevel="1">
      <c r="CM104" s="638" t="s">
        <v>464</v>
      </c>
      <c r="CN104" s="677">
        <f t="shared" si="18"/>
        <v>0</v>
      </c>
      <c r="CO104" s="681">
        <v>97</v>
      </c>
      <c r="CP104" s="704">
        <v>2</v>
      </c>
      <c r="CQ104" s="795" t="s">
        <v>464</v>
      </c>
      <c r="CR104" s="764">
        <v>0</v>
      </c>
      <c r="CS104" s="764">
        <v>0</v>
      </c>
      <c r="CT104" s="764">
        <v>0</v>
      </c>
      <c r="CU104" s="764">
        <v>0</v>
      </c>
      <c r="CV104" s="764">
        <v>0</v>
      </c>
      <c r="CW104" s="764">
        <v>0</v>
      </c>
      <c r="CX104" s="764">
        <f>(1-$CX$105-$CX$107)/4</f>
        <v>0.11679999999999999</v>
      </c>
      <c r="CY104" s="764">
        <v>0</v>
      </c>
      <c r="CZ104" s="764">
        <v>0</v>
      </c>
      <c r="DA104" s="764">
        <v>0</v>
      </c>
      <c r="DB104" s="764">
        <v>0</v>
      </c>
      <c r="DC104" s="764">
        <v>0</v>
      </c>
      <c r="DD104" s="764">
        <v>0</v>
      </c>
      <c r="DE104" s="764">
        <f>(1-$CX$105-$CX$107)/4</f>
        <v>0.11679999999999999</v>
      </c>
      <c r="DF104" s="764">
        <v>0</v>
      </c>
      <c r="DG104" s="764">
        <v>0</v>
      </c>
      <c r="DH104" s="764">
        <v>0</v>
      </c>
      <c r="DI104" s="764">
        <v>0</v>
      </c>
      <c r="DJ104" s="764">
        <v>0</v>
      </c>
      <c r="DK104" s="764">
        <v>0</v>
      </c>
      <c r="DL104" s="764">
        <f>(1-$CX$105-$CX$107)/4</f>
        <v>0.11679999999999999</v>
      </c>
      <c r="DM104" s="796">
        <v>0</v>
      </c>
      <c r="DN104" s="796">
        <v>0</v>
      </c>
      <c r="DO104" s="1015">
        <v>0</v>
      </c>
      <c r="DP104" s="1015">
        <v>0</v>
      </c>
      <c r="DQ104" s="1015">
        <v>0</v>
      </c>
      <c r="DR104" s="911"/>
      <c r="DS104" s="911"/>
      <c r="DT104" s="796" t="s">
        <v>645</v>
      </c>
      <c r="DU104" s="1178"/>
      <c r="DX104" s="1000">
        <v>0</v>
      </c>
      <c r="DY104" s="932"/>
      <c r="DZ104" s="932"/>
      <c r="EA104" s="932"/>
      <c r="EB104" s="932"/>
    </row>
    <row r="105" spans="91:132" ht="25.2" customHeight="1" outlineLevel="1">
      <c r="CM105" s="638" t="s">
        <v>84</v>
      </c>
      <c r="CN105" s="677">
        <f t="shared" si="18"/>
        <v>3.7000000000000033E-2</v>
      </c>
      <c r="CO105" s="681">
        <v>98</v>
      </c>
      <c r="CP105" s="701">
        <v>1</v>
      </c>
      <c r="CQ105" s="795" t="s">
        <v>84</v>
      </c>
      <c r="CR105" s="764">
        <v>0</v>
      </c>
      <c r="CS105" s="764">
        <v>0</v>
      </c>
      <c r="CT105" s="764">
        <v>0</v>
      </c>
      <c r="CU105" s="764">
        <v>0</v>
      </c>
      <c r="CV105" s="764">
        <f>1-CV107</f>
        <v>0.33399999999999996</v>
      </c>
      <c r="CW105" s="764">
        <v>0</v>
      </c>
      <c r="CX105" s="764">
        <f>0.8*CW105</f>
        <v>0</v>
      </c>
      <c r="CY105" s="764">
        <v>0</v>
      </c>
      <c r="CZ105" s="764">
        <v>0</v>
      </c>
      <c r="DA105" s="764">
        <v>0</v>
      </c>
      <c r="DB105" s="764">
        <v>0</v>
      </c>
      <c r="DC105" s="764">
        <f>1-DC107</f>
        <v>0.33399999999999996</v>
      </c>
      <c r="DD105" s="764">
        <v>0</v>
      </c>
      <c r="DE105" s="764">
        <f>0.8*DD105</f>
        <v>0</v>
      </c>
      <c r="DF105" s="764">
        <v>0</v>
      </c>
      <c r="DG105" s="764">
        <v>0</v>
      </c>
      <c r="DH105" s="764">
        <v>0</v>
      </c>
      <c r="DI105" s="764">
        <v>0</v>
      </c>
      <c r="DJ105" s="764">
        <f>1-DJ107</f>
        <v>0.33399999999999996</v>
      </c>
      <c r="DK105" s="764">
        <v>0</v>
      </c>
      <c r="DL105" s="764">
        <f>0.8*DK105</f>
        <v>0</v>
      </c>
      <c r="DM105" s="796">
        <v>0</v>
      </c>
      <c r="DN105" s="796">
        <v>0</v>
      </c>
      <c r="DO105" s="1015">
        <f>1-DO103-DO107</f>
        <v>3.7000000000000033E-2</v>
      </c>
      <c r="DP105" s="1015">
        <f>1-DP103-DP107</f>
        <v>3.7000000000000033E-2</v>
      </c>
      <c r="DQ105" s="1015">
        <f>1-DQ103-DQ107</f>
        <v>3.7000000000000033E-2</v>
      </c>
      <c r="DR105" s="911"/>
      <c r="DS105" s="911"/>
      <c r="DT105" s="796" t="s">
        <v>645</v>
      </c>
      <c r="DU105" s="1178"/>
      <c r="DX105" s="1000">
        <v>0</v>
      </c>
      <c r="DY105" s="932"/>
      <c r="DZ105" s="932"/>
      <c r="EA105" s="932"/>
      <c r="EB105" s="932"/>
    </row>
    <row r="106" spans="91:132" ht="25.2" customHeight="1" outlineLevel="1">
      <c r="CM106" s="638" t="s">
        <v>85</v>
      </c>
      <c r="CN106" s="677">
        <f t="shared" si="18"/>
        <v>0</v>
      </c>
      <c r="CO106" s="681">
        <v>99</v>
      </c>
      <c r="CP106" s="704">
        <v>2</v>
      </c>
      <c r="CQ106" s="795" t="s">
        <v>85</v>
      </c>
      <c r="CR106" s="764">
        <v>0</v>
      </c>
      <c r="CS106" s="764">
        <v>0</v>
      </c>
      <c r="CT106" s="764">
        <v>0</v>
      </c>
      <c r="CU106" s="764">
        <v>0</v>
      </c>
      <c r="CV106" s="764">
        <v>0</v>
      </c>
      <c r="CW106" s="764">
        <v>0</v>
      </c>
      <c r="CX106" s="764">
        <f>(1-$CX$105-$CX$107)/4</f>
        <v>0.11679999999999999</v>
      </c>
      <c r="CY106" s="764">
        <v>0</v>
      </c>
      <c r="CZ106" s="764">
        <v>0</v>
      </c>
      <c r="DA106" s="764">
        <v>0</v>
      </c>
      <c r="DB106" s="764">
        <v>0</v>
      </c>
      <c r="DC106" s="764">
        <v>0</v>
      </c>
      <c r="DD106" s="764">
        <v>0</v>
      </c>
      <c r="DE106" s="764">
        <f>(1-$CX$105-$CX$107)/4</f>
        <v>0.11679999999999999</v>
      </c>
      <c r="DF106" s="764">
        <v>0</v>
      </c>
      <c r="DG106" s="764">
        <v>0</v>
      </c>
      <c r="DH106" s="764">
        <v>0</v>
      </c>
      <c r="DI106" s="764">
        <v>0</v>
      </c>
      <c r="DJ106" s="764">
        <v>0</v>
      </c>
      <c r="DK106" s="764">
        <v>0</v>
      </c>
      <c r="DL106" s="764">
        <f>(1-$CX$105-$CX$107)/4</f>
        <v>0.11679999999999999</v>
      </c>
      <c r="DM106" s="796">
        <v>0</v>
      </c>
      <c r="DN106" s="796">
        <v>0</v>
      </c>
      <c r="DO106" s="1015">
        <v>0</v>
      </c>
      <c r="DP106" s="1015">
        <v>0</v>
      </c>
      <c r="DQ106" s="1015">
        <v>0</v>
      </c>
      <c r="DR106" s="911"/>
      <c r="DS106" s="911"/>
      <c r="DT106" s="796" t="s">
        <v>645</v>
      </c>
      <c r="DU106" s="1178"/>
      <c r="DX106" s="1000">
        <v>0</v>
      </c>
      <c r="DY106" s="932"/>
      <c r="DZ106" s="932"/>
      <c r="EA106" s="932"/>
      <c r="EB106" s="932"/>
    </row>
    <row r="107" spans="91:132" ht="25.2" customHeight="1" outlineLevel="1">
      <c r="CM107" s="638" t="s">
        <v>465</v>
      </c>
      <c r="CN107" s="677">
        <f t="shared" si="18"/>
        <v>0.66600000000000004</v>
      </c>
      <c r="CO107" s="681">
        <v>100</v>
      </c>
      <c r="CP107" s="701">
        <v>1</v>
      </c>
      <c r="CQ107" s="795" t="s">
        <v>465</v>
      </c>
      <c r="CR107" s="764">
        <v>0.66600000000000004</v>
      </c>
      <c r="CS107" s="764">
        <v>0.66600000000000004</v>
      </c>
      <c r="CT107" s="764">
        <v>0.66600000000000004</v>
      </c>
      <c r="CU107" s="764">
        <v>0.66600000000000004</v>
      </c>
      <c r="CV107" s="764">
        <f>CW107</f>
        <v>0.66600000000000004</v>
      </c>
      <c r="CW107" s="764">
        <v>0.66600000000000004</v>
      </c>
      <c r="CX107" s="764">
        <f>0.8*CW107</f>
        <v>0.53280000000000005</v>
      </c>
      <c r="CY107" s="764">
        <v>0.66600000000000004</v>
      </c>
      <c r="CZ107" s="764">
        <v>0.66600000000000004</v>
      </c>
      <c r="DA107" s="764">
        <v>0.66600000000000004</v>
      </c>
      <c r="DB107" s="764">
        <v>0.66600000000000004</v>
      </c>
      <c r="DC107" s="764">
        <f>DD107</f>
        <v>0.66600000000000004</v>
      </c>
      <c r="DD107" s="764">
        <v>0.66600000000000004</v>
      </c>
      <c r="DE107" s="764">
        <f>0.8*DD107</f>
        <v>0.53280000000000005</v>
      </c>
      <c r="DF107" s="764">
        <v>0.66600000000000004</v>
      </c>
      <c r="DG107" s="764">
        <v>0.66600000000000004</v>
      </c>
      <c r="DH107" s="764">
        <v>0.66600000000000004</v>
      </c>
      <c r="DI107" s="764">
        <v>0.66600000000000004</v>
      </c>
      <c r="DJ107" s="764">
        <f>DK107</f>
        <v>0.66600000000000004</v>
      </c>
      <c r="DK107" s="764">
        <v>0.66600000000000004</v>
      </c>
      <c r="DL107" s="764">
        <f>0.8*DK107</f>
        <v>0.53280000000000005</v>
      </c>
      <c r="DM107" s="796">
        <v>0.66600000000000004</v>
      </c>
      <c r="DN107" s="796">
        <v>0.66600000000000004</v>
      </c>
      <c r="DO107" s="1015">
        <v>0.66600000000000004</v>
      </c>
      <c r="DP107" s="1015">
        <v>0.66600000000000004</v>
      </c>
      <c r="DQ107" s="1015">
        <v>0.66600000000000004</v>
      </c>
      <c r="DR107" s="911"/>
      <c r="DS107" s="911"/>
      <c r="DT107" s="796" t="s">
        <v>645</v>
      </c>
      <c r="DU107" s="1178"/>
      <c r="DX107" s="1000">
        <v>0.66600000000000004</v>
      </c>
      <c r="DY107" s="932"/>
      <c r="DZ107" s="932"/>
      <c r="EA107" s="932"/>
      <c r="EB107" s="932"/>
    </row>
    <row r="108" spans="91:132" ht="25.2" customHeight="1" outlineLevel="1">
      <c r="CM108" s="638" t="s">
        <v>5343</v>
      </c>
      <c r="CN108" s="677">
        <f t="shared" si="18"/>
        <v>0</v>
      </c>
      <c r="CO108" s="681">
        <v>101</v>
      </c>
      <c r="CP108" s="703">
        <v>2</v>
      </c>
      <c r="CQ108" s="795" t="s">
        <v>5343</v>
      </c>
      <c r="CR108" s="764">
        <v>0.03</v>
      </c>
      <c r="CS108" s="764">
        <v>0.03</v>
      </c>
      <c r="CT108" s="764">
        <v>0.03</v>
      </c>
      <c r="CU108" s="764">
        <v>0.03</v>
      </c>
      <c r="CV108" s="764">
        <v>0</v>
      </c>
      <c r="CW108" s="764">
        <v>0.03</v>
      </c>
      <c r="CX108" s="764">
        <v>0</v>
      </c>
      <c r="CY108" s="764">
        <v>0.03</v>
      </c>
      <c r="CZ108" s="764">
        <v>0.03</v>
      </c>
      <c r="DA108" s="764">
        <v>0.03</v>
      </c>
      <c r="DB108" s="764">
        <v>0.03</v>
      </c>
      <c r="DC108" s="764">
        <v>0</v>
      </c>
      <c r="DD108" s="764">
        <v>0.03</v>
      </c>
      <c r="DE108" s="764">
        <v>0</v>
      </c>
      <c r="DF108" s="764">
        <v>0.03</v>
      </c>
      <c r="DG108" s="764">
        <v>0.03</v>
      </c>
      <c r="DH108" s="764">
        <v>0.03</v>
      </c>
      <c r="DI108" s="764">
        <v>0.03</v>
      </c>
      <c r="DJ108" s="764">
        <v>0</v>
      </c>
      <c r="DK108" s="764">
        <v>0.03</v>
      </c>
      <c r="DL108" s="764">
        <v>0</v>
      </c>
      <c r="DM108" s="796">
        <v>0.03</v>
      </c>
      <c r="DN108" s="796">
        <v>0.03</v>
      </c>
      <c r="DO108" s="1015">
        <v>0</v>
      </c>
      <c r="DP108" s="1015">
        <v>0</v>
      </c>
      <c r="DQ108" s="1015">
        <v>0</v>
      </c>
      <c r="DR108" s="911"/>
      <c r="DS108" s="911"/>
      <c r="DT108" s="796" t="s">
        <v>645</v>
      </c>
      <c r="DU108" s="1178"/>
      <c r="DX108" s="1000">
        <v>0.03</v>
      </c>
      <c r="DY108" s="932"/>
      <c r="DZ108" s="932"/>
      <c r="EA108" s="932"/>
      <c r="EB108" s="932"/>
    </row>
    <row r="109" spans="91:132" ht="25.2" customHeight="1" outlineLevel="1">
      <c r="CM109" s="638" t="s">
        <v>215</v>
      </c>
      <c r="CN109" s="677">
        <f t="shared" si="18"/>
        <v>0</v>
      </c>
      <c r="CO109" s="681">
        <v>102</v>
      </c>
      <c r="CP109" s="703">
        <v>2</v>
      </c>
      <c r="CQ109" s="795" t="s">
        <v>215</v>
      </c>
      <c r="CR109" s="764">
        <v>0</v>
      </c>
      <c r="CS109" s="764">
        <v>0</v>
      </c>
      <c r="CT109" s="764">
        <v>0</v>
      </c>
      <c r="CU109" s="764">
        <v>0</v>
      </c>
      <c r="CV109" s="764">
        <v>0</v>
      </c>
      <c r="CW109" s="764">
        <v>0</v>
      </c>
      <c r="CX109" s="764">
        <v>0</v>
      </c>
      <c r="CY109" s="764">
        <v>0</v>
      </c>
      <c r="CZ109" s="764">
        <v>0</v>
      </c>
      <c r="DA109" s="764">
        <v>0</v>
      </c>
      <c r="DB109" s="764">
        <v>0</v>
      </c>
      <c r="DC109" s="764">
        <v>0</v>
      </c>
      <c r="DD109" s="764">
        <v>0</v>
      </c>
      <c r="DE109" s="764">
        <v>0</v>
      </c>
      <c r="DF109" s="764">
        <v>0</v>
      </c>
      <c r="DG109" s="764">
        <v>0</v>
      </c>
      <c r="DH109" s="764">
        <v>0</v>
      </c>
      <c r="DI109" s="764">
        <v>0</v>
      </c>
      <c r="DJ109" s="764">
        <v>0</v>
      </c>
      <c r="DK109" s="764">
        <v>0</v>
      </c>
      <c r="DL109" s="764">
        <v>0</v>
      </c>
      <c r="DM109" s="796">
        <v>0</v>
      </c>
      <c r="DN109" s="796">
        <v>0</v>
      </c>
      <c r="DO109" s="1015">
        <v>0</v>
      </c>
      <c r="DP109" s="1015">
        <v>0</v>
      </c>
      <c r="DQ109" s="1015">
        <v>0</v>
      </c>
      <c r="DR109" s="911"/>
      <c r="DS109" s="911"/>
      <c r="DT109" s="796" t="s">
        <v>645</v>
      </c>
      <c r="DU109" s="1178"/>
      <c r="DX109" s="1000">
        <v>0</v>
      </c>
      <c r="DY109" s="932"/>
      <c r="DZ109" s="932"/>
      <c r="EA109" s="932"/>
      <c r="EB109" s="932"/>
    </row>
    <row r="110" spans="91:132" ht="18" outlineLevel="1">
      <c r="CO110" s="681">
        <v>103</v>
      </c>
      <c r="DX110" s="1001"/>
    </row>
    <row r="111" spans="91:132" ht="25.2" customHeight="1" outlineLevel="1">
      <c r="CM111" s="762" t="s">
        <v>5554</v>
      </c>
      <c r="CO111" s="681">
        <v>104</v>
      </c>
      <c r="CQ111" s="762" t="s">
        <v>5554</v>
      </c>
      <c r="DX111" s="1001"/>
    </row>
    <row r="112" spans="91:132" ht="25.2" customHeight="1" outlineLevel="1">
      <c r="CM112" s="638" t="s">
        <v>87</v>
      </c>
      <c r="CN112" s="677">
        <f t="shared" ref="CN112:CN119" si="19">HLOOKUP(CN$7,$CR$7:$DQ$129,($CO112+1),FALSE)</f>
        <v>0</v>
      </c>
      <c r="CO112" s="681">
        <v>105</v>
      </c>
      <c r="CP112" s="704">
        <v>2</v>
      </c>
      <c r="CQ112" s="795" t="s">
        <v>87</v>
      </c>
      <c r="CR112" s="764">
        <v>0</v>
      </c>
      <c r="CS112" s="764">
        <v>0</v>
      </c>
      <c r="CT112" s="764">
        <v>0</v>
      </c>
      <c r="CU112" s="764">
        <v>0</v>
      </c>
      <c r="CV112" s="764">
        <v>0</v>
      </c>
      <c r="CW112" s="764">
        <v>0</v>
      </c>
      <c r="CX112" s="764">
        <f>(1-$CX$115-$CX$117)/4</f>
        <v>0.13799999999999998</v>
      </c>
      <c r="CY112" s="764">
        <v>0</v>
      </c>
      <c r="CZ112" s="764">
        <v>0</v>
      </c>
      <c r="DA112" s="764">
        <v>0</v>
      </c>
      <c r="DB112" s="764">
        <v>0</v>
      </c>
      <c r="DC112" s="764">
        <v>0</v>
      </c>
      <c r="DD112" s="764">
        <v>0</v>
      </c>
      <c r="DE112" s="764">
        <f>(1-$CX$115-$CX$117)/4</f>
        <v>0.13799999999999998</v>
      </c>
      <c r="DF112" s="764">
        <v>0</v>
      </c>
      <c r="DG112" s="764">
        <v>0</v>
      </c>
      <c r="DH112" s="764">
        <v>0</v>
      </c>
      <c r="DI112" s="764">
        <v>0</v>
      </c>
      <c r="DJ112" s="764">
        <v>0</v>
      </c>
      <c r="DK112" s="764">
        <v>0</v>
      </c>
      <c r="DL112" s="764">
        <f>(1-$CX$115-$CX$117)/4</f>
        <v>0.13799999999999998</v>
      </c>
      <c r="DM112" s="796">
        <v>0</v>
      </c>
      <c r="DN112" s="796">
        <v>0</v>
      </c>
      <c r="DO112" s="796">
        <v>0</v>
      </c>
      <c r="DP112" s="796">
        <v>0</v>
      </c>
      <c r="DQ112" s="796">
        <v>0</v>
      </c>
      <c r="DR112" s="911"/>
      <c r="DS112" s="911"/>
      <c r="DT112" s="796" t="s">
        <v>645</v>
      </c>
      <c r="DU112" s="1177" t="s">
        <v>5849</v>
      </c>
      <c r="DX112" s="1000">
        <v>0</v>
      </c>
      <c r="DY112" s="932"/>
      <c r="DZ112" s="932"/>
      <c r="EA112" s="932"/>
      <c r="EB112" s="932"/>
    </row>
    <row r="113" spans="91:132" ht="25.2" customHeight="1" outlineLevel="1">
      <c r="CM113" s="638" t="s">
        <v>5338</v>
      </c>
      <c r="CN113" s="677">
        <f t="shared" si="19"/>
        <v>0</v>
      </c>
      <c r="CO113" s="681">
        <v>106</v>
      </c>
      <c r="CP113" s="704">
        <v>2</v>
      </c>
      <c r="CQ113" s="795" t="s">
        <v>5338</v>
      </c>
      <c r="CR113" s="764">
        <v>0</v>
      </c>
      <c r="CS113" s="764">
        <v>0</v>
      </c>
      <c r="CT113" s="764">
        <v>0</v>
      </c>
      <c r="CU113" s="764">
        <v>0</v>
      </c>
      <c r="CV113" s="764">
        <v>0</v>
      </c>
      <c r="CW113" s="764">
        <v>0</v>
      </c>
      <c r="CX113" s="764">
        <f>(1-$CX$115-$CX$117)/4</f>
        <v>0.13799999999999998</v>
      </c>
      <c r="CY113" s="764">
        <v>0</v>
      </c>
      <c r="CZ113" s="764">
        <v>0</v>
      </c>
      <c r="DA113" s="764">
        <v>0</v>
      </c>
      <c r="DB113" s="764">
        <v>0</v>
      </c>
      <c r="DC113" s="764">
        <v>0</v>
      </c>
      <c r="DD113" s="764">
        <v>0</v>
      </c>
      <c r="DE113" s="764">
        <f>(1-$CX$115-$CX$117)/4</f>
        <v>0.13799999999999998</v>
      </c>
      <c r="DF113" s="764">
        <v>0</v>
      </c>
      <c r="DG113" s="764">
        <v>0</v>
      </c>
      <c r="DH113" s="764">
        <v>0</v>
      </c>
      <c r="DI113" s="764">
        <v>0</v>
      </c>
      <c r="DJ113" s="764">
        <v>0</v>
      </c>
      <c r="DK113" s="764">
        <v>0</v>
      </c>
      <c r="DL113" s="764">
        <f>(1-$CX$115-$CX$117)/4</f>
        <v>0.13799999999999998</v>
      </c>
      <c r="DM113" s="796">
        <v>0</v>
      </c>
      <c r="DN113" s="796">
        <v>0</v>
      </c>
      <c r="DO113" s="796">
        <v>0</v>
      </c>
      <c r="DP113" s="796">
        <v>0</v>
      </c>
      <c r="DQ113" s="796">
        <v>0</v>
      </c>
      <c r="DR113" s="911"/>
      <c r="DS113" s="911"/>
      <c r="DT113" s="796" t="s">
        <v>645</v>
      </c>
      <c r="DU113" s="1178"/>
      <c r="DX113" s="1000">
        <v>0</v>
      </c>
      <c r="DY113" s="932"/>
      <c r="DZ113" s="932"/>
      <c r="EA113" s="932"/>
      <c r="EB113" s="932"/>
    </row>
    <row r="114" spans="91:132" ht="25.2" customHeight="1" outlineLevel="1">
      <c r="CM114" s="638" t="s">
        <v>464</v>
      </c>
      <c r="CN114" s="677">
        <f t="shared" si="19"/>
        <v>4.0000000000000001E-3</v>
      </c>
      <c r="CO114" s="681">
        <v>107</v>
      </c>
      <c r="CP114" s="704">
        <v>2</v>
      </c>
      <c r="CQ114" s="795" t="s">
        <v>464</v>
      </c>
      <c r="CR114" s="764">
        <v>4.0000000000000001E-3</v>
      </c>
      <c r="CS114" s="764">
        <v>4.0000000000000001E-3</v>
      </c>
      <c r="CT114" s="764">
        <v>4.0000000000000001E-3</v>
      </c>
      <c r="CU114" s="764">
        <v>4.0000000000000001E-3</v>
      </c>
      <c r="CV114" s="764">
        <v>0</v>
      </c>
      <c r="CW114" s="764">
        <v>4.0000000000000001E-3</v>
      </c>
      <c r="CX114" s="764">
        <f>(1-$CX$115-$CX$117)/4</f>
        <v>0.13799999999999998</v>
      </c>
      <c r="CY114" s="764">
        <v>4.0000000000000001E-3</v>
      </c>
      <c r="CZ114" s="764">
        <v>4.0000000000000001E-3</v>
      </c>
      <c r="DA114" s="764">
        <v>4.0000000000000001E-3</v>
      </c>
      <c r="DB114" s="764">
        <v>4.0000000000000001E-3</v>
      </c>
      <c r="DC114" s="764">
        <v>0</v>
      </c>
      <c r="DD114" s="764">
        <v>4.0000000000000001E-3</v>
      </c>
      <c r="DE114" s="764">
        <f>(1-$CX$115-$CX$117)/4</f>
        <v>0.13799999999999998</v>
      </c>
      <c r="DF114" s="764">
        <v>4.0000000000000001E-3</v>
      </c>
      <c r="DG114" s="764">
        <v>4.0000000000000001E-3</v>
      </c>
      <c r="DH114" s="764">
        <v>4.0000000000000001E-3</v>
      </c>
      <c r="DI114" s="764">
        <v>4.0000000000000001E-3</v>
      </c>
      <c r="DJ114" s="764">
        <v>0</v>
      </c>
      <c r="DK114" s="764">
        <v>4.0000000000000001E-3</v>
      </c>
      <c r="DL114" s="764">
        <f>(1-$CX$115-$CX$117)/4</f>
        <v>0.13799999999999998</v>
      </c>
      <c r="DM114" s="796">
        <v>4.0000000000000001E-3</v>
      </c>
      <c r="DN114" s="796">
        <v>4.0000000000000001E-3</v>
      </c>
      <c r="DO114" s="796">
        <v>4.0000000000000001E-3</v>
      </c>
      <c r="DP114" s="796">
        <v>4.0000000000000001E-3</v>
      </c>
      <c r="DQ114" s="796">
        <v>4.0000000000000001E-3</v>
      </c>
      <c r="DR114" s="911"/>
      <c r="DS114" s="911"/>
      <c r="DT114" s="796" t="s">
        <v>645</v>
      </c>
      <c r="DU114" s="1178"/>
      <c r="DX114" s="1000">
        <v>4.0000000000000001E-3</v>
      </c>
      <c r="DY114" s="932"/>
      <c r="DZ114" s="932"/>
      <c r="EA114" s="932"/>
      <c r="EB114" s="932"/>
    </row>
    <row r="115" spans="91:132" ht="25.2" customHeight="1" outlineLevel="1">
      <c r="CM115" s="638" t="s">
        <v>84</v>
      </c>
      <c r="CN115" s="677">
        <f t="shared" si="19"/>
        <v>0</v>
      </c>
      <c r="CO115" s="681">
        <v>108</v>
      </c>
      <c r="CP115" s="701">
        <v>1</v>
      </c>
      <c r="CQ115" s="795" t="s">
        <v>84</v>
      </c>
      <c r="CR115" s="764">
        <v>0</v>
      </c>
      <c r="CS115" s="764">
        <v>0</v>
      </c>
      <c r="CT115" s="764">
        <v>0</v>
      </c>
      <c r="CU115" s="764">
        <v>0</v>
      </c>
      <c r="CV115" s="764">
        <f>1-CV117</f>
        <v>0.43999999999999995</v>
      </c>
      <c r="CW115" s="764">
        <v>0</v>
      </c>
      <c r="CX115" s="764">
        <f>0.8*CW115</f>
        <v>0</v>
      </c>
      <c r="CY115" s="764">
        <v>0</v>
      </c>
      <c r="CZ115" s="764">
        <v>0</v>
      </c>
      <c r="DA115" s="764">
        <v>0</v>
      </c>
      <c r="DB115" s="764">
        <v>0</v>
      </c>
      <c r="DC115" s="764">
        <f>1-DC117</f>
        <v>0.43999999999999995</v>
      </c>
      <c r="DD115" s="764">
        <v>0</v>
      </c>
      <c r="DE115" s="764">
        <f>0.8*DD115</f>
        <v>0</v>
      </c>
      <c r="DF115" s="764">
        <v>0</v>
      </c>
      <c r="DG115" s="764">
        <v>0</v>
      </c>
      <c r="DH115" s="764">
        <v>0</v>
      </c>
      <c r="DI115" s="764">
        <v>0</v>
      </c>
      <c r="DJ115" s="764">
        <f>1-DJ117</f>
        <v>0.43999999999999995</v>
      </c>
      <c r="DK115" s="764">
        <v>0</v>
      </c>
      <c r="DL115" s="764">
        <f>0.8*DK115</f>
        <v>0</v>
      </c>
      <c r="DM115" s="796">
        <v>0</v>
      </c>
      <c r="DN115" s="796">
        <v>0</v>
      </c>
      <c r="DO115" s="796">
        <v>0</v>
      </c>
      <c r="DP115" s="796">
        <v>0</v>
      </c>
      <c r="DQ115" s="796">
        <v>0</v>
      </c>
      <c r="DR115" s="911"/>
      <c r="DS115" s="911"/>
      <c r="DT115" s="796" t="s">
        <v>645</v>
      </c>
      <c r="DU115" s="1178"/>
      <c r="DX115" s="1000">
        <v>0</v>
      </c>
      <c r="DY115" s="932"/>
      <c r="DZ115" s="932"/>
      <c r="EA115" s="932"/>
      <c r="EB115" s="932"/>
    </row>
    <row r="116" spans="91:132" ht="25.2" customHeight="1" outlineLevel="1">
      <c r="CM116" s="638" t="s">
        <v>85</v>
      </c>
      <c r="CN116" s="677">
        <f t="shared" si="19"/>
        <v>0</v>
      </c>
      <c r="CO116" s="681">
        <v>109</v>
      </c>
      <c r="CP116" s="704">
        <v>2</v>
      </c>
      <c r="CQ116" s="795" t="s">
        <v>85</v>
      </c>
      <c r="CR116" s="764">
        <v>0</v>
      </c>
      <c r="CS116" s="764">
        <v>0</v>
      </c>
      <c r="CT116" s="764">
        <v>0</v>
      </c>
      <c r="CU116" s="764">
        <v>0</v>
      </c>
      <c r="CV116" s="764">
        <v>0</v>
      </c>
      <c r="CW116" s="764">
        <v>0</v>
      </c>
      <c r="CX116" s="764">
        <f>(1-$CX$115-$CX$117)/4</f>
        <v>0.13799999999999998</v>
      </c>
      <c r="CY116" s="764">
        <v>0</v>
      </c>
      <c r="CZ116" s="764">
        <v>0</v>
      </c>
      <c r="DA116" s="764">
        <v>0</v>
      </c>
      <c r="DB116" s="764">
        <v>0</v>
      </c>
      <c r="DC116" s="764">
        <v>0</v>
      </c>
      <c r="DD116" s="764">
        <v>0</v>
      </c>
      <c r="DE116" s="764">
        <f>(1-$CX$115-$CX$117)/4</f>
        <v>0.13799999999999998</v>
      </c>
      <c r="DF116" s="764">
        <v>0</v>
      </c>
      <c r="DG116" s="764">
        <v>0</v>
      </c>
      <c r="DH116" s="764">
        <v>0</v>
      </c>
      <c r="DI116" s="764">
        <v>0</v>
      </c>
      <c r="DJ116" s="764">
        <v>0</v>
      </c>
      <c r="DK116" s="764">
        <v>0</v>
      </c>
      <c r="DL116" s="764">
        <f>(1-$CX$115-$CX$117)/4</f>
        <v>0.13799999999999998</v>
      </c>
      <c r="DM116" s="796">
        <v>0</v>
      </c>
      <c r="DN116" s="796">
        <v>0</v>
      </c>
      <c r="DO116" s="796">
        <v>0</v>
      </c>
      <c r="DP116" s="796">
        <v>0</v>
      </c>
      <c r="DQ116" s="796">
        <v>0</v>
      </c>
      <c r="DR116" s="911"/>
      <c r="DS116" s="911"/>
      <c r="DT116" s="796" t="s">
        <v>645</v>
      </c>
      <c r="DU116" s="1178"/>
      <c r="DX116" s="1000">
        <v>0</v>
      </c>
      <c r="DY116" s="932"/>
      <c r="DZ116" s="932"/>
      <c r="EA116" s="932"/>
      <c r="EB116" s="932"/>
    </row>
    <row r="117" spans="91:132" ht="25.2" customHeight="1" outlineLevel="1">
      <c r="CM117" s="638" t="s">
        <v>465</v>
      </c>
      <c r="CN117" s="677">
        <f t="shared" si="19"/>
        <v>0.56000000000000005</v>
      </c>
      <c r="CO117" s="681">
        <v>110</v>
      </c>
      <c r="CP117" s="701">
        <v>1</v>
      </c>
      <c r="CQ117" s="795" t="s">
        <v>465</v>
      </c>
      <c r="CR117" s="764">
        <v>0.56000000000000005</v>
      </c>
      <c r="CS117" s="764">
        <v>0.56000000000000005</v>
      </c>
      <c r="CT117" s="764">
        <v>0.56000000000000005</v>
      </c>
      <c r="CU117" s="764">
        <v>0.56000000000000005</v>
      </c>
      <c r="CV117" s="764">
        <f>CW117</f>
        <v>0.56000000000000005</v>
      </c>
      <c r="CW117" s="764">
        <v>0.56000000000000005</v>
      </c>
      <c r="CX117" s="764">
        <f>0.8*CW117</f>
        <v>0.44800000000000006</v>
      </c>
      <c r="CY117" s="764">
        <v>0.56000000000000005</v>
      </c>
      <c r="CZ117" s="764">
        <v>0.56000000000000005</v>
      </c>
      <c r="DA117" s="764">
        <v>0.56000000000000005</v>
      </c>
      <c r="DB117" s="764">
        <v>0.56000000000000005</v>
      </c>
      <c r="DC117" s="764">
        <f>DD117</f>
        <v>0.56000000000000005</v>
      </c>
      <c r="DD117" s="764">
        <v>0.56000000000000005</v>
      </c>
      <c r="DE117" s="764">
        <f>0.8*DD117</f>
        <v>0.44800000000000006</v>
      </c>
      <c r="DF117" s="764">
        <v>0.56000000000000005</v>
      </c>
      <c r="DG117" s="764">
        <v>0.56000000000000005</v>
      </c>
      <c r="DH117" s="764">
        <v>0.56000000000000005</v>
      </c>
      <c r="DI117" s="764">
        <v>0.56000000000000005</v>
      </c>
      <c r="DJ117" s="764">
        <f>DK117</f>
        <v>0.56000000000000005</v>
      </c>
      <c r="DK117" s="764">
        <v>0.56000000000000005</v>
      </c>
      <c r="DL117" s="764">
        <f>0.8*DK117</f>
        <v>0.44800000000000006</v>
      </c>
      <c r="DM117" s="796">
        <v>0.56000000000000005</v>
      </c>
      <c r="DN117" s="796">
        <v>0.56000000000000005</v>
      </c>
      <c r="DO117" s="796">
        <v>0.56000000000000005</v>
      </c>
      <c r="DP117" s="796">
        <v>0.56000000000000005</v>
      </c>
      <c r="DQ117" s="796">
        <v>0.56000000000000005</v>
      </c>
      <c r="DR117" s="911"/>
      <c r="DS117" s="911"/>
      <c r="DT117" s="796" t="s">
        <v>645</v>
      </c>
      <c r="DU117" s="1178"/>
      <c r="DX117" s="1000">
        <v>0.56000000000000005</v>
      </c>
      <c r="DY117" s="932"/>
      <c r="DZ117" s="932"/>
      <c r="EA117" s="932"/>
      <c r="EB117" s="932"/>
    </row>
    <row r="118" spans="91:132" ht="25.2" customHeight="1" outlineLevel="1">
      <c r="CM118" s="638" t="s">
        <v>5343</v>
      </c>
      <c r="CN118" s="677">
        <f t="shared" si="19"/>
        <v>0.436</v>
      </c>
      <c r="CO118" s="681">
        <v>111</v>
      </c>
      <c r="CP118" s="703">
        <v>2</v>
      </c>
      <c r="CQ118" s="795" t="s">
        <v>5343</v>
      </c>
      <c r="CR118" s="764">
        <v>0.436</v>
      </c>
      <c r="CS118" s="764">
        <v>0.436</v>
      </c>
      <c r="CT118" s="764">
        <v>0.436</v>
      </c>
      <c r="CU118" s="764">
        <v>0.436</v>
      </c>
      <c r="CV118" s="764">
        <v>0</v>
      </c>
      <c r="CW118" s="764">
        <v>0.436</v>
      </c>
      <c r="CX118" s="764">
        <v>0</v>
      </c>
      <c r="CY118" s="764">
        <v>0.436</v>
      </c>
      <c r="CZ118" s="764">
        <v>0.436</v>
      </c>
      <c r="DA118" s="764">
        <v>0.436</v>
      </c>
      <c r="DB118" s="764">
        <v>0.436</v>
      </c>
      <c r="DC118" s="764">
        <v>0</v>
      </c>
      <c r="DD118" s="764">
        <v>0.436</v>
      </c>
      <c r="DE118" s="764">
        <v>0</v>
      </c>
      <c r="DF118" s="764">
        <v>0.436</v>
      </c>
      <c r="DG118" s="764">
        <v>0.436</v>
      </c>
      <c r="DH118" s="764">
        <v>0.436</v>
      </c>
      <c r="DI118" s="764">
        <v>0.436</v>
      </c>
      <c r="DJ118" s="764">
        <v>0</v>
      </c>
      <c r="DK118" s="764">
        <v>0.436</v>
      </c>
      <c r="DL118" s="764">
        <v>0</v>
      </c>
      <c r="DM118" s="796">
        <v>0.436</v>
      </c>
      <c r="DN118" s="796">
        <v>0.436</v>
      </c>
      <c r="DO118" s="796">
        <v>0.436</v>
      </c>
      <c r="DP118" s="796">
        <v>0.436</v>
      </c>
      <c r="DQ118" s="796">
        <v>0.436</v>
      </c>
      <c r="DR118" s="911"/>
      <c r="DS118" s="911"/>
      <c r="DT118" s="796" t="s">
        <v>645</v>
      </c>
      <c r="DU118" s="1178"/>
      <c r="DX118" s="1000">
        <v>0.436</v>
      </c>
      <c r="DY118" s="932"/>
      <c r="DZ118" s="932"/>
      <c r="EA118" s="932"/>
      <c r="EB118" s="932"/>
    </row>
    <row r="119" spans="91:132" ht="25.2" customHeight="1" outlineLevel="1">
      <c r="CM119" s="638" t="s">
        <v>215</v>
      </c>
      <c r="CN119" s="677">
        <f t="shared" si="19"/>
        <v>0</v>
      </c>
      <c r="CO119" s="681">
        <v>112</v>
      </c>
      <c r="CP119" s="703">
        <v>2</v>
      </c>
      <c r="CQ119" s="795" t="s">
        <v>215</v>
      </c>
      <c r="CR119" s="764">
        <v>0</v>
      </c>
      <c r="CS119" s="764">
        <v>0</v>
      </c>
      <c r="CT119" s="764">
        <v>0</v>
      </c>
      <c r="CU119" s="764">
        <v>0</v>
      </c>
      <c r="CV119" s="764">
        <v>0</v>
      </c>
      <c r="CW119" s="764">
        <v>0</v>
      </c>
      <c r="CX119" s="764">
        <v>0</v>
      </c>
      <c r="CY119" s="764">
        <v>0</v>
      </c>
      <c r="CZ119" s="764">
        <v>0</v>
      </c>
      <c r="DA119" s="764">
        <v>0</v>
      </c>
      <c r="DB119" s="764">
        <v>0</v>
      </c>
      <c r="DC119" s="764">
        <v>0</v>
      </c>
      <c r="DD119" s="764">
        <v>0</v>
      </c>
      <c r="DE119" s="764">
        <v>0</v>
      </c>
      <c r="DF119" s="764">
        <v>0</v>
      </c>
      <c r="DG119" s="764">
        <v>0</v>
      </c>
      <c r="DH119" s="764">
        <v>0</v>
      </c>
      <c r="DI119" s="764">
        <v>0</v>
      </c>
      <c r="DJ119" s="764">
        <v>0</v>
      </c>
      <c r="DK119" s="764">
        <v>0</v>
      </c>
      <c r="DL119" s="764">
        <v>0</v>
      </c>
      <c r="DM119" s="796">
        <v>0</v>
      </c>
      <c r="DN119" s="796">
        <v>0</v>
      </c>
      <c r="DO119" s="796">
        <v>0</v>
      </c>
      <c r="DP119" s="796">
        <v>0</v>
      </c>
      <c r="DQ119" s="796">
        <v>0</v>
      </c>
      <c r="DR119" s="911"/>
      <c r="DS119" s="911"/>
      <c r="DT119" s="796" t="s">
        <v>645</v>
      </c>
      <c r="DU119" s="1178"/>
      <c r="DX119" s="1000">
        <v>0</v>
      </c>
      <c r="DY119" s="932"/>
      <c r="DZ119" s="932"/>
      <c r="EA119" s="932"/>
      <c r="EB119" s="932"/>
    </row>
    <row r="120" spans="91:132" ht="18" outlineLevel="1">
      <c r="CO120" s="681">
        <v>113</v>
      </c>
      <c r="DX120" s="1001"/>
    </row>
    <row r="121" spans="91:132" ht="25.2" customHeight="1" outlineLevel="1">
      <c r="CM121" s="762" t="s">
        <v>5555</v>
      </c>
      <c r="CO121" s="681">
        <v>114</v>
      </c>
      <c r="CQ121" s="762" t="s">
        <v>5555</v>
      </c>
      <c r="DX121" s="1001"/>
    </row>
    <row r="122" spans="91:132" ht="25.2" customHeight="1" outlineLevel="1">
      <c r="CM122" s="638" t="s">
        <v>87</v>
      </c>
      <c r="CN122" s="677">
        <f t="shared" ref="CN122:CN129" si="20">HLOOKUP(CN$7,$CR$7:$DQ$129,($CO122+1),FALSE)</f>
        <v>0</v>
      </c>
      <c r="CO122" s="681">
        <v>115</v>
      </c>
      <c r="CP122" s="704">
        <v>2</v>
      </c>
      <c r="CQ122" s="795" t="s">
        <v>87</v>
      </c>
      <c r="CR122" s="764">
        <v>0</v>
      </c>
      <c r="CS122" s="764">
        <v>0</v>
      </c>
      <c r="CT122" s="764">
        <v>0</v>
      </c>
      <c r="CU122" s="764">
        <v>0</v>
      </c>
      <c r="CV122" s="764">
        <v>0</v>
      </c>
      <c r="CW122" s="764">
        <v>0</v>
      </c>
      <c r="CX122" s="764">
        <f>(1-$CX$125-$CX$127)/4</f>
        <v>8.2000000000000003E-2</v>
      </c>
      <c r="CY122" s="764">
        <v>0</v>
      </c>
      <c r="CZ122" s="764">
        <v>0</v>
      </c>
      <c r="DA122" s="764">
        <v>0</v>
      </c>
      <c r="DB122" s="764">
        <v>0</v>
      </c>
      <c r="DC122" s="764">
        <v>0</v>
      </c>
      <c r="DD122" s="764">
        <v>0</v>
      </c>
      <c r="DE122" s="764">
        <f>(1-$CX$125-$CX$127)/4</f>
        <v>8.2000000000000003E-2</v>
      </c>
      <c r="DF122" s="764">
        <v>0</v>
      </c>
      <c r="DG122" s="764">
        <v>0</v>
      </c>
      <c r="DH122" s="764">
        <v>0</v>
      </c>
      <c r="DI122" s="764">
        <v>0</v>
      </c>
      <c r="DJ122" s="764">
        <v>0</v>
      </c>
      <c r="DK122" s="764">
        <v>0</v>
      </c>
      <c r="DL122" s="764">
        <f>(1-$CX$125-$CX$127)/4</f>
        <v>8.2000000000000003E-2</v>
      </c>
      <c r="DM122" s="796">
        <v>0</v>
      </c>
      <c r="DN122" s="796">
        <v>0</v>
      </c>
      <c r="DO122" s="796">
        <v>0</v>
      </c>
      <c r="DP122" s="796">
        <v>0</v>
      </c>
      <c r="DQ122" s="796">
        <v>0</v>
      </c>
      <c r="DR122" s="911"/>
      <c r="DS122" s="911"/>
      <c r="DT122" s="796" t="s">
        <v>645</v>
      </c>
      <c r="DU122" s="1177" t="s">
        <v>5849</v>
      </c>
      <c r="DX122" s="1000">
        <v>0</v>
      </c>
      <c r="DY122" s="932"/>
      <c r="DZ122" s="932"/>
      <c r="EA122" s="932"/>
      <c r="EB122" s="932"/>
    </row>
    <row r="123" spans="91:132" ht="25.2" customHeight="1" outlineLevel="1">
      <c r="CM123" s="638" t="s">
        <v>5338</v>
      </c>
      <c r="CN123" s="677">
        <f t="shared" si="20"/>
        <v>0</v>
      </c>
      <c r="CO123" s="681">
        <v>116</v>
      </c>
      <c r="CP123" s="704">
        <v>2</v>
      </c>
      <c r="CQ123" s="795" t="s">
        <v>5338</v>
      </c>
      <c r="CR123" s="764">
        <v>0</v>
      </c>
      <c r="CS123" s="764">
        <v>0</v>
      </c>
      <c r="CT123" s="764">
        <v>0</v>
      </c>
      <c r="CU123" s="764">
        <v>0</v>
      </c>
      <c r="CV123" s="764">
        <v>0</v>
      </c>
      <c r="CW123" s="764">
        <v>0</v>
      </c>
      <c r="CX123" s="764">
        <f>(1-$CX$125-$CX$127)/4</f>
        <v>8.2000000000000003E-2</v>
      </c>
      <c r="CY123" s="764">
        <v>0</v>
      </c>
      <c r="CZ123" s="764">
        <v>0</v>
      </c>
      <c r="DA123" s="764">
        <v>0</v>
      </c>
      <c r="DB123" s="764">
        <v>0</v>
      </c>
      <c r="DC123" s="764">
        <v>0</v>
      </c>
      <c r="DD123" s="764">
        <v>0</v>
      </c>
      <c r="DE123" s="764">
        <f>(1-$CX$125-$CX$127)/4</f>
        <v>8.2000000000000003E-2</v>
      </c>
      <c r="DF123" s="764">
        <v>0</v>
      </c>
      <c r="DG123" s="764">
        <v>0</v>
      </c>
      <c r="DH123" s="764">
        <v>0</v>
      </c>
      <c r="DI123" s="764">
        <v>0</v>
      </c>
      <c r="DJ123" s="764">
        <v>0</v>
      </c>
      <c r="DK123" s="764">
        <v>0</v>
      </c>
      <c r="DL123" s="764">
        <f>(1-$CX$125-$CX$127)/4</f>
        <v>8.2000000000000003E-2</v>
      </c>
      <c r="DM123" s="796">
        <v>0</v>
      </c>
      <c r="DN123" s="796">
        <v>0</v>
      </c>
      <c r="DO123" s="796">
        <v>0</v>
      </c>
      <c r="DP123" s="796">
        <v>0</v>
      </c>
      <c r="DQ123" s="796">
        <v>0</v>
      </c>
      <c r="DR123" s="911"/>
      <c r="DS123" s="911"/>
      <c r="DT123" s="796" t="s">
        <v>645</v>
      </c>
      <c r="DU123" s="1178"/>
      <c r="DX123" s="1000">
        <v>0</v>
      </c>
      <c r="DY123" s="932"/>
      <c r="DZ123" s="932"/>
      <c r="EA123" s="932"/>
      <c r="EB123" s="932"/>
    </row>
    <row r="124" spans="91:132" ht="25.2" customHeight="1" outlineLevel="1">
      <c r="CM124" s="638" t="s">
        <v>464</v>
      </c>
      <c r="CN124" s="677">
        <f t="shared" si="20"/>
        <v>0</v>
      </c>
      <c r="CO124" s="681">
        <v>117</v>
      </c>
      <c r="CP124" s="704">
        <v>2</v>
      </c>
      <c r="CQ124" s="795" t="s">
        <v>464</v>
      </c>
      <c r="CR124" s="764">
        <v>0</v>
      </c>
      <c r="CS124" s="764">
        <v>0</v>
      </c>
      <c r="CT124" s="764">
        <v>0</v>
      </c>
      <c r="CU124" s="764">
        <v>0</v>
      </c>
      <c r="CV124" s="764">
        <v>0</v>
      </c>
      <c r="CW124" s="764">
        <v>0</v>
      </c>
      <c r="CX124" s="764">
        <f>(1-$CX$125-$CX$127)/4</f>
        <v>8.2000000000000003E-2</v>
      </c>
      <c r="CY124" s="764">
        <v>0</v>
      </c>
      <c r="CZ124" s="764">
        <v>0</v>
      </c>
      <c r="DA124" s="764">
        <v>0</v>
      </c>
      <c r="DB124" s="764">
        <v>0</v>
      </c>
      <c r="DC124" s="764">
        <v>0</v>
      </c>
      <c r="DD124" s="764">
        <v>0</v>
      </c>
      <c r="DE124" s="764">
        <f>(1-$CX$125-$CX$127)/4</f>
        <v>8.2000000000000003E-2</v>
      </c>
      <c r="DF124" s="764">
        <v>0</v>
      </c>
      <c r="DG124" s="764">
        <v>0</v>
      </c>
      <c r="DH124" s="764">
        <v>0</v>
      </c>
      <c r="DI124" s="764">
        <v>0</v>
      </c>
      <c r="DJ124" s="764">
        <v>0</v>
      </c>
      <c r="DK124" s="764">
        <v>0</v>
      </c>
      <c r="DL124" s="764">
        <f>(1-$CX$125-$CX$127)/4</f>
        <v>8.2000000000000003E-2</v>
      </c>
      <c r="DM124" s="796">
        <v>0</v>
      </c>
      <c r="DN124" s="796">
        <v>0</v>
      </c>
      <c r="DO124" s="796">
        <v>0</v>
      </c>
      <c r="DP124" s="796">
        <v>0</v>
      </c>
      <c r="DQ124" s="796">
        <v>0</v>
      </c>
      <c r="DR124" s="911"/>
      <c r="DS124" s="911"/>
      <c r="DT124" s="796" t="s">
        <v>645</v>
      </c>
      <c r="DU124" s="1178"/>
      <c r="DX124" s="1000">
        <v>0</v>
      </c>
      <c r="DY124" s="932"/>
      <c r="DZ124" s="932"/>
      <c r="EA124" s="932"/>
      <c r="EB124" s="932"/>
    </row>
    <row r="125" spans="91:132" ht="25.2" customHeight="1" outlineLevel="1">
      <c r="CM125" s="638" t="s">
        <v>84</v>
      </c>
      <c r="CN125" s="677">
        <f t="shared" si="20"/>
        <v>0.16</v>
      </c>
      <c r="CO125" s="681">
        <v>118</v>
      </c>
      <c r="CP125" s="701">
        <v>1</v>
      </c>
      <c r="CQ125" s="795" t="s">
        <v>84</v>
      </c>
      <c r="CR125" s="764">
        <v>0.73</v>
      </c>
      <c r="CS125" s="764">
        <v>0.73</v>
      </c>
      <c r="CT125" s="764">
        <v>0.73</v>
      </c>
      <c r="CU125" s="764">
        <v>0.73</v>
      </c>
      <c r="CV125" s="764">
        <f>1-CV127</f>
        <v>0.89</v>
      </c>
      <c r="CW125" s="764">
        <v>0.73</v>
      </c>
      <c r="CX125" s="764">
        <f>0.8*CW125</f>
        <v>0.58399999999999996</v>
      </c>
      <c r="CY125" s="764">
        <v>0.73</v>
      </c>
      <c r="CZ125" s="764">
        <v>0.73</v>
      </c>
      <c r="DA125" s="764">
        <v>0.73</v>
      </c>
      <c r="DB125" s="764">
        <v>0.73</v>
      </c>
      <c r="DC125" s="764">
        <f>1-DC127</f>
        <v>0.89</v>
      </c>
      <c r="DD125" s="764">
        <v>0.73</v>
      </c>
      <c r="DE125" s="764">
        <f>0.8*DD125</f>
        <v>0.58399999999999996</v>
      </c>
      <c r="DF125" s="764">
        <v>0.73</v>
      </c>
      <c r="DG125" s="764">
        <v>0.73</v>
      </c>
      <c r="DH125" s="764">
        <v>0.73</v>
      </c>
      <c r="DI125" s="764">
        <v>0.73</v>
      </c>
      <c r="DJ125" s="764">
        <f>1-DJ127</f>
        <v>0.89</v>
      </c>
      <c r="DK125" s="764">
        <v>0.73</v>
      </c>
      <c r="DL125" s="764">
        <f>0.8*DK125</f>
        <v>0.58399999999999996</v>
      </c>
      <c r="DM125" s="796">
        <v>0.73</v>
      </c>
      <c r="DN125" s="796">
        <v>0.73</v>
      </c>
      <c r="DO125" s="796">
        <v>0.16</v>
      </c>
      <c r="DP125" s="796">
        <v>0.16</v>
      </c>
      <c r="DQ125" s="796">
        <v>0.16</v>
      </c>
      <c r="DR125" s="911"/>
      <c r="DS125" s="911"/>
      <c r="DT125" s="796" t="s">
        <v>645</v>
      </c>
      <c r="DU125" s="1178"/>
      <c r="DX125" s="1000">
        <v>0.73</v>
      </c>
      <c r="DY125" s="932"/>
      <c r="DZ125" s="932"/>
      <c r="EA125" s="932"/>
      <c r="EB125" s="932"/>
    </row>
    <row r="126" spans="91:132" ht="25.2" customHeight="1" outlineLevel="1">
      <c r="CM126" s="638" t="s">
        <v>85</v>
      </c>
      <c r="CN126" s="677">
        <f t="shared" si="20"/>
        <v>0</v>
      </c>
      <c r="CO126" s="681">
        <v>119</v>
      </c>
      <c r="CP126" s="704">
        <v>2</v>
      </c>
      <c r="CQ126" s="795" t="s">
        <v>85</v>
      </c>
      <c r="CR126" s="764">
        <v>0</v>
      </c>
      <c r="CS126" s="764">
        <v>0</v>
      </c>
      <c r="CT126" s="764">
        <v>0</v>
      </c>
      <c r="CU126" s="764">
        <v>0</v>
      </c>
      <c r="CV126" s="764">
        <v>0</v>
      </c>
      <c r="CW126" s="764">
        <v>0</v>
      </c>
      <c r="CX126" s="764">
        <f>(1-$CX$125-$CX$127)/4</f>
        <v>8.2000000000000003E-2</v>
      </c>
      <c r="CY126" s="764">
        <v>0</v>
      </c>
      <c r="CZ126" s="764">
        <v>0</v>
      </c>
      <c r="DA126" s="764">
        <v>0</v>
      </c>
      <c r="DB126" s="764">
        <v>0</v>
      </c>
      <c r="DC126" s="764">
        <v>0</v>
      </c>
      <c r="DD126" s="764">
        <v>0</v>
      </c>
      <c r="DE126" s="764">
        <f>(1-$CX$125-$CX$127)/4</f>
        <v>8.2000000000000003E-2</v>
      </c>
      <c r="DF126" s="764">
        <v>0</v>
      </c>
      <c r="DG126" s="764">
        <v>0</v>
      </c>
      <c r="DH126" s="764">
        <v>0</v>
      </c>
      <c r="DI126" s="764">
        <v>0</v>
      </c>
      <c r="DJ126" s="764">
        <v>0</v>
      </c>
      <c r="DK126" s="764">
        <v>0</v>
      </c>
      <c r="DL126" s="764">
        <f>(1-$CX$125-$CX$127)/4</f>
        <v>8.2000000000000003E-2</v>
      </c>
      <c r="DM126" s="796">
        <v>0</v>
      </c>
      <c r="DN126" s="796">
        <v>0</v>
      </c>
      <c r="DO126" s="796">
        <v>0</v>
      </c>
      <c r="DP126" s="796">
        <v>0</v>
      </c>
      <c r="DQ126" s="796">
        <v>0</v>
      </c>
      <c r="DR126" s="911"/>
      <c r="DS126" s="911"/>
      <c r="DT126" s="796" t="s">
        <v>645</v>
      </c>
      <c r="DU126" s="1178"/>
      <c r="DX126" s="1000">
        <v>0</v>
      </c>
      <c r="DY126" s="932"/>
      <c r="DZ126" s="932"/>
      <c r="EA126" s="932"/>
      <c r="EB126" s="932"/>
    </row>
    <row r="127" spans="91:132" ht="25.2" customHeight="1" outlineLevel="1">
      <c r="CM127" s="638" t="s">
        <v>465</v>
      </c>
      <c r="CN127" s="677">
        <f t="shared" si="20"/>
        <v>0.11</v>
      </c>
      <c r="CO127" s="681">
        <v>120</v>
      </c>
      <c r="CP127" s="701">
        <v>1</v>
      </c>
      <c r="CQ127" s="795" t="s">
        <v>465</v>
      </c>
      <c r="CR127" s="764">
        <v>0.11</v>
      </c>
      <c r="CS127" s="764">
        <v>0.11</v>
      </c>
      <c r="CT127" s="764">
        <v>0.11</v>
      </c>
      <c r="CU127" s="764">
        <v>0.11</v>
      </c>
      <c r="CV127" s="764">
        <f>CW127</f>
        <v>0.11</v>
      </c>
      <c r="CW127" s="764">
        <v>0.11</v>
      </c>
      <c r="CX127" s="764">
        <f>0.8*CW127</f>
        <v>8.8000000000000009E-2</v>
      </c>
      <c r="CY127" s="764">
        <v>0.11</v>
      </c>
      <c r="CZ127" s="764">
        <v>0.11</v>
      </c>
      <c r="DA127" s="764">
        <v>0.11</v>
      </c>
      <c r="DB127" s="764">
        <v>0.11</v>
      </c>
      <c r="DC127" s="764">
        <f>DD127</f>
        <v>0.11</v>
      </c>
      <c r="DD127" s="764">
        <v>0.11</v>
      </c>
      <c r="DE127" s="764">
        <f>0.8*DD127</f>
        <v>8.8000000000000009E-2</v>
      </c>
      <c r="DF127" s="764">
        <v>0.11</v>
      </c>
      <c r="DG127" s="764">
        <v>0.11</v>
      </c>
      <c r="DH127" s="764">
        <v>0.11</v>
      </c>
      <c r="DI127" s="764">
        <v>0.11</v>
      </c>
      <c r="DJ127" s="764">
        <f>DK127</f>
        <v>0.11</v>
      </c>
      <c r="DK127" s="764">
        <v>0.11</v>
      </c>
      <c r="DL127" s="764">
        <f>0.8*DK127</f>
        <v>8.8000000000000009E-2</v>
      </c>
      <c r="DM127" s="796">
        <v>0.11</v>
      </c>
      <c r="DN127" s="796">
        <v>0.11</v>
      </c>
      <c r="DO127" s="796">
        <v>0.11</v>
      </c>
      <c r="DP127" s="796">
        <v>0.11</v>
      </c>
      <c r="DQ127" s="796">
        <v>0.11</v>
      </c>
      <c r="DR127" s="911"/>
      <c r="DS127" s="911"/>
      <c r="DT127" s="796" t="s">
        <v>645</v>
      </c>
      <c r="DU127" s="1178"/>
      <c r="DX127" s="1000">
        <v>0.11</v>
      </c>
      <c r="DY127" s="932"/>
      <c r="DZ127" s="932"/>
      <c r="EA127" s="932"/>
      <c r="EB127" s="932"/>
    </row>
    <row r="128" spans="91:132" ht="25.2" customHeight="1" outlineLevel="1">
      <c r="CM128" s="638" t="s">
        <v>5343</v>
      </c>
      <c r="CN128" s="677">
        <f t="shared" si="20"/>
        <v>0.73</v>
      </c>
      <c r="CO128" s="681">
        <v>121</v>
      </c>
      <c r="CP128" s="703">
        <v>2</v>
      </c>
      <c r="CQ128" s="795" t="s">
        <v>5343</v>
      </c>
      <c r="CR128" s="764">
        <v>0.16</v>
      </c>
      <c r="CS128" s="764">
        <v>0.16</v>
      </c>
      <c r="CT128" s="764">
        <v>0.16</v>
      </c>
      <c r="CU128" s="764">
        <v>0.16</v>
      </c>
      <c r="CV128" s="764">
        <v>0</v>
      </c>
      <c r="CW128" s="764">
        <v>0.16</v>
      </c>
      <c r="CX128" s="764">
        <v>0</v>
      </c>
      <c r="CY128" s="764">
        <v>0.16</v>
      </c>
      <c r="CZ128" s="764">
        <v>0.16</v>
      </c>
      <c r="DA128" s="764">
        <v>0.16</v>
      </c>
      <c r="DB128" s="764">
        <v>0.16</v>
      </c>
      <c r="DC128" s="764">
        <v>0</v>
      </c>
      <c r="DD128" s="764">
        <v>0.16</v>
      </c>
      <c r="DE128" s="764">
        <v>0</v>
      </c>
      <c r="DF128" s="764">
        <v>0.16</v>
      </c>
      <c r="DG128" s="764">
        <v>0.16</v>
      </c>
      <c r="DH128" s="764">
        <v>0.16</v>
      </c>
      <c r="DI128" s="764">
        <v>0.16</v>
      </c>
      <c r="DJ128" s="764">
        <v>0</v>
      </c>
      <c r="DK128" s="764">
        <v>0.16</v>
      </c>
      <c r="DL128" s="764">
        <v>0</v>
      </c>
      <c r="DM128" s="796">
        <v>0.16</v>
      </c>
      <c r="DN128" s="796">
        <v>0.16</v>
      </c>
      <c r="DO128" s="796">
        <v>0.73</v>
      </c>
      <c r="DP128" s="796">
        <v>0.73</v>
      </c>
      <c r="DQ128" s="796">
        <v>0.73</v>
      </c>
      <c r="DR128" s="911"/>
      <c r="DS128" s="911"/>
      <c r="DT128" s="796" t="s">
        <v>645</v>
      </c>
      <c r="DU128" s="1178"/>
      <c r="DX128" s="1000">
        <v>0.16</v>
      </c>
      <c r="DY128" s="932"/>
      <c r="DZ128" s="932"/>
      <c r="EA128" s="932"/>
      <c r="EB128" s="932"/>
    </row>
    <row r="129" spans="91:132" ht="25.2" customHeight="1" outlineLevel="1">
      <c r="CM129" s="638" t="s">
        <v>215</v>
      </c>
      <c r="CN129" s="677">
        <f t="shared" si="20"/>
        <v>0</v>
      </c>
      <c r="CO129" s="681">
        <v>122</v>
      </c>
      <c r="CP129" s="703">
        <v>2</v>
      </c>
      <c r="CQ129" s="795" t="s">
        <v>215</v>
      </c>
      <c r="CR129" s="764">
        <v>0</v>
      </c>
      <c r="CS129" s="764">
        <v>0</v>
      </c>
      <c r="CT129" s="764">
        <v>0</v>
      </c>
      <c r="CU129" s="764">
        <v>0</v>
      </c>
      <c r="CV129" s="764">
        <v>0</v>
      </c>
      <c r="CW129" s="764">
        <v>0</v>
      </c>
      <c r="CX129" s="764">
        <v>0</v>
      </c>
      <c r="CY129" s="764">
        <v>0</v>
      </c>
      <c r="CZ129" s="764">
        <v>0</v>
      </c>
      <c r="DA129" s="764">
        <v>0</v>
      </c>
      <c r="DB129" s="764">
        <v>0</v>
      </c>
      <c r="DC129" s="764">
        <v>0</v>
      </c>
      <c r="DD129" s="764">
        <v>0</v>
      </c>
      <c r="DE129" s="764">
        <v>0</v>
      </c>
      <c r="DF129" s="764">
        <v>0</v>
      </c>
      <c r="DG129" s="764">
        <v>0</v>
      </c>
      <c r="DH129" s="764">
        <v>0</v>
      </c>
      <c r="DI129" s="764">
        <v>0</v>
      </c>
      <c r="DJ129" s="764">
        <v>0</v>
      </c>
      <c r="DK129" s="764">
        <v>0</v>
      </c>
      <c r="DL129" s="764">
        <v>0</v>
      </c>
      <c r="DM129" s="796">
        <v>0</v>
      </c>
      <c r="DN129" s="796">
        <v>0</v>
      </c>
      <c r="DO129" s="796">
        <v>0</v>
      </c>
      <c r="DP129" s="796">
        <v>0</v>
      </c>
      <c r="DQ129" s="796">
        <v>0</v>
      </c>
      <c r="DR129" s="911"/>
      <c r="DS129" s="911"/>
      <c r="DT129" s="796" t="s">
        <v>645</v>
      </c>
      <c r="DU129" s="1178"/>
      <c r="DX129" s="1000">
        <v>0</v>
      </c>
      <c r="DY129" s="932"/>
      <c r="DZ129" s="932"/>
      <c r="EA129" s="932"/>
      <c r="EB129" s="932"/>
    </row>
    <row r="130" spans="91:132">
      <c r="CO130" s="681">
        <v>123</v>
      </c>
    </row>
    <row r="131" spans="91:132" ht="45.6" outlineLevel="1">
      <c r="CM131" s="722" t="s">
        <v>5556</v>
      </c>
      <c r="CO131" s="681">
        <v>124</v>
      </c>
      <c r="CP131" s="702"/>
      <c r="CR131" s="667"/>
      <c r="CS131" s="667"/>
      <c r="CT131" s="667"/>
      <c r="CU131" s="667"/>
      <c r="CY131" s="667"/>
      <c r="CZ131" s="667"/>
      <c r="DA131" s="667"/>
      <c r="DB131" s="667"/>
      <c r="DF131" s="667"/>
      <c r="DG131" s="667"/>
      <c r="DH131" s="667"/>
      <c r="DI131" s="667"/>
    </row>
    <row r="132" spans="91:132" ht="46.8" outlineLevel="1">
      <c r="CM132" s="763" t="s">
        <v>5557</v>
      </c>
      <c r="CO132" s="681">
        <v>125</v>
      </c>
      <c r="CP132" s="702"/>
      <c r="CQ132" s="763" t="s">
        <v>5557</v>
      </c>
      <c r="CR132" s="798" t="s">
        <v>5596</v>
      </c>
      <c r="CS132" s="798" t="s">
        <v>5599</v>
      </c>
      <c r="CT132" s="798" t="s">
        <v>5597</v>
      </c>
      <c r="CU132" s="798" t="s">
        <v>5598</v>
      </c>
      <c r="CV132" s="926" t="s">
        <v>5519</v>
      </c>
      <c r="CW132" s="927" t="s">
        <v>5520</v>
      </c>
      <c r="CX132" s="851" t="s">
        <v>5521</v>
      </c>
      <c r="CY132" s="937" t="s">
        <v>5909</v>
      </c>
      <c r="CZ132" s="937" t="s">
        <v>5910</v>
      </c>
      <c r="DA132" s="937" t="s">
        <v>5911</v>
      </c>
      <c r="DB132" s="937" t="s">
        <v>5912</v>
      </c>
      <c r="DC132" s="937" t="s">
        <v>5913</v>
      </c>
      <c r="DD132" s="937" t="s">
        <v>5914</v>
      </c>
      <c r="DE132" s="937" t="s">
        <v>5915</v>
      </c>
      <c r="DF132" s="937" t="s">
        <v>5917</v>
      </c>
      <c r="DG132" s="937" t="s">
        <v>5918</v>
      </c>
      <c r="DH132" s="937" t="s">
        <v>5919</v>
      </c>
      <c r="DI132" s="937" t="s">
        <v>5920</v>
      </c>
      <c r="DJ132" s="937" t="s">
        <v>5921</v>
      </c>
      <c r="DK132" s="937" t="s">
        <v>5922</v>
      </c>
      <c r="DL132" s="937" t="s">
        <v>5923</v>
      </c>
      <c r="DM132" s="848" t="s">
        <v>5816</v>
      </c>
      <c r="DN132" s="848" t="s">
        <v>5817</v>
      </c>
      <c r="DO132" s="848" t="s">
        <v>5837</v>
      </c>
      <c r="DP132" s="848" t="s">
        <v>5838</v>
      </c>
      <c r="DQ132" s="782" t="s">
        <v>5755</v>
      </c>
      <c r="DR132" s="848"/>
      <c r="DS132" s="848"/>
      <c r="DT132" s="616" t="s">
        <v>5600</v>
      </c>
      <c r="DU132" s="922" t="s">
        <v>5418</v>
      </c>
      <c r="DX132" s="933" t="s">
        <v>5333</v>
      </c>
      <c r="DY132" s="933" t="s">
        <v>5851</v>
      </c>
      <c r="DZ132" s="933" t="s">
        <v>5852</v>
      </c>
      <c r="EA132" s="933" t="s">
        <v>5853</v>
      </c>
      <c r="EB132" s="938" t="s">
        <v>5901</v>
      </c>
    </row>
    <row r="133" spans="91:132" ht="25.2" customHeight="1" outlineLevel="1">
      <c r="CM133" s="638" t="s">
        <v>5486</v>
      </c>
      <c r="CN133" s="761">
        <f>HLOOKUP(CN$7,$CR$7:$DW$133,($CO133+1),FALSE)</f>
        <v>38.530113431951413</v>
      </c>
      <c r="CO133" s="681">
        <v>126</v>
      </c>
      <c r="CP133" s="701">
        <v>1</v>
      </c>
      <c r="CQ133" s="795" t="s">
        <v>5595</v>
      </c>
      <c r="CR133" s="794">
        <v>38.530113431951413</v>
      </c>
      <c r="CS133" s="794">
        <v>38.530113431951413</v>
      </c>
      <c r="CT133" s="794">
        <v>38.530113431951413</v>
      </c>
      <c r="CU133" s="794">
        <v>38.530113431951413</v>
      </c>
      <c r="CV133" s="852">
        <v>20.14</v>
      </c>
      <c r="CW133" s="794">
        <v>38.530113431951413</v>
      </c>
      <c r="CX133" s="852">
        <v>55.555555555555557</v>
      </c>
      <c r="CY133" s="794">
        <v>38.530113431951413</v>
      </c>
      <c r="CZ133" s="794">
        <v>38.530113431951413</v>
      </c>
      <c r="DA133" s="794">
        <v>38.530113431951413</v>
      </c>
      <c r="DB133" s="794">
        <v>38.530113431951413</v>
      </c>
      <c r="DC133" s="852">
        <v>20.14</v>
      </c>
      <c r="DD133" s="794">
        <v>38.530113431951413</v>
      </c>
      <c r="DE133" s="852">
        <v>55.555555555555557</v>
      </c>
      <c r="DF133" s="794">
        <v>38.530113431951413</v>
      </c>
      <c r="DG133" s="794">
        <v>38.530113431951413</v>
      </c>
      <c r="DH133" s="794">
        <v>38.530113431951413</v>
      </c>
      <c r="DI133" s="794">
        <v>38.530113431951413</v>
      </c>
      <c r="DJ133" s="794">
        <v>20.14</v>
      </c>
      <c r="DK133" s="794">
        <v>38.530113431951413</v>
      </c>
      <c r="DL133" s="852">
        <v>55.555555555555557</v>
      </c>
      <c r="DM133" s="794">
        <v>38.53</v>
      </c>
      <c r="DN133" s="794">
        <v>38.53</v>
      </c>
      <c r="DO133" s="794">
        <v>38.530113431951413</v>
      </c>
      <c r="DP133" s="794">
        <v>38.530113431951413</v>
      </c>
      <c r="DQ133" s="794">
        <v>38.530113431951413</v>
      </c>
      <c r="DR133" s="794">
        <v>38.530113431951413</v>
      </c>
      <c r="DS133" s="794">
        <v>38.530113431951413</v>
      </c>
      <c r="DT133" s="794">
        <v>38.530113431951413</v>
      </c>
      <c r="DU133" s="23"/>
      <c r="DX133" s="932"/>
      <c r="DY133" s="932"/>
      <c r="DZ133" s="932"/>
      <c r="EA133" s="932"/>
      <c r="EB133" s="932"/>
    </row>
  </sheetData>
  <autoFilter ref="CP29:CP133" xr:uid="{8102B704-1434-4139-AC8D-4B50FD871D33}"/>
  <mergeCells count="50">
    <mergeCell ref="DM5:DN5"/>
    <mergeCell ref="CR5:CX5"/>
    <mergeCell ref="DX56:DX58"/>
    <mergeCell ref="DW56:DW58"/>
    <mergeCell ref="DO6:DQ6"/>
    <mergeCell ref="DR6:DT6"/>
    <mergeCell ref="DU56:DU58"/>
    <mergeCell ref="DU34:DU39"/>
    <mergeCell ref="DU40:DU42"/>
    <mergeCell ref="DU43:DU48"/>
    <mergeCell ref="DU49:DU51"/>
    <mergeCell ref="DX6:EB6"/>
    <mergeCell ref="EB56:EB58"/>
    <mergeCell ref="CY5:DE5"/>
    <mergeCell ref="K29:P29"/>
    <mergeCell ref="K6:P6"/>
    <mergeCell ref="V6:AA6"/>
    <mergeCell ref="R6:T6"/>
    <mergeCell ref="DT56:DT57"/>
    <mergeCell ref="CY6:DB6"/>
    <mergeCell ref="DC6:DE6"/>
    <mergeCell ref="D7:E7"/>
    <mergeCell ref="C4:F4"/>
    <mergeCell ref="E5:F5"/>
    <mergeCell ref="C5:D5"/>
    <mergeCell ref="CR6:CU6"/>
    <mergeCell ref="CR4:CX4"/>
    <mergeCell ref="CV6:CX6"/>
    <mergeCell ref="C2:P2"/>
    <mergeCell ref="C3:F3"/>
    <mergeCell ref="H3:P3"/>
    <mergeCell ref="H4:P4"/>
    <mergeCell ref="H5:I5"/>
    <mergeCell ref="J5:P5"/>
    <mergeCell ref="EB64:EB65"/>
    <mergeCell ref="EB59:EB60"/>
    <mergeCell ref="DU122:DU129"/>
    <mergeCell ref="DU59:DU60"/>
    <mergeCell ref="DU61:DU63"/>
    <mergeCell ref="DU64:DU65"/>
    <mergeCell ref="DU72:DU79"/>
    <mergeCell ref="DU92:DU99"/>
    <mergeCell ref="DU82:DU89"/>
    <mergeCell ref="DU102:DU109"/>
    <mergeCell ref="DU112:DU119"/>
    <mergeCell ref="DF4:DL4"/>
    <mergeCell ref="DF5:DL5"/>
    <mergeCell ref="DF6:DI6"/>
    <mergeCell ref="DJ6:DL6"/>
    <mergeCell ref="CY4:DE4"/>
  </mergeCells>
  <phoneticPr fontId="29" type="noConversion"/>
  <conditionalFormatting sqref="AV19:AV22">
    <cfRule type="expression" dxfId="16" priority="14">
      <formula>$P$2=1</formula>
    </cfRule>
  </conditionalFormatting>
  <conditionalFormatting sqref="AZ19:AZ22">
    <cfRule type="expression" dxfId="15" priority="13">
      <formula>$P$2=1</formula>
    </cfRule>
  </conditionalFormatting>
  <conditionalFormatting sqref="BD19:BD22">
    <cfRule type="expression" dxfId="14" priority="12">
      <formula>$P$2=1</formula>
    </cfRule>
  </conditionalFormatting>
  <conditionalFormatting sqref="BH19:BH22">
    <cfRule type="expression" dxfId="13" priority="11">
      <formula>$P$2=1</formula>
    </cfRule>
  </conditionalFormatting>
  <conditionalFormatting sqref="BL19:BL22">
    <cfRule type="expression" dxfId="12" priority="10">
      <formula>$P$2=1</formula>
    </cfRule>
  </conditionalFormatting>
  <conditionalFormatting sqref="BP19:BP22">
    <cfRule type="expression" dxfId="11" priority="9">
      <formula>$P$2=1</formula>
    </cfRule>
  </conditionalFormatting>
  <conditionalFormatting sqref="BT19:BT22">
    <cfRule type="expression" dxfId="10" priority="8">
      <formula>$P$2=1</formula>
    </cfRule>
  </conditionalFormatting>
  <conditionalFormatting sqref="BX19:BX22">
    <cfRule type="expression" dxfId="9" priority="5">
      <formula>$P$2=1</formula>
    </cfRule>
  </conditionalFormatting>
  <conditionalFormatting sqref="CB19:CB22">
    <cfRule type="expression" dxfId="8" priority="4">
      <formula>$P$2=1</formula>
    </cfRule>
  </conditionalFormatting>
  <conditionalFormatting sqref="CF19:CF22">
    <cfRule type="expression" dxfId="7" priority="1">
      <formula>$P$2=1</formula>
    </cfRule>
  </conditionalFormatting>
  <dataValidations count="3">
    <dataValidation type="list" allowBlank="1" showInputMessage="1" showErrorMessage="1" sqref="Q2" xr:uid="{D73F09DC-5420-4981-9C15-2F2739D84020}">
      <formula1>$A$1:$C$1</formula1>
    </dataValidation>
    <dataValidation type="list" allowBlank="1" showInputMessage="1" showErrorMessage="1" sqref="D7" xr:uid="{535F17C6-4F29-4999-A024-32D5CBD52AD1}">
      <formula1>$D$1:$F$1</formula1>
    </dataValidation>
    <dataValidation type="list" allowBlank="1" showInputMessage="1" showErrorMessage="1" sqref="CN7" xr:uid="{F09989D3-6ED5-4BE6-8676-318292DB35CF}">
      <formula1>$CR$7:$DQ$7</formula1>
    </dataValidation>
  </dataValidations>
  <pageMargins left="0.511811024" right="0.511811024" top="0.78740157499999996" bottom="0.78740157499999996" header="0.31496062000000002" footer="0.31496062000000002"/>
  <extLst>
    <ext xmlns:x14="http://schemas.microsoft.com/office/spreadsheetml/2009/9/main" uri="{CCE6A557-97BC-4b89-ADB6-D9C93CAAB3DF}">
      <x14:dataValidations xmlns:xm="http://schemas.microsoft.com/office/excel/2006/main" count="1">
        <x14:dataValidation type="list" allowBlank="1" showInputMessage="1" showErrorMessage="1" xr:uid="{E4520BE7-AC7F-476E-8E37-67C4A115EFD4}">
          <x14:formula1>
            <xm:f>'FE - Aluminum'!$E$56:$E$66</xm:f>
          </x14:formula1>
          <xm:sqref>R2:U2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EC83C-EA2A-4C80-96B7-004A488937DF}">
  <dimension ref="B2:P34"/>
  <sheetViews>
    <sheetView showGridLines="0" topLeftCell="A2" zoomScale="80" zoomScaleNormal="80" workbookViewId="0">
      <selection activeCell="E34" sqref="E34"/>
    </sheetView>
  </sheetViews>
  <sheetFormatPr defaultRowHeight="14.4" outlineLevelRow="1"/>
  <cols>
    <col min="1" max="1" width="4.77734375" customWidth="1"/>
    <col min="2" max="2" width="6.109375" customWidth="1"/>
    <col min="3" max="3" width="65.77734375" bestFit="1" customWidth="1"/>
  </cols>
  <sheetData>
    <row r="2" ht="30.6" customHeight="1"/>
    <row r="3" ht="30.6" customHeight="1"/>
    <row r="4" ht="30.6" customHeight="1"/>
    <row r="5" ht="30.6" customHeight="1"/>
    <row r="6" ht="30.6" customHeight="1"/>
    <row r="7" ht="30.6" customHeight="1"/>
    <row r="8" ht="30.6" customHeight="1"/>
    <row r="9" ht="30.6" customHeight="1"/>
    <row r="10" ht="30.6" customHeight="1" outlineLevel="1"/>
    <row r="11" ht="30.6" customHeight="1" outlineLevel="1"/>
    <row r="12" ht="30.6" customHeight="1"/>
    <row r="13" ht="30.6" customHeight="1"/>
    <row r="14" ht="30.6" customHeight="1"/>
    <row r="15" ht="30.6" customHeight="1"/>
    <row r="16" ht="30.6" customHeight="1"/>
    <row r="17" spans="2:16" ht="30.6" customHeight="1"/>
    <row r="18" spans="2:16" ht="30.6" customHeight="1"/>
    <row r="19" spans="2:16" ht="15" customHeight="1"/>
    <row r="20" spans="2:16" ht="28.8" customHeight="1">
      <c r="D20" s="705" t="s">
        <v>5532</v>
      </c>
      <c r="E20" s="706"/>
      <c r="F20" s="707"/>
      <c r="G20" s="705" t="s">
        <v>5533</v>
      </c>
      <c r="H20" s="706"/>
      <c r="I20" s="707"/>
      <c r="L20" s="708" t="s">
        <v>5534</v>
      </c>
      <c r="O20" s="708" t="s">
        <v>5535</v>
      </c>
      <c r="P20" s="708" t="s">
        <v>5536</v>
      </c>
    </row>
    <row r="21" spans="2:16" ht="21.6" customHeight="1">
      <c r="C21" s="709" t="s">
        <v>5537</v>
      </c>
      <c r="D21" s="710" t="s">
        <v>5523</v>
      </c>
      <c r="E21" s="710" t="s">
        <v>5524</v>
      </c>
      <c r="F21" s="710" t="s">
        <v>5525</v>
      </c>
      <c r="G21" s="710" t="s">
        <v>5523</v>
      </c>
      <c r="H21" s="710" t="s">
        <v>5524</v>
      </c>
      <c r="I21" s="710" t="s">
        <v>5525</v>
      </c>
      <c r="L21" s="711" t="s">
        <v>5519</v>
      </c>
      <c r="M21" s="711" t="s">
        <v>5538</v>
      </c>
      <c r="N21" s="711" t="s">
        <v>5539</v>
      </c>
      <c r="O21" s="711" t="s">
        <v>5540</v>
      </c>
      <c r="P21" s="711" t="s">
        <v>5521</v>
      </c>
    </row>
    <row r="22" spans="2:16" ht="19.95" customHeight="1">
      <c r="C22" s="638" t="s">
        <v>5506</v>
      </c>
      <c r="D22" s="712">
        <f>+G22</f>
        <v>791.55398231608888</v>
      </c>
      <c r="E22" s="712">
        <f>+H22</f>
        <v>922.05732279163612</v>
      </c>
      <c r="F22" s="712">
        <f>+I22</f>
        <v>1097.0621333899032</v>
      </c>
      <c r="G22" s="717">
        <f>+'FE - ACV Aluminum'!CV8*1000</f>
        <v>791.55398231608888</v>
      </c>
      <c r="H22" s="717">
        <f>+'FE - ACV Aluminum'!CW8*1000</f>
        <v>922.05732279163612</v>
      </c>
      <c r="I22" s="717">
        <f>+'FE - ACV Aluminum'!CX8*1000</f>
        <v>1097.0621333899032</v>
      </c>
      <c r="L22" s="713">
        <f>+H22-G22</f>
        <v>130.50334047554725</v>
      </c>
      <c r="M22" s="714">
        <f>+E22</f>
        <v>922.05732279163612</v>
      </c>
      <c r="N22" s="714">
        <v>0</v>
      </c>
      <c r="O22" s="714">
        <f>+H22</f>
        <v>922.05732279163612</v>
      </c>
      <c r="P22" s="713">
        <f>+I22-H22</f>
        <v>175.00481059826711</v>
      </c>
    </row>
    <row r="23" spans="2:16" ht="19.95" customHeight="1">
      <c r="C23" s="638" t="s">
        <v>5507</v>
      </c>
      <c r="D23" s="712">
        <f>+D22+G23</f>
        <v>791.55398231608888</v>
      </c>
      <c r="E23" s="712">
        <f t="shared" ref="E23:F23" si="0">+E22+H23</f>
        <v>922.05732279163612</v>
      </c>
      <c r="F23" s="712">
        <f t="shared" si="0"/>
        <v>1097.0621333899032</v>
      </c>
      <c r="G23" s="717">
        <f>+'FE - ACV Aluminum'!CV9*1000</f>
        <v>0</v>
      </c>
      <c r="H23" s="717">
        <f>+'FE - ACV Aluminum'!CW9*1000</f>
        <v>0</v>
      </c>
      <c r="I23" s="717">
        <f>+'FE - ACV Aluminum'!CX9*1000</f>
        <v>0</v>
      </c>
      <c r="L23" s="713">
        <f t="shared" ref="L23" si="1">+H23-G23</f>
        <v>0</v>
      </c>
      <c r="M23" s="714">
        <f>+E22</f>
        <v>922.05732279163612</v>
      </c>
      <c r="N23" s="714">
        <v>0</v>
      </c>
      <c r="O23" s="714">
        <f t="shared" ref="O23" si="2">+H23</f>
        <v>0</v>
      </c>
      <c r="P23" s="713">
        <f t="shared" ref="P23" si="3">+I23-H23</f>
        <v>0</v>
      </c>
    </row>
    <row r="24" spans="2:16" ht="19.95" customHeight="1">
      <c r="C24" s="638" t="s">
        <v>5</v>
      </c>
      <c r="D24" s="712">
        <f t="shared" ref="D24" si="4">+D23+G24</f>
        <v>1205.6397599777374</v>
      </c>
      <c r="E24" s="712">
        <f t="shared" ref="E24" si="5">+E23+H24</f>
        <v>2299.0230407519994</v>
      </c>
      <c r="F24" s="712">
        <f t="shared" ref="F24" si="6">+F23+I24</f>
        <v>3168.0620415265639</v>
      </c>
      <c r="G24" s="717">
        <f>+'FE - ACV Aluminum'!CV10*1000</f>
        <v>414.08577766164865</v>
      </c>
      <c r="H24" s="717">
        <f>+'FE - ACV Aluminum'!CW10*1000</f>
        <v>1376.9657179603632</v>
      </c>
      <c r="I24" s="717">
        <f>+'FE - ACV Aluminum'!CX10*1000</f>
        <v>2070.9999081366605</v>
      </c>
      <c r="L24" s="713">
        <f t="shared" ref="L24" si="7">+H24-G24</f>
        <v>962.87994029871459</v>
      </c>
      <c r="M24" s="714">
        <f t="shared" ref="M24" si="8">+E23</f>
        <v>922.05732279163612</v>
      </c>
      <c r="N24" s="714">
        <v>1</v>
      </c>
      <c r="O24" s="714">
        <f t="shared" ref="O24" si="9">+H24</f>
        <v>1376.9657179603632</v>
      </c>
      <c r="P24" s="713">
        <f t="shared" ref="P24" si="10">+I24-H24</f>
        <v>694.03419017629722</v>
      </c>
    </row>
    <row r="25" spans="2:16" ht="19.95" customHeight="1">
      <c r="C25" s="638" t="s">
        <v>5518</v>
      </c>
      <c r="D25" s="712">
        <f t="shared" ref="D25:D31" si="11">+D24+G25</f>
        <v>3889.808407409947</v>
      </c>
      <c r="E25" s="712">
        <f t="shared" ref="E25:E31" si="12">+E24+H25</f>
        <v>6536.2904387955368</v>
      </c>
      <c r="F25" s="712">
        <f t="shared" ref="F25:F31" si="13">+F24+I25</f>
        <v>9530.7569651483063</v>
      </c>
      <c r="G25" s="717">
        <f>+'FE - ACV Aluminum'!CV13*1000</f>
        <v>2684.1686474322096</v>
      </c>
      <c r="H25" s="717">
        <f>+'FE - ACV Aluminum'!CW13*1000</f>
        <v>4237.2673980435375</v>
      </c>
      <c r="I25" s="717">
        <f>+'FE - ACV Aluminum'!CX13*1000</f>
        <v>6362.6949236217424</v>
      </c>
      <c r="L25" s="713">
        <f t="shared" ref="L25:L31" si="14">+H25-G25</f>
        <v>1553.0987506113279</v>
      </c>
      <c r="M25" s="714">
        <f t="shared" ref="M25:M31" si="15">+E24</f>
        <v>2299.0230407519994</v>
      </c>
      <c r="N25" s="714">
        <v>2</v>
      </c>
      <c r="O25" s="714">
        <f t="shared" ref="O25:O31" si="16">+H25</f>
        <v>4237.2673980435375</v>
      </c>
      <c r="P25" s="713">
        <f t="shared" ref="P25:P31" si="17">+I25-H25</f>
        <v>2125.4275255782049</v>
      </c>
    </row>
    <row r="26" spans="2:16" ht="19.95" customHeight="1">
      <c r="C26" s="638" t="s">
        <v>5514</v>
      </c>
      <c r="D26" s="712">
        <f t="shared" si="11"/>
        <v>5233.2739852004088</v>
      </c>
      <c r="E26" s="712">
        <f t="shared" si="12"/>
        <v>7939.1050092592304</v>
      </c>
      <c r="F26" s="712">
        <f t="shared" si="13"/>
        <v>10986.837672862654</v>
      </c>
      <c r="G26" s="717">
        <f>+'FE - ACV Aluminum'!CV14*1000</f>
        <v>1343.4655777904618</v>
      </c>
      <c r="H26" s="717">
        <f>+'FE - ACV Aluminum'!CW14*1000</f>
        <v>1402.8145704636936</v>
      </c>
      <c r="I26" s="717">
        <f>+'FE - ACV Aluminum'!CX14*1000</f>
        <v>1456.0807077143472</v>
      </c>
      <c r="L26" s="713">
        <f t="shared" si="14"/>
        <v>59.348992673231805</v>
      </c>
      <c r="M26" s="714">
        <f t="shared" si="15"/>
        <v>6536.2904387955368</v>
      </c>
      <c r="N26" s="714">
        <v>3</v>
      </c>
      <c r="O26" s="714">
        <f t="shared" si="16"/>
        <v>1402.8145704636936</v>
      </c>
      <c r="P26" s="713">
        <f t="shared" si="17"/>
        <v>53.266137250653628</v>
      </c>
    </row>
    <row r="27" spans="2:16" ht="19.95" customHeight="1">
      <c r="C27" s="638" t="s">
        <v>5508</v>
      </c>
      <c r="D27" s="712">
        <f t="shared" si="11"/>
        <v>5328.9559778471512</v>
      </c>
      <c r="E27" s="712">
        <f t="shared" si="12"/>
        <v>8286.5409286932263</v>
      </c>
      <c r="F27" s="712">
        <f t="shared" si="13"/>
        <v>11497.726999724979</v>
      </c>
      <c r="G27" s="717">
        <f>+'FE - ACV Aluminum'!CV15*1000</f>
        <v>95.681992646742145</v>
      </c>
      <c r="H27" s="717">
        <f>+'FE - ACV Aluminum'!CW15*1000</f>
        <v>347.43591943399565</v>
      </c>
      <c r="I27" s="717">
        <f>+'FE - ACV Aluminum'!CX15*1000</f>
        <v>510.88932686232579</v>
      </c>
      <c r="L27" s="713">
        <f t="shared" si="14"/>
        <v>251.7539267872535</v>
      </c>
      <c r="M27" s="714">
        <f t="shared" si="15"/>
        <v>7939.1050092592304</v>
      </c>
      <c r="N27" s="714">
        <v>4</v>
      </c>
      <c r="O27" s="714">
        <f t="shared" si="16"/>
        <v>347.43591943399565</v>
      </c>
      <c r="P27" s="713">
        <f t="shared" si="17"/>
        <v>163.45340742833014</v>
      </c>
    </row>
    <row r="28" spans="2:16" ht="19.95" customHeight="1">
      <c r="C28" s="638" t="s">
        <v>5509</v>
      </c>
      <c r="D28" s="712">
        <f t="shared" si="11"/>
        <v>5328.9559778471512</v>
      </c>
      <c r="E28" s="712">
        <f t="shared" si="12"/>
        <v>8286.5409286932263</v>
      </c>
      <c r="F28" s="712">
        <f t="shared" si="13"/>
        <v>11497.726999724979</v>
      </c>
      <c r="G28" s="717">
        <f>+'FE - ACV Aluminum'!CV16*1000</f>
        <v>0</v>
      </c>
      <c r="H28" s="717">
        <f>+'FE - ACV Aluminum'!CW16*1000</f>
        <v>0</v>
      </c>
      <c r="I28" s="717">
        <f>+'FE - ACV Aluminum'!CX16*1000</f>
        <v>0</v>
      </c>
      <c r="L28" s="713">
        <f t="shared" si="14"/>
        <v>0</v>
      </c>
      <c r="M28" s="714">
        <f t="shared" si="15"/>
        <v>8286.5409286932263</v>
      </c>
      <c r="N28" s="714">
        <v>5</v>
      </c>
      <c r="O28" s="714">
        <f t="shared" si="16"/>
        <v>0</v>
      </c>
      <c r="P28" s="713">
        <f t="shared" si="17"/>
        <v>0</v>
      </c>
    </row>
    <row r="29" spans="2:16" ht="19.95" customHeight="1">
      <c r="B29" t="s">
        <v>5541</v>
      </c>
      <c r="C29" s="638" t="s">
        <v>5510</v>
      </c>
      <c r="D29" s="712">
        <f t="shared" si="11"/>
        <v>5590.4882642084112</v>
      </c>
      <c r="E29" s="712">
        <f t="shared" si="12"/>
        <v>8616.7927260588312</v>
      </c>
      <c r="F29" s="712">
        <f t="shared" si="13"/>
        <v>11959.965398401644</v>
      </c>
      <c r="G29" s="717">
        <f>+'FE - ACV Aluminum'!CV17*1000</f>
        <v>261.53228636126045</v>
      </c>
      <c r="H29" s="717">
        <f>+'FE - ACV Aluminum'!CW17*1000</f>
        <v>330.2517973656046</v>
      </c>
      <c r="I29" s="717">
        <f>+'FE - ACV Aluminum'!CX17*1000</f>
        <v>462.23839867666572</v>
      </c>
      <c r="L29" s="713">
        <f t="shared" si="14"/>
        <v>68.719511004344156</v>
      </c>
      <c r="M29" s="714">
        <f t="shared" si="15"/>
        <v>8286.5409286932263</v>
      </c>
      <c r="N29" s="714">
        <v>6</v>
      </c>
      <c r="O29" s="714">
        <f t="shared" si="16"/>
        <v>330.2517973656046</v>
      </c>
      <c r="P29" s="713">
        <f t="shared" si="17"/>
        <v>131.98660131106112</v>
      </c>
    </row>
    <row r="30" spans="2:16" ht="19.95" customHeight="1">
      <c r="C30" s="638" t="s">
        <v>5511</v>
      </c>
      <c r="D30" s="712">
        <f t="shared" si="11"/>
        <v>5612.9400243056334</v>
      </c>
      <c r="E30" s="712">
        <f t="shared" si="12"/>
        <v>8792.6456388355418</v>
      </c>
      <c r="F30" s="712">
        <f t="shared" si="13"/>
        <v>12589.437261475416</v>
      </c>
      <c r="G30" s="717">
        <f>+'FE - ACV Aluminum'!CV18*1000</f>
        <v>22.451760097222536</v>
      </c>
      <c r="H30" s="717">
        <f>+'FE - ACV Aluminum'!CW18*1000</f>
        <v>175.85291277671089</v>
      </c>
      <c r="I30" s="717">
        <f>+'FE - ACV Aluminum'!CX18*1000</f>
        <v>629.47186307377081</v>
      </c>
      <c r="L30" s="713">
        <f t="shared" si="14"/>
        <v>153.40115267948835</v>
      </c>
      <c r="M30" s="714">
        <f t="shared" si="15"/>
        <v>8616.7927260588312</v>
      </c>
      <c r="N30" s="714">
        <v>7</v>
      </c>
      <c r="O30" s="714">
        <f t="shared" si="16"/>
        <v>175.85291277671089</v>
      </c>
      <c r="P30" s="713">
        <f t="shared" si="17"/>
        <v>453.61895029705988</v>
      </c>
    </row>
    <row r="31" spans="2:16" ht="19.95" customHeight="1">
      <c r="C31" s="638" t="s">
        <v>5512</v>
      </c>
      <c r="D31" s="712">
        <f t="shared" si="11"/>
        <v>5612.9400243056334</v>
      </c>
      <c r="E31" s="712">
        <f t="shared" si="12"/>
        <v>8792.6456388355418</v>
      </c>
      <c r="F31" s="712">
        <f t="shared" si="13"/>
        <v>12589.437261475416</v>
      </c>
      <c r="G31" s="717">
        <f>+'FE - ACV Aluminum'!CV19*1000</f>
        <v>0</v>
      </c>
      <c r="H31" s="717">
        <f>+'FE - ACV Aluminum'!CW19*1000</f>
        <v>0</v>
      </c>
      <c r="I31" s="717">
        <f>+'FE - ACV Aluminum'!CX19*1000</f>
        <v>0</v>
      </c>
      <c r="L31" s="713">
        <f t="shared" si="14"/>
        <v>0</v>
      </c>
      <c r="M31" s="714">
        <f t="shared" si="15"/>
        <v>8792.6456388355418</v>
      </c>
      <c r="N31" s="714">
        <v>8</v>
      </c>
      <c r="O31" s="714">
        <f t="shared" si="16"/>
        <v>0</v>
      </c>
      <c r="P31" s="713">
        <f t="shared" si="17"/>
        <v>0</v>
      </c>
    </row>
    <row r="32" spans="2:16" ht="19.95" customHeight="1">
      <c r="C32" s="680" t="s">
        <v>5529</v>
      </c>
      <c r="D32" s="715">
        <f>+G32</f>
        <v>3889.8084074099474</v>
      </c>
      <c r="E32" s="715">
        <f t="shared" ref="E32:F34" si="18">+H32</f>
        <v>6536.2904387955368</v>
      </c>
      <c r="F32" s="715">
        <f t="shared" si="18"/>
        <v>9530.7569651483063</v>
      </c>
      <c r="G32" s="717">
        <f>+'FE - ACV Aluminum'!CV20*1000</f>
        <v>3889.8084074099474</v>
      </c>
      <c r="H32" s="717">
        <f>+'FE - ACV Aluminum'!CW20*1000</f>
        <v>6536.2904387955368</v>
      </c>
      <c r="I32" s="717">
        <f>+'FE - ACV Aluminum'!CX20*1000</f>
        <v>9530.7569651483063</v>
      </c>
      <c r="L32" s="716">
        <f t="shared" ref="L32:L34" si="19">+E32-D32</f>
        <v>2646.4820313855894</v>
      </c>
      <c r="M32" s="714">
        <f t="shared" ref="M32:M34" si="20">+E32</f>
        <v>6536.2904387955368</v>
      </c>
      <c r="N32" s="714">
        <v>0</v>
      </c>
      <c r="O32" s="714">
        <v>0</v>
      </c>
      <c r="P32" s="716">
        <f t="shared" ref="P32:P34" si="21">+F32-E32</f>
        <v>2994.4665263527695</v>
      </c>
    </row>
    <row r="33" spans="3:16" ht="19.95" customHeight="1">
      <c r="C33" s="680" t="s">
        <v>5530</v>
      </c>
      <c r="D33" s="715">
        <f t="shared" ref="D33:D34" si="22">+G33</f>
        <v>5328.9559778471512</v>
      </c>
      <c r="E33" s="715">
        <f t="shared" si="18"/>
        <v>8286.5409286932263</v>
      </c>
      <c r="F33" s="715">
        <f t="shared" si="18"/>
        <v>11497.726999724979</v>
      </c>
      <c r="G33" s="717">
        <f>+'FE - ACV Aluminum'!CV21*1000</f>
        <v>5328.9559778471512</v>
      </c>
      <c r="H33" s="717">
        <f>+'FE - ACV Aluminum'!CW21*1000</f>
        <v>8286.5409286932263</v>
      </c>
      <c r="I33" s="717">
        <f>+'FE - ACV Aluminum'!CX21*1000</f>
        <v>11497.726999724979</v>
      </c>
      <c r="L33" s="716">
        <f t="shared" si="19"/>
        <v>2957.5849508460751</v>
      </c>
      <c r="M33" s="714">
        <f t="shared" si="20"/>
        <v>8286.5409286932263</v>
      </c>
      <c r="N33" s="714">
        <v>0</v>
      </c>
      <c r="O33" s="714">
        <v>0</v>
      </c>
      <c r="P33" s="716">
        <f t="shared" si="21"/>
        <v>3211.1860710317524</v>
      </c>
    </row>
    <row r="34" spans="3:16" ht="19.95" customHeight="1">
      <c r="C34" s="680" t="s">
        <v>5531</v>
      </c>
      <c r="D34" s="715">
        <f t="shared" si="22"/>
        <v>5612.9400243056343</v>
      </c>
      <c r="E34" s="715">
        <f t="shared" si="18"/>
        <v>8792.6456388355418</v>
      </c>
      <c r="F34" s="715">
        <f t="shared" si="18"/>
        <v>12589.437261475414</v>
      </c>
      <c r="G34" s="717">
        <f>+'FE - ACV Aluminum'!CV22*1000</f>
        <v>5612.9400243056343</v>
      </c>
      <c r="H34" s="717">
        <f>+'FE - ACV Aluminum'!CW22*1000</f>
        <v>8792.6456388355418</v>
      </c>
      <c r="I34" s="717">
        <f>+'FE - ACV Aluminum'!CX22*1000</f>
        <v>12589.437261475414</v>
      </c>
      <c r="L34" s="716">
        <f t="shared" si="19"/>
        <v>3179.7056145299075</v>
      </c>
      <c r="M34" s="714">
        <f t="shared" si="20"/>
        <v>8792.6456388355418</v>
      </c>
      <c r="N34" s="714">
        <v>0</v>
      </c>
      <c r="O34" s="714">
        <v>0</v>
      </c>
      <c r="P34" s="716">
        <f t="shared" si="21"/>
        <v>3796.791622639872</v>
      </c>
    </row>
  </sheetData>
  <pageMargins left="0.511811024" right="0.511811024" top="0.78740157499999996" bottom="0.78740157499999996" header="0.31496062000000002" footer="0.31496062000000002"/>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741CE-A29A-4203-A6A0-DF66FBEA9CF8}">
  <sheetPr>
    <tabColor rgb="FF00B050"/>
  </sheetPr>
  <dimension ref="A1:BF24"/>
  <sheetViews>
    <sheetView showGridLines="0" topLeftCell="AO1" zoomScale="80" zoomScaleNormal="80" workbookViewId="0">
      <selection activeCell="AU24" sqref="AU24"/>
    </sheetView>
  </sheetViews>
  <sheetFormatPr defaultRowHeight="14.4"/>
  <cols>
    <col min="2" max="2" width="13.109375" customWidth="1"/>
    <col min="7" max="7" width="37.33203125" customWidth="1"/>
    <col min="8" max="8" width="16.44140625" customWidth="1"/>
    <col min="10" max="10" width="8.88671875" customWidth="1"/>
    <col min="11" max="11" width="29.6640625" customWidth="1"/>
    <col min="12" max="12" width="15.6640625" customWidth="1"/>
    <col min="13" max="13" width="9.5546875" bestFit="1" customWidth="1"/>
    <col min="15" max="15" width="11.33203125" customWidth="1"/>
    <col min="20" max="20" width="13.33203125" customWidth="1"/>
    <col min="25" max="25" width="10.33203125" customWidth="1"/>
    <col min="26" max="26" width="24.77734375" customWidth="1"/>
    <col min="27" max="27" width="30.6640625" customWidth="1"/>
    <col min="30" max="30" width="10" customWidth="1"/>
    <col min="33" max="33" width="10.109375" customWidth="1"/>
    <col min="35" max="35" width="14.88671875" bestFit="1" customWidth="1"/>
    <col min="36" max="36" width="5.5546875" bestFit="1" customWidth="1"/>
    <col min="37" max="37" width="11.109375" bestFit="1" customWidth="1"/>
    <col min="38" max="38" width="11.109375" customWidth="1"/>
    <col min="39" max="39" width="5.6640625" customWidth="1"/>
    <col min="40" max="40" width="8.88671875" customWidth="1"/>
    <col min="42" max="42" width="25.88671875" customWidth="1"/>
    <col min="43" max="43" width="17.44140625" customWidth="1"/>
    <col min="47" max="47" width="34.109375" customWidth="1"/>
    <col min="48" max="48" width="8.88671875" customWidth="1"/>
    <col min="49" max="49" width="30.6640625" customWidth="1"/>
    <col min="54" max="54" width="23.6640625" customWidth="1"/>
    <col min="55" max="55" width="20.5546875" customWidth="1"/>
  </cols>
  <sheetData>
    <row r="1" spans="1:58">
      <c r="A1" s="429">
        <f>'FE - Aluminum'!BH2</f>
        <v>56</v>
      </c>
    </row>
    <row r="3" spans="1:58" ht="72">
      <c r="W3" s="417" t="s">
        <v>563</v>
      </c>
      <c r="AB3" s="417" t="s">
        <v>5373</v>
      </c>
      <c r="AD3" s="417" t="s">
        <v>5216</v>
      </c>
      <c r="AG3" s="417" t="s">
        <v>5565</v>
      </c>
      <c r="AK3" s="417" t="s">
        <v>5566</v>
      </c>
      <c r="AR3" s="415" t="s">
        <v>515</v>
      </c>
      <c r="AX3" s="414" t="s">
        <v>516</v>
      </c>
      <c r="BD3" s="415" t="s">
        <v>514</v>
      </c>
    </row>
    <row r="4" spans="1:58">
      <c r="D4" s="418">
        <f>D10</f>
        <v>0</v>
      </c>
      <c r="I4" s="418">
        <f>SUM(I9:I10)</f>
        <v>0</v>
      </c>
      <c r="M4" s="418">
        <f>SUM(M10:M10)</f>
        <v>0</v>
      </c>
      <c r="Q4" s="418">
        <f>Q10</f>
        <v>0</v>
      </c>
      <c r="W4" s="419">
        <f>W8</f>
        <v>0.45900000000000002</v>
      </c>
      <c r="AB4" s="418">
        <f>SUM(AB10:AB11)</f>
        <v>0</v>
      </c>
      <c r="AG4" s="418">
        <f>SUM(AB8:AB11)</f>
        <v>0.45900000000000002</v>
      </c>
      <c r="AK4" s="418">
        <f>SUM(AK7:AK12)</f>
        <v>0</v>
      </c>
      <c r="AR4" s="416">
        <f>SUM(AR7:AR10)</f>
        <v>0</v>
      </c>
      <c r="AX4" s="418">
        <f>SUM(AX7:AX13)</f>
        <v>0</v>
      </c>
      <c r="AY4" s="420">
        <f>SUM(AY7:AY13)</f>
        <v>1</v>
      </c>
      <c r="BD4" s="416" t="e">
        <f>SUM(BD7:BD10)</f>
        <v>#N/A</v>
      </c>
      <c r="BE4" s="420" t="e">
        <f>SUM(BE7:BE10)</f>
        <v>#REF!</v>
      </c>
    </row>
    <row r="7" spans="1:58">
      <c r="AI7" s="404" t="s">
        <v>5359</v>
      </c>
      <c r="AJ7" s="404" t="s">
        <v>5559</v>
      </c>
      <c r="AK7" s="407">
        <f>VLOOKUP(AJ7,'FE - Aluminum'!$C$2:$BJ$54,$A$1,FALSE)</f>
        <v>0</v>
      </c>
      <c r="AL7" s="1230" t="s">
        <v>5568</v>
      </c>
      <c r="AO7" s="411">
        <f>'FE - Aluminum'!DO45</f>
        <v>0.6</v>
      </c>
      <c r="AP7" s="405" t="s">
        <v>5475</v>
      </c>
      <c r="AQ7" s="405" t="s">
        <v>5256</v>
      </c>
      <c r="AR7" s="407">
        <f>VLOOKUP(AQ7,'FE - Aluminum'!$C$2:$BJ$54,$A$1,FALSE)</f>
        <v>0</v>
      </c>
      <c r="AS7" s="1227" t="s">
        <v>561</v>
      </c>
      <c r="AU7" s="412" t="s">
        <v>526</v>
      </c>
      <c r="AW7" s="405" t="s">
        <v>5199</v>
      </c>
      <c r="AX7" s="407">
        <f>VLOOKUP(AW7,'FE - Aluminum'!$C$2:$BJ$54,$A$1,FALSE)</f>
        <v>0</v>
      </c>
      <c r="AY7" s="411">
        <f>'FE - Aluminum'!P46</f>
        <v>1</v>
      </c>
      <c r="AZ7" s="1229" t="s">
        <v>5215</v>
      </c>
      <c r="BB7" s="412" t="s">
        <v>480</v>
      </c>
      <c r="BC7" s="405" t="s">
        <v>5202</v>
      </c>
      <c r="BD7" s="407">
        <f>VLOOKUP(BC7,'FE - Aluminum'!$C$2:$BJ$54,$A$1,FALSE)</f>
        <v>0</v>
      </c>
      <c r="BE7" s="411">
        <f>'FE - Aluminum'!Q52</f>
        <v>1</v>
      </c>
      <c r="BF7" s="1227" t="s">
        <v>5569</v>
      </c>
    </row>
    <row r="8" spans="1:58">
      <c r="T8" s="409" t="s">
        <v>556</v>
      </c>
      <c r="U8" s="409" t="s">
        <v>203</v>
      </c>
      <c r="V8" s="723">
        <f>VLOOKUP(U8,'FE - Aluminum'!$C$2:$BJ$54,$A$1,FALSE)</f>
        <v>0</v>
      </c>
      <c r="W8" s="408">
        <f>'FE - Aluminum'!BF29</f>
        <v>0.45900000000000002</v>
      </c>
      <c r="Y8" s="9"/>
      <c r="Z8" s="405" t="s">
        <v>524</v>
      </c>
      <c r="AA8" s="405" t="s">
        <v>521</v>
      </c>
      <c r="AB8" s="723">
        <f>VLOOKUP(AA8,'FE - Aluminum'!$C$2:$BJ$54,$A$1,FALSE)</f>
        <v>0.45900000000000002</v>
      </c>
      <c r="AC8" s="406">
        <f>'FE - Aluminum'!I12</f>
        <v>0.41799999999999998</v>
      </c>
      <c r="AD8" s="406"/>
      <c r="AG8" s="1230" t="s">
        <v>560</v>
      </c>
      <c r="AI8" s="404" t="s">
        <v>5360</v>
      </c>
      <c r="AJ8" s="404" t="s">
        <v>5560</v>
      </c>
      <c r="AK8" s="407">
        <f>VLOOKUP(AJ8,'FE - Aluminum'!$C$2:$BJ$54,$A$1,FALSE)</f>
        <v>0</v>
      </c>
      <c r="AL8" s="1230"/>
      <c r="AS8" s="1227"/>
      <c r="AU8" s="412" t="s">
        <v>196</v>
      </c>
      <c r="AW8" s="405" t="s">
        <v>5260</v>
      </c>
      <c r="AX8" s="407">
        <f>VLOOKUP(AW8,'FE - Aluminum'!$C$2:$BJ$54,$A$1,FALSE)</f>
        <v>0</v>
      </c>
      <c r="AY8" s="411">
        <f>'FE - Aluminum'!P47</f>
        <v>0</v>
      </c>
      <c r="AZ8" s="1229"/>
      <c r="BB8" s="412" t="s">
        <v>5194</v>
      </c>
      <c r="BC8" s="405" t="s">
        <v>5266</v>
      </c>
      <c r="BD8" s="407">
        <f>VLOOKUP(BC8,'FE - Aluminum'!$C$2:$BJ$54,$A$1,FALSE)</f>
        <v>0</v>
      </c>
      <c r="BE8" s="411">
        <f>'FE - Aluminum'!Q53</f>
        <v>0</v>
      </c>
      <c r="BF8" s="1227"/>
    </row>
    <row r="9" spans="1:58">
      <c r="AG9" s="1230"/>
      <c r="AI9" s="404" t="s">
        <v>5361</v>
      </c>
      <c r="AJ9" s="404" t="s">
        <v>5561</v>
      </c>
      <c r="AK9" s="407">
        <f>VLOOKUP(AJ9,'FE - Aluminum'!$C$2:$BJ$54,$A$1,FALSE)</f>
        <v>0</v>
      </c>
      <c r="AL9" s="1230"/>
      <c r="AO9" s="411">
        <f>'FE - Aluminum'!O41</f>
        <v>0.26500000000000001</v>
      </c>
      <c r="AP9" s="405" t="s">
        <v>557</v>
      </c>
      <c r="AQ9" s="405" t="s">
        <v>5258</v>
      </c>
      <c r="AR9" s="407">
        <f>VLOOKUP(AQ9,'FE - Aluminum'!$C$2:$BJ$54,$A$1,FALSE)</f>
        <v>0</v>
      </c>
      <c r="AS9" s="1227"/>
      <c r="AZ9" s="1229"/>
      <c r="BB9" s="412" t="s">
        <v>5196</v>
      </c>
      <c r="BC9" s="405" t="s">
        <v>5201</v>
      </c>
      <c r="BD9" s="407" t="e">
        <f>VLOOKUP(BC9,'FE - Aluminum'!$C$2:$BJ$54,$A$1,FALSE)</f>
        <v>#N/A</v>
      </c>
      <c r="BE9" s="411" t="e">
        <f>'FE - Aluminum'!#REF!</f>
        <v>#REF!</v>
      </c>
      <c r="BF9" s="1227"/>
    </row>
    <row r="10" spans="1:58">
      <c r="B10" s="409" t="s">
        <v>182</v>
      </c>
      <c r="C10" s="409" t="s">
        <v>482</v>
      </c>
      <c r="D10" s="723">
        <f>VLOOKUP(C10,'FE - Aluminum'!$C$2:$BJ$54,$A$1,FALSE)</f>
        <v>0</v>
      </c>
      <c r="E10" s="9"/>
      <c r="G10" s="405" t="s">
        <v>485</v>
      </c>
      <c r="H10" s="405" t="s">
        <v>511</v>
      </c>
      <c r="I10" s="723">
        <f>VLOOKUP(H10,'FE - Aluminum'!$C$2:$BJ$54,$A$1,FALSE)</f>
        <v>0</v>
      </c>
      <c r="K10" s="405" t="s">
        <v>486</v>
      </c>
      <c r="L10" s="405" t="s">
        <v>498</v>
      </c>
      <c r="M10" s="723">
        <f>VLOOKUP(L10,'FE - Aluminum'!$C$2:$BJ$54,$A$1,FALSE)</f>
        <v>0</v>
      </c>
      <c r="O10" s="410" t="s">
        <v>488</v>
      </c>
      <c r="P10" s="410" t="s">
        <v>105</v>
      </c>
      <c r="Q10" s="723">
        <f>VLOOKUP(P10,'FE - Aluminum'!$C$2:$BJ$54,$A$1,FALSE)</f>
        <v>0</v>
      </c>
      <c r="R10" s="9"/>
      <c r="T10" s="405" t="s">
        <v>489</v>
      </c>
      <c r="U10" s="405" t="s">
        <v>5</v>
      </c>
      <c r="V10" s="723">
        <f>VLOOKUP(U10,'FE - Aluminum'!$C$2:$BJ$54,$A$1,FALSE)</f>
        <v>0</v>
      </c>
      <c r="W10" s="9"/>
      <c r="Y10" s="406">
        <f>'FE - Aluminum'!L27</f>
        <v>0.32599999999999996</v>
      </c>
      <c r="Z10" s="405" t="s">
        <v>5315</v>
      </c>
      <c r="AA10" s="405" t="s">
        <v>5198</v>
      </c>
      <c r="AB10" s="723">
        <f>VLOOKUP(AA10,'FE - Aluminum'!$C$2:$BJ$54,$A$1,FALSE)</f>
        <v>0</v>
      </c>
      <c r="AC10" s="1228">
        <f>'FE - Aluminum'!I11</f>
        <v>0.58200000000000007</v>
      </c>
      <c r="AD10" s="422">
        <f>'FE - Aluminum'!DI27</f>
        <v>0.10261000000000001</v>
      </c>
      <c r="AE10" s="1230" t="s">
        <v>5558</v>
      </c>
      <c r="AG10" s="1230"/>
      <c r="AI10" s="404" t="s">
        <v>5362</v>
      </c>
      <c r="AJ10" s="404" t="s">
        <v>5562</v>
      </c>
      <c r="AK10" s="407">
        <f>VLOOKUP(AJ10,'FE - Aluminum'!$C$2:$BJ$54,$A$1,FALSE)</f>
        <v>0</v>
      </c>
      <c r="AL10" s="1230"/>
      <c r="AO10" s="411">
        <f>'FE - Aluminum'!O42</f>
        <v>0.13500000000000001</v>
      </c>
      <c r="AP10" s="405" t="s">
        <v>525</v>
      </c>
      <c r="AQ10" s="405" t="s">
        <v>5272</v>
      </c>
      <c r="AR10" s="407">
        <f>VLOOKUP(AQ10,'FE - Aluminum'!$C$2:$BJ$54,$A$1,FALSE)</f>
        <v>0</v>
      </c>
      <c r="AS10" s="1227"/>
      <c r="AW10" s="499" t="s">
        <v>5261</v>
      </c>
      <c r="AX10" s="407">
        <f>VLOOKUP(AW10,'FE - Aluminum'!$C$2:$BJ$54,$A$1,FALSE)</f>
        <v>0</v>
      </c>
      <c r="AY10" s="411">
        <f>'FE - Aluminum'!P48</f>
        <v>0</v>
      </c>
      <c r="AZ10" s="1229"/>
      <c r="BB10" s="413" t="s">
        <v>5195</v>
      </c>
      <c r="BC10" s="405" t="s">
        <v>5200</v>
      </c>
      <c r="BD10" s="407">
        <f>VLOOKUP(BC10,'FE - Aluminum'!$C$2:$BJ$54,$A$1,FALSE)</f>
        <v>0</v>
      </c>
      <c r="BE10" s="411">
        <f>'FE - Aluminum'!Q54</f>
        <v>0</v>
      </c>
      <c r="BF10" s="1227"/>
    </row>
    <row r="11" spans="1:58">
      <c r="Y11" s="406">
        <f>'FE - Aluminum'!L26</f>
        <v>0.67400000000000004</v>
      </c>
      <c r="Z11" s="405" t="s">
        <v>5316</v>
      </c>
      <c r="AA11" s="405" t="s">
        <v>5197</v>
      </c>
      <c r="AB11" s="723">
        <f>VLOOKUP(AA11,'FE - Aluminum'!$C$2:$BJ$54,$A$1,FALSE)</f>
        <v>0</v>
      </c>
      <c r="AC11" s="1228"/>
      <c r="AD11" s="422">
        <f>'FE - Aluminum'!DI26</f>
        <v>4.2399999999999998E-3</v>
      </c>
      <c r="AE11" s="1230"/>
      <c r="AG11" s="1230"/>
      <c r="AI11" s="404" t="s">
        <v>5476</v>
      </c>
      <c r="AJ11" s="404" t="s">
        <v>5563</v>
      </c>
      <c r="AK11" s="407">
        <f>VLOOKUP(AJ11,'FE - Aluminum'!$C$2:$BJ$54,$A$1,FALSE)</f>
        <v>0</v>
      </c>
      <c r="AL11" s="1230"/>
      <c r="AU11" s="412" t="s">
        <v>479</v>
      </c>
      <c r="AW11" s="499" t="s">
        <v>5262</v>
      </c>
      <c r="AX11" s="407">
        <f>VLOOKUP(AW10,'FE - Aluminum'!$C$2:$BJ$54,$A$1,FALSE)</f>
        <v>0</v>
      </c>
      <c r="AY11" s="411">
        <f>'FE - Aluminum'!P49</f>
        <v>0</v>
      </c>
      <c r="AZ11" s="1229"/>
    </row>
    <row r="12" spans="1:58">
      <c r="AI12" s="404" t="s">
        <v>5477</v>
      </c>
      <c r="AJ12" s="404" t="s">
        <v>5564</v>
      </c>
      <c r="AK12" s="407">
        <f>VLOOKUP(AJ12,'FE - Aluminum'!$C$2:$BJ$54,$A$1,FALSE)</f>
        <v>0</v>
      </c>
      <c r="AL12" s="1230"/>
      <c r="AW12" s="499" t="s">
        <v>5263</v>
      </c>
      <c r="AX12" s="407">
        <f>VLOOKUP(AW11,'FE - Aluminum'!$C$2:$BJ$54,$A$1,FALSE)</f>
        <v>0</v>
      </c>
      <c r="AY12" s="411">
        <f>'FE - Aluminum'!P50</f>
        <v>0</v>
      </c>
      <c r="AZ12" s="1229"/>
    </row>
    <row r="13" spans="1:58">
      <c r="AB13" s="428"/>
      <c r="AW13" s="499" t="s">
        <v>5264</v>
      </c>
      <c r="AX13" s="407">
        <f>VLOOKUP(AW12,'FE - Aluminum'!$C$2:$BJ$54,$A$1,FALSE)</f>
        <v>0</v>
      </c>
      <c r="AY13" s="411">
        <f>'FE - Aluminum'!P51</f>
        <v>0</v>
      </c>
      <c r="AZ13" s="1229"/>
    </row>
    <row r="14" spans="1:58">
      <c r="AK14" s="417" t="s">
        <v>562</v>
      </c>
    </row>
    <row r="15" spans="1:58">
      <c r="AK15" s="418">
        <f>SUM(AJ16:AJ24)</f>
        <v>0</v>
      </c>
    </row>
    <row r="16" spans="1:58" ht="15.6">
      <c r="AI16" s="386" t="s">
        <v>545</v>
      </c>
      <c r="AJ16" s="765">
        <f>HLOOKUP(AI16,'FE - Aluminum'!$BS$9:$CA$10,2,FALSE)*1000</f>
        <v>0</v>
      </c>
      <c r="AK16" s="428"/>
      <c r="AL16" s="428"/>
    </row>
    <row r="17" spans="35:36" ht="15.6">
      <c r="AI17" s="386" t="s">
        <v>546</v>
      </c>
      <c r="AJ17" s="765">
        <f>HLOOKUP(AI17,'FE - Aluminum'!$BS$9:$CA$10,2,FALSE)*1000</f>
        <v>0</v>
      </c>
    </row>
    <row r="18" spans="35:36" ht="15.6">
      <c r="AI18" s="386" t="s">
        <v>547</v>
      </c>
      <c r="AJ18" s="765">
        <f>HLOOKUP(AI18,'FE - Aluminum'!$BS$9:$CA$10,2,FALSE)*1000</f>
        <v>0</v>
      </c>
    </row>
    <row r="19" spans="35:36" ht="15.6">
      <c r="AI19" s="386" t="s">
        <v>548</v>
      </c>
      <c r="AJ19" s="765">
        <f>HLOOKUP(AI19,'FE - Aluminum'!$BS$9:$CA$10,2,FALSE)*1000</f>
        <v>0</v>
      </c>
    </row>
    <row r="20" spans="35:36" ht="15.6">
      <c r="AI20" s="386" t="s">
        <v>550</v>
      </c>
      <c r="AJ20" s="765">
        <f>HLOOKUP(AI20,'FE - Aluminum'!$BS$9:$CA$10,2,FALSE)*1000</f>
        <v>0</v>
      </c>
    </row>
    <row r="21" spans="35:36" ht="15.6">
      <c r="AI21" s="386" t="s">
        <v>551</v>
      </c>
      <c r="AJ21" s="765">
        <f>HLOOKUP(AI21,'FE - Aluminum'!$BS$9:$CA$10,2,FALSE)*1000</f>
        <v>0</v>
      </c>
    </row>
    <row r="22" spans="35:36" ht="15.6">
      <c r="AI22" s="386" t="s">
        <v>5372</v>
      </c>
      <c r="AJ22" s="765">
        <f>HLOOKUP(AI22,'FE - Aluminum'!$BS$9:$CA$10,2,FALSE)*1000</f>
        <v>0</v>
      </c>
    </row>
    <row r="23" spans="35:36" ht="15.6">
      <c r="AI23" s="386" t="s">
        <v>5371</v>
      </c>
      <c r="AJ23" s="765">
        <f>HLOOKUP(AI23,'FE - Aluminum'!$BS$9:$CA$10,2,FALSE)*1000</f>
        <v>0</v>
      </c>
    </row>
    <row r="24" spans="35:36" ht="15.6">
      <c r="AI24" s="386" t="s">
        <v>549</v>
      </c>
      <c r="AJ24" s="765">
        <f>HLOOKUP(AI24,'FE - Aluminum'!$BS$9:$CA$10,2,FALSE)*1000</f>
        <v>0</v>
      </c>
    </row>
  </sheetData>
  <mergeCells count="7">
    <mergeCell ref="AS7:AS10"/>
    <mergeCell ref="BF7:BF10"/>
    <mergeCell ref="AC10:AC11"/>
    <mergeCell ref="AZ7:AZ13"/>
    <mergeCell ref="AE10:AE11"/>
    <mergeCell ref="AG8:AG11"/>
    <mergeCell ref="AL7:AL12"/>
  </mergeCells>
  <phoneticPr fontId="29" type="noConversion"/>
  <pageMargins left="0.511811024" right="0.511811024" top="0.78740157499999996" bottom="0.78740157499999996" header="0.31496062000000002" footer="0.31496062000000002"/>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F5DF2-22D5-490B-8757-8BCC3CB37A92}">
  <sheetPr>
    <tabColor rgb="FFFFFF00"/>
  </sheetPr>
  <dimension ref="A1:F44"/>
  <sheetViews>
    <sheetView showGridLines="0" zoomScaleNormal="100" workbookViewId="0">
      <selection activeCell="H13" sqref="H13"/>
    </sheetView>
  </sheetViews>
  <sheetFormatPr defaultRowHeight="15.6"/>
  <cols>
    <col min="1" max="1" width="10" bestFit="1" customWidth="1"/>
    <col min="2" max="2" width="12" style="282" customWidth="1"/>
    <col min="3" max="3" width="62.109375" style="690" bestFit="1" customWidth="1"/>
    <col min="4" max="6" width="13.44140625" style="690" customWidth="1"/>
  </cols>
  <sheetData>
    <row r="1" spans="1:6" ht="15">
      <c r="B1" s="687"/>
      <c r="C1" s="688"/>
      <c r="D1" s="689"/>
      <c r="E1" s="689"/>
      <c r="F1" s="689"/>
    </row>
    <row r="2" spans="1:6" ht="36" customHeight="1">
      <c r="B2" s="691" t="s">
        <v>5522</v>
      </c>
      <c r="C2" s="692" t="s">
        <v>5528</v>
      </c>
      <c r="D2" s="693" t="s">
        <v>5523</v>
      </c>
      <c r="E2" s="694" t="s">
        <v>5524</v>
      </c>
      <c r="F2" s="695" t="s">
        <v>5525</v>
      </c>
    </row>
    <row r="3" spans="1:6" ht="25.05" customHeight="1">
      <c r="A3" t="s">
        <v>5</v>
      </c>
      <c r="B3" s="699">
        <v>3</v>
      </c>
      <c r="C3" s="638" t="s">
        <v>486</v>
      </c>
      <c r="D3" s="685"/>
      <c r="E3" s="685"/>
      <c r="F3" s="685"/>
    </row>
    <row r="4" spans="1:6" ht="25.05" customHeight="1">
      <c r="A4" t="s">
        <v>5544</v>
      </c>
      <c r="B4" s="704">
        <v>2</v>
      </c>
      <c r="C4" s="638" t="s">
        <v>5314</v>
      </c>
      <c r="D4" s="685"/>
      <c r="E4" s="685"/>
      <c r="F4" s="685"/>
    </row>
    <row r="5" spans="1:6" ht="25.05" customHeight="1">
      <c r="A5" t="s">
        <v>5331</v>
      </c>
      <c r="B5" s="701">
        <v>1</v>
      </c>
      <c r="C5" s="638" t="s">
        <v>5542</v>
      </c>
      <c r="D5" s="685"/>
      <c r="E5" s="685"/>
      <c r="F5" s="685"/>
    </row>
    <row r="6" spans="1:6" ht="25.05" customHeight="1">
      <c r="B6" s="701">
        <v>1</v>
      </c>
      <c r="C6" s="638" t="s">
        <v>5359</v>
      </c>
      <c r="D6" s="685"/>
      <c r="E6" s="685"/>
      <c r="F6" s="685"/>
    </row>
    <row r="7" spans="1:6" ht="25.05" customHeight="1">
      <c r="B7" s="701">
        <v>1</v>
      </c>
      <c r="C7" s="638" t="s">
        <v>5360</v>
      </c>
      <c r="D7" s="685"/>
      <c r="E7" s="685"/>
      <c r="F7" s="685"/>
    </row>
    <row r="8" spans="1:6" ht="25.05" customHeight="1">
      <c r="B8" s="701">
        <v>1</v>
      </c>
      <c r="C8" s="638" t="s">
        <v>5361</v>
      </c>
      <c r="D8" s="685"/>
      <c r="E8" s="685"/>
      <c r="F8" s="685"/>
    </row>
    <row r="9" spans="1:6" ht="25.05" customHeight="1">
      <c r="B9" s="701">
        <v>1</v>
      </c>
      <c r="C9" s="638" t="s">
        <v>5362</v>
      </c>
      <c r="D9" s="685"/>
      <c r="E9" s="685"/>
      <c r="F9" s="685"/>
    </row>
    <row r="10" spans="1:6" ht="25.05" customHeight="1">
      <c r="B10" s="701">
        <v>1</v>
      </c>
      <c r="C10" s="638" t="s">
        <v>5476</v>
      </c>
      <c r="D10" s="685"/>
      <c r="E10" s="685"/>
      <c r="F10" s="685"/>
    </row>
    <row r="11" spans="1:6" ht="25.05" customHeight="1">
      <c r="B11" s="701">
        <v>1</v>
      </c>
      <c r="C11" s="638" t="s">
        <v>5477</v>
      </c>
      <c r="D11" s="685"/>
      <c r="E11" s="685"/>
      <c r="F11" s="685"/>
    </row>
    <row r="12" spans="1:6" ht="25.05" customHeight="1">
      <c r="B12" s="701">
        <v>1</v>
      </c>
      <c r="C12" s="638" t="s">
        <v>5545</v>
      </c>
      <c r="D12" s="685"/>
      <c r="E12" s="685"/>
      <c r="F12" s="741"/>
    </row>
    <row r="13" spans="1:6" ht="25.05" customHeight="1">
      <c r="B13" s="700">
        <v>4</v>
      </c>
      <c r="C13" s="638" t="s">
        <v>527</v>
      </c>
      <c r="D13" s="685"/>
      <c r="E13" s="685"/>
      <c r="F13" s="685"/>
    </row>
    <row r="14" spans="1:6" ht="25.05" customHeight="1">
      <c r="A14" t="s">
        <v>5546</v>
      </c>
      <c r="B14" s="700">
        <v>4</v>
      </c>
      <c r="C14" s="638" t="s">
        <v>5358</v>
      </c>
      <c r="D14" s="685"/>
      <c r="E14" s="685"/>
      <c r="F14" s="685"/>
    </row>
    <row r="15" spans="1:6" ht="25.05" customHeight="1">
      <c r="B15" s="704">
        <v>2</v>
      </c>
      <c r="C15" s="638" t="s">
        <v>557</v>
      </c>
      <c r="D15" s="685"/>
      <c r="E15" s="685"/>
      <c r="F15" s="685"/>
    </row>
    <row r="16" spans="1:6" ht="25.05" customHeight="1">
      <c r="B16" s="704">
        <v>2</v>
      </c>
      <c r="C16" s="638" t="s">
        <v>525</v>
      </c>
      <c r="D16" s="685"/>
      <c r="E16" s="685"/>
      <c r="F16" s="685"/>
    </row>
    <row r="17" spans="2:6" ht="25.05" customHeight="1">
      <c r="B17" s="700">
        <v>4</v>
      </c>
      <c r="C17" s="638" t="s">
        <v>526</v>
      </c>
      <c r="D17" s="685"/>
      <c r="E17" s="685"/>
      <c r="F17" s="685"/>
    </row>
    <row r="18" spans="2:6" ht="25.05" customHeight="1">
      <c r="B18" s="704">
        <v>2</v>
      </c>
      <c r="C18" s="638" t="s">
        <v>5475</v>
      </c>
      <c r="D18" s="685"/>
      <c r="E18" s="685"/>
      <c r="F18" s="685"/>
    </row>
    <row r="19" spans="2:6" ht="25.05" customHeight="1">
      <c r="B19" s="700">
        <v>4</v>
      </c>
      <c r="C19" s="638" t="s">
        <v>196</v>
      </c>
      <c r="D19" s="685"/>
      <c r="E19" s="685"/>
      <c r="F19" s="685"/>
    </row>
    <row r="20" spans="2:6" ht="25.05" customHeight="1">
      <c r="B20" s="700">
        <v>4</v>
      </c>
      <c r="C20" s="638" t="s">
        <v>5193</v>
      </c>
      <c r="D20" s="685"/>
      <c r="E20" s="685"/>
      <c r="F20" s="685"/>
    </row>
    <row r="21" spans="2:6" ht="25.05" customHeight="1">
      <c r="B21" s="700">
        <v>4</v>
      </c>
      <c r="C21" s="638" t="s">
        <v>5210</v>
      </c>
      <c r="D21" s="685"/>
      <c r="E21" s="685"/>
      <c r="F21" s="685"/>
    </row>
    <row r="22" spans="2:6" ht="25.05" customHeight="1">
      <c r="B22" s="700">
        <v>4</v>
      </c>
      <c r="C22" s="638" t="s">
        <v>5211</v>
      </c>
      <c r="D22" s="685"/>
      <c r="E22" s="685"/>
      <c r="F22" s="685"/>
    </row>
    <row r="23" spans="2:6" ht="25.05" customHeight="1">
      <c r="B23" s="700">
        <v>4</v>
      </c>
      <c r="C23" s="638" t="s">
        <v>5212</v>
      </c>
      <c r="D23" s="685"/>
      <c r="E23" s="685"/>
      <c r="F23" s="685"/>
    </row>
    <row r="24" spans="2:6" ht="25.05" customHeight="1">
      <c r="B24" s="700">
        <v>4</v>
      </c>
      <c r="C24" s="638" t="s">
        <v>480</v>
      </c>
      <c r="D24" s="685"/>
      <c r="E24" s="685"/>
      <c r="F24" s="685"/>
    </row>
    <row r="25" spans="2:6" ht="25.05" customHeight="1">
      <c r="B25" s="700">
        <v>4</v>
      </c>
      <c r="C25" s="638" t="s">
        <v>5194</v>
      </c>
      <c r="D25" s="685"/>
      <c r="E25" s="685"/>
      <c r="F25" s="685"/>
    </row>
    <row r="26" spans="2:6" ht="25.05" customHeight="1">
      <c r="B26" s="700">
        <v>4</v>
      </c>
      <c r="C26" s="638" t="s">
        <v>5196</v>
      </c>
      <c r="D26" s="685"/>
      <c r="E26" s="685"/>
      <c r="F26" s="685"/>
    </row>
    <row r="27" spans="2:6" ht="25.05" customHeight="1">
      <c r="B27" s="700">
        <v>4</v>
      </c>
      <c r="C27" s="638" t="s">
        <v>5195</v>
      </c>
      <c r="D27" s="685"/>
      <c r="E27" s="685"/>
      <c r="F27" s="685"/>
    </row>
    <row r="28" spans="2:6" ht="25.05" customHeight="1">
      <c r="B28" s="699">
        <v>3</v>
      </c>
      <c r="C28" s="638" t="s">
        <v>5511</v>
      </c>
      <c r="D28" s="685"/>
      <c r="E28" s="685"/>
      <c r="F28" s="685"/>
    </row>
    <row r="29" spans="2:6" ht="24" customHeight="1">
      <c r="B29"/>
      <c r="C29"/>
      <c r="D29"/>
      <c r="E29"/>
      <c r="F29"/>
    </row>
    <row r="30" spans="2:6" ht="19.95" customHeight="1"/>
    <row r="31" spans="2:6" ht="36" customHeight="1">
      <c r="B31" s="691" t="s">
        <v>5522</v>
      </c>
      <c r="C31" s="692" t="s">
        <v>5526</v>
      </c>
      <c r="D31" s="693" t="s">
        <v>5523</v>
      </c>
      <c r="E31" s="718" t="s">
        <v>5524</v>
      </c>
      <c r="F31" s="697" t="s">
        <v>5525</v>
      </c>
    </row>
    <row r="32" spans="2:6" ht="25.05" customHeight="1">
      <c r="B32" s="704">
        <v>2</v>
      </c>
      <c r="C32" s="638" t="s">
        <v>5203</v>
      </c>
      <c r="D32" s="686"/>
      <c r="E32" s="686"/>
      <c r="F32" s="696"/>
    </row>
    <row r="33" spans="2:6" ht="25.05" customHeight="1">
      <c r="B33" s="704">
        <v>2</v>
      </c>
      <c r="C33" s="638" t="s">
        <v>484</v>
      </c>
      <c r="D33" s="686"/>
      <c r="E33" s="686"/>
      <c r="F33" s="696"/>
    </row>
    <row r="34" spans="2:6" ht="25.05" customHeight="1">
      <c r="B34" s="704">
        <v>2</v>
      </c>
      <c r="C34" s="638" t="s">
        <v>485</v>
      </c>
      <c r="D34" s="686"/>
      <c r="E34" s="686"/>
      <c r="F34" s="696"/>
    </row>
    <row r="35" spans="2:6" ht="25.05" customHeight="1">
      <c r="B35" s="704">
        <v>2</v>
      </c>
      <c r="C35" s="698" t="s">
        <v>486</v>
      </c>
      <c r="D35" s="686"/>
      <c r="E35" s="686"/>
      <c r="F35" s="696"/>
    </row>
    <row r="36" spans="2:6" ht="25.05" customHeight="1">
      <c r="B36" s="704">
        <v>2</v>
      </c>
      <c r="C36" s="638" t="s">
        <v>487</v>
      </c>
      <c r="D36" s="686"/>
      <c r="E36" s="686"/>
      <c r="F36" s="696"/>
    </row>
    <row r="37" spans="2:6" ht="25.05" customHeight="1">
      <c r="B37" s="704">
        <v>2</v>
      </c>
      <c r="C37" s="638" t="s">
        <v>489</v>
      </c>
      <c r="D37" s="686"/>
      <c r="E37" s="686"/>
      <c r="F37" s="696"/>
    </row>
    <row r="38" spans="2:6" ht="25.05" customHeight="1">
      <c r="B38" s="701">
        <v>1</v>
      </c>
      <c r="C38" s="638" t="s">
        <v>5314</v>
      </c>
      <c r="D38" s="686"/>
      <c r="E38" s="686"/>
      <c r="F38" s="696"/>
    </row>
    <row r="39" spans="2:6" ht="25.05" customHeight="1">
      <c r="B39" s="701">
        <v>1</v>
      </c>
      <c r="C39" s="638" t="s">
        <v>5315</v>
      </c>
      <c r="D39" s="686"/>
      <c r="E39" s="686"/>
      <c r="F39" s="696"/>
    </row>
    <row r="40" spans="2:6" ht="25.05" customHeight="1">
      <c r="B40" s="703">
        <v>2</v>
      </c>
      <c r="C40" s="638" t="s">
        <v>5475</v>
      </c>
      <c r="D40" s="686"/>
      <c r="E40" s="686"/>
      <c r="F40" s="696"/>
    </row>
    <row r="41" spans="2:6" ht="25.05" customHeight="1">
      <c r="B41" s="703">
        <v>2</v>
      </c>
      <c r="C41" s="638" t="s">
        <v>557</v>
      </c>
      <c r="D41" s="686"/>
      <c r="E41" s="686"/>
      <c r="F41" s="696"/>
    </row>
    <row r="42" spans="2:6" ht="25.05" customHeight="1">
      <c r="B42" s="703">
        <v>2</v>
      </c>
      <c r="C42" s="638" t="s">
        <v>525</v>
      </c>
      <c r="D42" s="686"/>
      <c r="E42" s="686"/>
      <c r="F42" s="696"/>
    </row>
    <row r="43" spans="2:6" ht="25.05" customHeight="1">
      <c r="B43" s="703">
        <v>2</v>
      </c>
      <c r="C43" s="638" t="s">
        <v>555</v>
      </c>
      <c r="D43" s="686"/>
      <c r="E43" s="686"/>
      <c r="F43" s="696"/>
    </row>
    <row r="44" spans="2:6" ht="25.05" customHeight="1">
      <c r="B44" s="703">
        <v>2</v>
      </c>
      <c r="C44" s="638" t="s">
        <v>554</v>
      </c>
      <c r="D44" s="686"/>
      <c r="E44" s="686"/>
      <c r="F44" s="696"/>
    </row>
  </sheetData>
  <pageMargins left="0.511811024" right="0.511811024" top="0.78740157499999996" bottom="0.78740157499999996" header="0.31496062000000002" footer="0.31496062000000002"/>
  <tableParts count="2">
    <tablePart r:id="rId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DBBC-6E33-43D2-A910-89EBA296DEF7}">
  <sheetPr>
    <tabColor rgb="FF00B050"/>
  </sheetPr>
  <dimension ref="B1:N28"/>
  <sheetViews>
    <sheetView topLeftCell="A2" workbookViewId="0">
      <selection activeCell="I16" sqref="I16"/>
    </sheetView>
  </sheetViews>
  <sheetFormatPr defaultRowHeight="14.4"/>
  <cols>
    <col min="2" max="2" width="30.5546875" customWidth="1"/>
    <col min="4" max="4" width="54.21875" bestFit="1" customWidth="1"/>
    <col min="9" max="9" width="10.5546875" customWidth="1"/>
    <col min="14" max="14" width="11.88671875" customWidth="1"/>
  </cols>
  <sheetData>
    <row r="1" spans="2:14">
      <c r="B1" s="498">
        <v>1</v>
      </c>
      <c r="C1" s="498">
        <v>2</v>
      </c>
      <c r="D1" s="498">
        <v>3</v>
      </c>
      <c r="E1" s="498">
        <v>4</v>
      </c>
      <c r="F1" s="498">
        <v>5</v>
      </c>
      <c r="G1" s="498">
        <v>6</v>
      </c>
      <c r="H1" s="498">
        <v>7</v>
      </c>
      <c r="I1" s="498">
        <v>8</v>
      </c>
      <c r="J1" s="498">
        <v>9</v>
      </c>
      <c r="K1" s="498">
        <v>10</v>
      </c>
      <c r="L1" s="498">
        <v>11</v>
      </c>
      <c r="M1" s="498">
        <v>12</v>
      </c>
      <c r="N1" s="498">
        <v>13</v>
      </c>
    </row>
    <row r="2" spans="2:14" ht="57.6">
      <c r="B2" s="470" t="s">
        <v>5243</v>
      </c>
      <c r="C2" s="470" t="s">
        <v>5244</v>
      </c>
      <c r="D2" s="470" t="s">
        <v>567</v>
      </c>
      <c r="E2" s="470"/>
      <c r="F2" s="470" t="s">
        <v>568</v>
      </c>
      <c r="G2" s="470" t="s">
        <v>5245</v>
      </c>
      <c r="H2" s="470" t="s">
        <v>573</v>
      </c>
      <c r="I2" s="470" t="s">
        <v>5246</v>
      </c>
      <c r="J2" s="470" t="s">
        <v>573</v>
      </c>
      <c r="K2" s="470" t="s">
        <v>571</v>
      </c>
      <c r="L2" s="470" t="s">
        <v>568</v>
      </c>
      <c r="M2" s="470" t="s">
        <v>5267</v>
      </c>
      <c r="N2" s="470" t="s">
        <v>5255</v>
      </c>
    </row>
    <row r="3" spans="2:14">
      <c r="B3" s="472" t="s">
        <v>482</v>
      </c>
      <c r="C3" s="204" t="s">
        <v>566</v>
      </c>
      <c r="D3" s="204" t="s">
        <v>175</v>
      </c>
      <c r="E3" s="204" t="s">
        <v>5249</v>
      </c>
      <c r="F3" s="204" t="s">
        <v>5247</v>
      </c>
      <c r="G3" s="204">
        <v>1</v>
      </c>
      <c r="H3" s="204" t="s">
        <v>94</v>
      </c>
      <c r="I3" s="204">
        <v>1.21125897399889E-2</v>
      </c>
      <c r="J3" s="204" t="s">
        <v>5248</v>
      </c>
      <c r="K3" s="204" t="s">
        <v>646</v>
      </c>
      <c r="L3" s="204" t="s">
        <v>569</v>
      </c>
      <c r="M3" s="204">
        <v>0</v>
      </c>
      <c r="N3" s="204">
        <v>1.5E-3</v>
      </c>
    </row>
    <row r="4" spans="2:14">
      <c r="B4" s="472" t="s">
        <v>116</v>
      </c>
      <c r="C4" s="204" t="s">
        <v>5250</v>
      </c>
      <c r="D4" s="204" t="s">
        <v>663</v>
      </c>
      <c r="E4" s="204" t="s">
        <v>5249</v>
      </c>
      <c r="F4" s="204" t="s">
        <v>5247</v>
      </c>
      <c r="G4" s="204">
        <v>1</v>
      </c>
      <c r="H4" s="204" t="s">
        <v>94</v>
      </c>
      <c r="I4" s="204">
        <v>0.31602999999999998</v>
      </c>
      <c r="J4" s="204" t="s">
        <v>5248</v>
      </c>
      <c r="K4" s="204" t="s">
        <v>767</v>
      </c>
      <c r="L4" s="204" t="s">
        <v>664</v>
      </c>
      <c r="M4" s="204">
        <v>0.16292999999999999</v>
      </c>
      <c r="N4" s="204">
        <v>0</v>
      </c>
    </row>
    <row r="5" spans="2:14">
      <c r="B5" s="472" t="s">
        <v>87</v>
      </c>
      <c r="C5" s="204" t="s">
        <v>793</v>
      </c>
      <c r="D5" s="204" t="s">
        <v>794</v>
      </c>
      <c r="E5" s="204" t="s">
        <v>5249</v>
      </c>
      <c r="F5" s="204" t="s">
        <v>5247</v>
      </c>
      <c r="G5" s="204">
        <v>1</v>
      </c>
      <c r="H5" s="204" t="s">
        <v>94</v>
      </c>
      <c r="I5" s="204">
        <v>2.8060000000000002E-2</v>
      </c>
      <c r="J5" s="204" t="s">
        <v>5248</v>
      </c>
      <c r="K5" s="204" t="s">
        <v>823</v>
      </c>
      <c r="L5" s="204" t="s">
        <v>795</v>
      </c>
      <c r="M5" s="204">
        <v>2.4599999999999999E-3</v>
      </c>
      <c r="N5" s="204">
        <v>1.3600000000000001E-3</v>
      </c>
    </row>
    <row r="6" spans="2:14">
      <c r="B6" s="472" t="s">
        <v>114</v>
      </c>
      <c r="C6" s="204" t="s">
        <v>836</v>
      </c>
      <c r="D6" s="204" t="s">
        <v>837</v>
      </c>
      <c r="E6" s="204" t="s">
        <v>5249</v>
      </c>
      <c r="F6" s="204" t="s">
        <v>5247</v>
      </c>
      <c r="G6" s="204">
        <v>1</v>
      </c>
      <c r="H6" s="204" t="s">
        <v>94</v>
      </c>
      <c r="I6" s="204">
        <v>2.4997400000000001</v>
      </c>
      <c r="J6" s="204" t="s">
        <v>5248</v>
      </c>
      <c r="K6" s="204" t="s">
        <v>888</v>
      </c>
      <c r="L6" s="204" t="s">
        <v>809</v>
      </c>
      <c r="M6" s="204">
        <v>0.34648000000000001</v>
      </c>
      <c r="N6" s="204">
        <v>0.27</v>
      </c>
    </row>
    <row r="7" spans="2:14">
      <c r="B7" s="472" t="s">
        <v>112</v>
      </c>
      <c r="C7" s="204" t="s">
        <v>900</v>
      </c>
      <c r="D7" s="204" t="s">
        <v>901</v>
      </c>
      <c r="E7" s="204" t="s">
        <v>5249</v>
      </c>
      <c r="F7" s="204" t="s">
        <v>5247</v>
      </c>
      <c r="G7" s="204">
        <v>1</v>
      </c>
      <c r="H7" s="204" t="s">
        <v>94</v>
      </c>
      <c r="I7" s="204">
        <v>1.1950099999999999</v>
      </c>
      <c r="J7" s="204" t="s">
        <v>5248</v>
      </c>
      <c r="K7" s="204" t="s">
        <v>912</v>
      </c>
      <c r="L7" s="204" t="s">
        <v>673</v>
      </c>
      <c r="M7" s="204">
        <v>0</v>
      </c>
      <c r="N7" s="204">
        <v>0.24999999999999983</v>
      </c>
    </row>
    <row r="8" spans="2:14">
      <c r="B8" s="472" t="s">
        <v>483</v>
      </c>
      <c r="C8" s="204" t="s">
        <v>916</v>
      </c>
      <c r="D8" s="204" t="s">
        <v>917</v>
      </c>
      <c r="E8" s="204" t="s">
        <v>5249</v>
      </c>
      <c r="F8" s="204" t="s">
        <v>5247</v>
      </c>
      <c r="G8" s="204">
        <v>1</v>
      </c>
      <c r="H8" s="204" t="s">
        <v>94</v>
      </c>
      <c r="I8" s="204">
        <v>0.3155</v>
      </c>
      <c r="J8" s="204" t="s">
        <v>5248</v>
      </c>
      <c r="K8" s="204" t="s">
        <v>703</v>
      </c>
      <c r="L8" s="204" t="s">
        <v>673</v>
      </c>
      <c r="M8" s="204">
        <v>3.0899999999999999E-3</v>
      </c>
      <c r="N8" s="204">
        <v>1.31352</v>
      </c>
    </row>
    <row r="9" spans="2:14">
      <c r="B9" s="474" t="s">
        <v>504</v>
      </c>
      <c r="C9" s="204" t="s">
        <v>947</v>
      </c>
      <c r="D9" s="204" t="s">
        <v>172</v>
      </c>
      <c r="E9" s="204" t="s">
        <v>5249</v>
      </c>
      <c r="F9" s="204" t="s">
        <v>5247</v>
      </c>
      <c r="G9" s="204">
        <v>1</v>
      </c>
      <c r="H9" s="204" t="s">
        <v>94</v>
      </c>
      <c r="I9" s="204">
        <v>0.58504</v>
      </c>
      <c r="J9" s="204" t="s">
        <v>5248</v>
      </c>
      <c r="K9" s="204" t="s">
        <v>971</v>
      </c>
      <c r="L9" s="204" t="s">
        <v>948</v>
      </c>
      <c r="M9" s="204">
        <v>0</v>
      </c>
      <c r="N9" s="204">
        <v>0.110996</v>
      </c>
    </row>
    <row r="10" spans="2:14">
      <c r="B10" s="474" t="s">
        <v>505</v>
      </c>
      <c r="C10" s="204" t="s">
        <v>991</v>
      </c>
      <c r="D10" s="204" t="s">
        <v>173</v>
      </c>
      <c r="E10" s="204" t="s">
        <v>5249</v>
      </c>
      <c r="F10" s="204" t="s">
        <v>5247</v>
      </c>
      <c r="G10" s="204">
        <v>1</v>
      </c>
      <c r="H10" s="204" t="s">
        <v>94</v>
      </c>
      <c r="I10" s="204">
        <v>0.42363000000000001</v>
      </c>
      <c r="J10" s="204" t="s">
        <v>5248</v>
      </c>
      <c r="K10" s="204" t="s">
        <v>996</v>
      </c>
      <c r="L10" s="204" t="s">
        <v>948</v>
      </c>
      <c r="M10" s="204">
        <v>0</v>
      </c>
      <c r="N10" s="204">
        <v>7.7963000000000005E-2</v>
      </c>
    </row>
    <row r="11" spans="2:14">
      <c r="B11" s="474" t="s">
        <v>5270</v>
      </c>
      <c r="C11" s="204" t="s">
        <v>1007</v>
      </c>
      <c r="D11" s="204" t="s">
        <v>170</v>
      </c>
      <c r="E11" s="204" t="s">
        <v>5249</v>
      </c>
      <c r="F11" s="204" t="s">
        <v>5247</v>
      </c>
      <c r="G11" s="204">
        <v>1</v>
      </c>
      <c r="H11" s="204" t="s">
        <v>94</v>
      </c>
      <c r="I11" s="204">
        <v>2.2014800000000001</v>
      </c>
      <c r="J11" s="204" t="s">
        <v>5248</v>
      </c>
      <c r="K11" s="204" t="s">
        <v>1014</v>
      </c>
      <c r="L11" s="204" t="s">
        <v>673</v>
      </c>
      <c r="M11" s="204">
        <v>0</v>
      </c>
      <c r="N11" s="204">
        <v>0.33300000000000002</v>
      </c>
    </row>
    <row r="12" spans="2:14">
      <c r="B12" s="474" t="s">
        <v>5271</v>
      </c>
      <c r="C12" s="204" t="s">
        <v>1016</v>
      </c>
      <c r="D12" s="204" t="s">
        <v>171</v>
      </c>
      <c r="E12" s="204" t="s">
        <v>5249</v>
      </c>
      <c r="F12" s="204" t="s">
        <v>5247</v>
      </c>
      <c r="G12" s="204">
        <v>1</v>
      </c>
      <c r="H12" s="204" t="s">
        <v>94</v>
      </c>
      <c r="I12" s="204">
        <v>3.2907099999999998</v>
      </c>
      <c r="J12" s="204" t="s">
        <v>5248</v>
      </c>
      <c r="K12" s="204" t="s">
        <v>1014</v>
      </c>
      <c r="L12" s="204" t="s">
        <v>673</v>
      </c>
      <c r="M12" s="204">
        <v>0</v>
      </c>
      <c r="N12" s="204">
        <v>0.33005800000000002</v>
      </c>
    </row>
    <row r="13" spans="2:14">
      <c r="B13" s="474" t="s">
        <v>109</v>
      </c>
      <c r="C13" s="473" t="s">
        <v>1029</v>
      </c>
      <c r="D13" s="204" t="s">
        <v>169</v>
      </c>
      <c r="E13" s="204" t="s">
        <v>5249</v>
      </c>
      <c r="F13" s="204" t="s">
        <v>5247</v>
      </c>
      <c r="G13" s="204">
        <v>1</v>
      </c>
      <c r="H13" s="204" t="s">
        <v>94</v>
      </c>
      <c r="I13" s="204">
        <v>1.0112699999999999</v>
      </c>
      <c r="J13" s="204" t="s">
        <v>5248</v>
      </c>
      <c r="K13" s="204" t="s">
        <v>5251</v>
      </c>
      <c r="L13" s="204" t="s">
        <v>673</v>
      </c>
      <c r="M13" s="204">
        <v>0</v>
      </c>
      <c r="N13" s="204">
        <v>0.33300000000000002</v>
      </c>
    </row>
    <row r="14" spans="2:14">
      <c r="B14" s="475" t="s">
        <v>5253</v>
      </c>
      <c r="C14" s="204" t="s">
        <v>5229</v>
      </c>
      <c r="D14" s="204" t="s">
        <v>1036</v>
      </c>
      <c r="E14" s="204" t="s">
        <v>5249</v>
      </c>
      <c r="F14" s="204" t="s">
        <v>5247</v>
      </c>
      <c r="G14" s="204">
        <v>1</v>
      </c>
      <c r="H14" s="204" t="s">
        <v>94</v>
      </c>
      <c r="I14" s="204">
        <v>1.2709999999999999</v>
      </c>
      <c r="J14" s="204" t="s">
        <v>5248</v>
      </c>
      <c r="K14" s="204" t="s">
        <v>5252</v>
      </c>
      <c r="L14" s="204" t="s">
        <v>673</v>
      </c>
      <c r="M14" s="204">
        <v>0</v>
      </c>
      <c r="N14" s="204">
        <v>5.0999999999999997E-2</v>
      </c>
    </row>
    <row r="15" spans="2:14">
      <c r="B15" s="475" t="s">
        <v>5</v>
      </c>
      <c r="C15" s="204" t="s">
        <v>1032</v>
      </c>
      <c r="D15" s="204" t="s">
        <v>1033</v>
      </c>
      <c r="E15" s="204" t="s">
        <v>5249</v>
      </c>
      <c r="F15" s="204" t="s">
        <v>5247</v>
      </c>
      <c r="G15" s="204">
        <v>1</v>
      </c>
      <c r="H15" s="204" t="s">
        <v>94</v>
      </c>
      <c r="I15" s="204">
        <v>2.9153699999999998</v>
      </c>
      <c r="J15" s="204" t="s">
        <v>5248</v>
      </c>
      <c r="K15" s="204" t="s">
        <v>5254</v>
      </c>
      <c r="L15" s="204" t="s">
        <v>667</v>
      </c>
      <c r="M15" s="204">
        <v>0</v>
      </c>
      <c r="N15" s="204">
        <v>0.187</v>
      </c>
    </row>
    <row r="16" spans="2:14" ht="28.8">
      <c r="B16" s="475" t="s">
        <v>5197</v>
      </c>
      <c r="C16" s="204" t="s">
        <v>1060</v>
      </c>
      <c r="D16" s="204" t="s">
        <v>167</v>
      </c>
      <c r="E16" s="204" t="s">
        <v>5249</v>
      </c>
      <c r="F16" s="204" t="s">
        <v>5247</v>
      </c>
      <c r="G16" s="204">
        <v>1</v>
      </c>
      <c r="H16" s="204" t="s">
        <v>94</v>
      </c>
      <c r="I16" s="204">
        <v>7.1749499999999999</v>
      </c>
      <c r="J16" s="204" t="s">
        <v>5248</v>
      </c>
      <c r="K16" s="204" t="s">
        <v>1081</v>
      </c>
      <c r="L16" s="204" t="s">
        <v>667</v>
      </c>
      <c r="M16" s="204">
        <v>1.7663899999999999</v>
      </c>
      <c r="N16" s="204">
        <v>15.750999999999999</v>
      </c>
    </row>
    <row r="17" spans="2:14" ht="28.8">
      <c r="B17" s="475" t="s">
        <v>5198</v>
      </c>
      <c r="C17" s="204" t="s">
        <v>1095</v>
      </c>
      <c r="D17" s="204" t="s">
        <v>168</v>
      </c>
      <c r="E17" s="204" t="s">
        <v>5249</v>
      </c>
      <c r="F17" s="204" t="s">
        <v>5247</v>
      </c>
      <c r="G17" s="204">
        <v>1</v>
      </c>
      <c r="H17" s="204" t="s">
        <v>94</v>
      </c>
      <c r="I17" s="204">
        <v>31.863340000000001</v>
      </c>
      <c r="J17" s="204" t="s">
        <v>5248</v>
      </c>
      <c r="K17" s="204" t="s">
        <v>1081</v>
      </c>
      <c r="L17" s="204" t="s">
        <v>667</v>
      </c>
      <c r="M17" s="204">
        <v>2.5713699999999999</v>
      </c>
      <c r="N17" s="204">
        <v>16.951000000000001</v>
      </c>
    </row>
    <row r="18" spans="2:14">
      <c r="B18" s="475" t="s">
        <v>522</v>
      </c>
      <c r="C18" s="204" t="s">
        <v>1106</v>
      </c>
      <c r="D18" s="204" t="s">
        <v>1107</v>
      </c>
      <c r="E18" s="204" t="s">
        <v>5249</v>
      </c>
      <c r="F18" s="204" t="s">
        <v>5247</v>
      </c>
      <c r="G18" s="204">
        <v>1</v>
      </c>
      <c r="H18" s="204" t="s">
        <v>94</v>
      </c>
      <c r="I18" s="204">
        <v>6.7093299999999996</v>
      </c>
      <c r="J18" s="204" t="s">
        <v>5248</v>
      </c>
      <c r="K18" s="204" t="s">
        <v>1109</v>
      </c>
      <c r="L18" s="204" t="s">
        <v>667</v>
      </c>
      <c r="M18" s="204">
        <v>0</v>
      </c>
      <c r="N18" s="204">
        <v>0</v>
      </c>
    </row>
    <row r="19" spans="2:14">
      <c r="B19" s="475" t="s">
        <v>523</v>
      </c>
      <c r="C19" s="204" t="s">
        <v>5128</v>
      </c>
      <c r="D19" s="204" t="s">
        <v>1160</v>
      </c>
      <c r="E19" s="204" t="s">
        <v>5249</v>
      </c>
      <c r="F19" s="204" t="s">
        <v>5247</v>
      </c>
      <c r="G19" s="204">
        <v>1</v>
      </c>
      <c r="H19" s="204" t="s">
        <v>94</v>
      </c>
      <c r="I19" s="204">
        <v>14.00103</v>
      </c>
      <c r="J19" s="204" t="s">
        <v>5248</v>
      </c>
      <c r="K19" s="204" t="s">
        <v>1159</v>
      </c>
      <c r="L19" s="204" t="s">
        <v>667</v>
      </c>
      <c r="M19" s="204">
        <v>0</v>
      </c>
      <c r="N19" s="204">
        <v>0</v>
      </c>
    </row>
    <row r="20" spans="2:14">
      <c r="B20" s="483" t="s">
        <v>5256</v>
      </c>
      <c r="C20" s="204" t="s">
        <v>5179</v>
      </c>
      <c r="D20" s="204" t="s">
        <v>5180</v>
      </c>
      <c r="E20" s="204" t="s">
        <v>5249</v>
      </c>
      <c r="F20" s="204" t="s">
        <v>5247</v>
      </c>
      <c r="G20" s="204">
        <v>1</v>
      </c>
      <c r="H20" s="204" t="s">
        <v>94</v>
      </c>
      <c r="I20" s="204">
        <v>33.31803</v>
      </c>
      <c r="J20" s="204" t="s">
        <v>5248</v>
      </c>
      <c r="K20" s="204" t="s">
        <v>5189</v>
      </c>
      <c r="L20" s="204" t="s">
        <v>1482</v>
      </c>
      <c r="M20" s="204">
        <v>0</v>
      </c>
      <c r="N20" s="204">
        <v>89.384783141033097</v>
      </c>
    </row>
    <row r="21" spans="2:14">
      <c r="B21" s="483" t="s">
        <v>5258</v>
      </c>
      <c r="C21" s="204" t="s">
        <v>5257</v>
      </c>
      <c r="D21" s="204" t="s">
        <v>3751</v>
      </c>
      <c r="E21" s="204" t="s">
        <v>5249</v>
      </c>
      <c r="F21" s="204" t="s">
        <v>5247</v>
      </c>
      <c r="G21" s="204">
        <v>1</v>
      </c>
      <c r="H21" s="204" t="s">
        <v>94</v>
      </c>
      <c r="I21" s="204">
        <v>0.47808</v>
      </c>
      <c r="J21" s="204" t="s">
        <v>5248</v>
      </c>
      <c r="K21" s="204" t="s">
        <v>1419</v>
      </c>
      <c r="L21" s="204" t="s">
        <v>667</v>
      </c>
      <c r="M21" s="204">
        <v>0</v>
      </c>
      <c r="N21" s="204">
        <v>0.52838280002029903</v>
      </c>
    </row>
    <row r="22" spans="2:14">
      <c r="B22" s="483" t="s">
        <v>5272</v>
      </c>
      <c r="C22" s="204" t="s">
        <v>5259</v>
      </c>
      <c r="D22" s="204" t="s">
        <v>3739</v>
      </c>
      <c r="E22" s="204" t="s">
        <v>5249</v>
      </c>
      <c r="F22" s="204" t="s">
        <v>5247</v>
      </c>
      <c r="G22" s="204">
        <v>1</v>
      </c>
      <c r="H22" s="204" t="s">
        <v>94</v>
      </c>
      <c r="I22" s="204">
        <v>0.80486000000000002</v>
      </c>
      <c r="J22" s="204" t="s">
        <v>5248</v>
      </c>
      <c r="K22" s="204" t="s">
        <v>1411</v>
      </c>
      <c r="L22" s="204" t="s">
        <v>667</v>
      </c>
      <c r="M22" s="204">
        <v>0</v>
      </c>
      <c r="N22" s="204">
        <v>1.1334583384836501</v>
      </c>
    </row>
    <row r="23" spans="2:14">
      <c r="B23" s="484" t="s">
        <v>5260</v>
      </c>
      <c r="C23" t="s">
        <v>5294</v>
      </c>
      <c r="D23" t="s">
        <v>5295</v>
      </c>
      <c r="E23" s="204" t="s">
        <v>5249</v>
      </c>
      <c r="F23" s="204" t="s">
        <v>5247</v>
      </c>
      <c r="G23" s="204">
        <v>1</v>
      </c>
      <c r="H23" s="204" t="s">
        <v>94</v>
      </c>
      <c r="I23" s="204">
        <v>0.20344000000000001</v>
      </c>
      <c r="J23" s="204" t="s">
        <v>5248</v>
      </c>
      <c r="K23" s="204" t="s">
        <v>5298</v>
      </c>
      <c r="L23" t="s">
        <v>5296</v>
      </c>
      <c r="M23" s="204">
        <v>0</v>
      </c>
      <c r="N23" s="204">
        <v>0.52700000000000002</v>
      </c>
    </row>
    <row r="24" spans="2:14">
      <c r="B24" s="484" t="s">
        <v>5261</v>
      </c>
      <c r="C24" s="204" t="s">
        <v>5153</v>
      </c>
      <c r="D24" s="204" t="s">
        <v>5154</v>
      </c>
      <c r="E24" s="204" t="s">
        <v>5249</v>
      </c>
      <c r="F24" s="204" t="s">
        <v>5247</v>
      </c>
      <c r="G24" s="204">
        <v>1</v>
      </c>
      <c r="H24" s="204" t="s">
        <v>94</v>
      </c>
      <c r="I24" s="204">
        <v>13.10699</v>
      </c>
      <c r="J24" s="204" t="s">
        <v>5248</v>
      </c>
      <c r="K24" s="204" t="s">
        <v>5159</v>
      </c>
      <c r="L24" s="204" t="s">
        <v>1417</v>
      </c>
      <c r="M24" s="204">
        <v>0</v>
      </c>
      <c r="N24" s="204">
        <v>0.228928438999532</v>
      </c>
    </row>
    <row r="25" spans="2:14">
      <c r="B25" s="484" t="s">
        <v>5262</v>
      </c>
      <c r="C25" s="204" t="s">
        <v>5160</v>
      </c>
      <c r="D25" s="204" t="s">
        <v>5161</v>
      </c>
      <c r="E25" s="204" t="s">
        <v>5249</v>
      </c>
      <c r="F25" s="204" t="s">
        <v>5247</v>
      </c>
      <c r="G25" s="204">
        <v>1</v>
      </c>
      <c r="H25" s="204" t="s">
        <v>94</v>
      </c>
      <c r="I25" s="204">
        <v>13.15676</v>
      </c>
      <c r="J25" s="204" t="s">
        <v>5248</v>
      </c>
      <c r="K25" s="204" t="s">
        <v>5167</v>
      </c>
      <c r="L25" s="204" t="s">
        <v>1417</v>
      </c>
      <c r="M25" s="204">
        <v>0</v>
      </c>
      <c r="N25" s="204">
        <v>0.355889668533801</v>
      </c>
    </row>
    <row r="26" spans="2:14">
      <c r="B26" s="484" t="s">
        <v>5263</v>
      </c>
      <c r="C26" s="204" t="s">
        <v>5169</v>
      </c>
      <c r="D26" s="204" t="s">
        <v>5170</v>
      </c>
      <c r="E26" s="204" t="s">
        <v>5249</v>
      </c>
      <c r="F26" s="204" t="s">
        <v>5247</v>
      </c>
      <c r="G26" s="204">
        <v>1</v>
      </c>
      <c r="H26" s="204" t="s">
        <v>94</v>
      </c>
      <c r="I26" s="204">
        <v>13.72598</v>
      </c>
      <c r="J26" s="204" t="s">
        <v>5248</v>
      </c>
      <c r="K26" s="204" t="s">
        <v>5172</v>
      </c>
      <c r="L26" s="204" t="s">
        <v>1417</v>
      </c>
      <c r="M26" s="204">
        <v>0</v>
      </c>
      <c r="N26" s="204">
        <v>1.82948158902415</v>
      </c>
    </row>
    <row r="27" spans="2:14">
      <c r="B27" s="484" t="s">
        <v>5264</v>
      </c>
      <c r="C27" s="204" t="s">
        <v>5173</v>
      </c>
      <c r="D27" s="204" t="s">
        <v>5174</v>
      </c>
      <c r="E27" s="204" t="s">
        <v>5249</v>
      </c>
      <c r="F27" s="204" t="s">
        <v>5247</v>
      </c>
      <c r="G27" s="204">
        <v>1</v>
      </c>
      <c r="H27" s="204" t="s">
        <v>1171</v>
      </c>
      <c r="I27" s="204">
        <v>0.26662000000000002</v>
      </c>
      <c r="J27" s="204" t="s">
        <v>5248</v>
      </c>
      <c r="K27" s="204" t="s">
        <v>4271</v>
      </c>
      <c r="L27" s="204" t="s">
        <v>1417</v>
      </c>
      <c r="M27" s="204">
        <v>0</v>
      </c>
      <c r="N27" s="204">
        <v>7.4999999999999997E-2</v>
      </c>
    </row>
    <row r="28" spans="2:14" ht="14.4" customHeight="1">
      <c r="B28" s="485" t="s">
        <v>5266</v>
      </c>
      <c r="C28" s="204" t="s">
        <v>5265</v>
      </c>
      <c r="D28" s="204" t="s">
        <v>3545</v>
      </c>
      <c r="E28" s="204" t="s">
        <v>5249</v>
      </c>
      <c r="F28" s="204" t="s">
        <v>5247</v>
      </c>
      <c r="G28" s="204">
        <v>1</v>
      </c>
      <c r="H28" s="204" t="s">
        <v>626</v>
      </c>
      <c r="I28" s="204">
        <v>2.7792599999999998</v>
      </c>
      <c r="J28" s="204" t="s">
        <v>5248</v>
      </c>
      <c r="K28" s="204" t="s">
        <v>3544</v>
      </c>
      <c r="L28" s="204" t="s">
        <v>1417</v>
      </c>
      <c r="M28" s="204">
        <v>0</v>
      </c>
      <c r="N28" s="204">
        <v>1.2959936557901</v>
      </c>
    </row>
  </sheetData>
  <pageMargins left="0.511811024" right="0.511811024" top="0.78740157499999996" bottom="0.78740157499999996" header="0.31496062000000002" footer="0.3149606200000000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C5E36-7BE2-4E51-A2C7-44430DF14680}">
  <sheetPr>
    <tabColor rgb="FF00B050"/>
  </sheetPr>
  <dimension ref="A2:AX39"/>
  <sheetViews>
    <sheetView zoomScale="68" zoomScaleNormal="80" workbookViewId="0">
      <selection activeCell="G8" sqref="G8"/>
    </sheetView>
  </sheetViews>
  <sheetFormatPr defaultRowHeight="14.4"/>
  <cols>
    <col min="1" max="1" width="19.6640625" style="507" bestFit="1" customWidth="1"/>
    <col min="2" max="2" width="24.6640625" style="507" bestFit="1" customWidth="1"/>
    <col min="3" max="3" width="21.88671875" style="507" bestFit="1" customWidth="1"/>
    <col min="4" max="4" width="23.33203125" style="507" bestFit="1" customWidth="1"/>
    <col min="5" max="5" width="21.21875" style="507" bestFit="1" customWidth="1"/>
    <col min="6" max="6" width="37.21875" style="507" bestFit="1" customWidth="1"/>
    <col min="7" max="16384" width="8.88671875" style="507"/>
  </cols>
  <sheetData>
    <row r="2" spans="1:50" ht="18">
      <c r="B2" s="529">
        <f>B3*1000/B10</f>
        <v>161.89536031589341</v>
      </c>
      <c r="F2" s="529"/>
    </row>
    <row r="3" spans="1:50">
      <c r="B3" s="507">
        <v>3.28</v>
      </c>
    </row>
    <row r="4" spans="1:50">
      <c r="B4" s="507" t="s">
        <v>5324</v>
      </c>
      <c r="C4" s="507" t="s">
        <v>5344</v>
      </c>
      <c r="D4" s="507" t="s">
        <v>5323</v>
      </c>
      <c r="E4" s="507" t="s">
        <v>5325</v>
      </c>
    </row>
    <row r="5" spans="1:50">
      <c r="B5" s="9" t="s">
        <v>5329</v>
      </c>
      <c r="C5" s="9" t="s">
        <v>5329</v>
      </c>
      <c r="D5" s="9" t="s">
        <v>5329</v>
      </c>
      <c r="E5" s="9" t="s">
        <v>5329</v>
      </c>
    </row>
    <row r="6" spans="1:50" ht="18">
      <c r="B6" s="529">
        <f>(B8/B10)*1000</f>
        <v>405.72556762092796</v>
      </c>
      <c r="C6" s="529">
        <f t="shared" ref="C6:E6" si="0">(C8/C10)*1000</f>
        <v>240.8673893776849</v>
      </c>
      <c r="D6" s="529">
        <f t="shared" si="0"/>
        <v>262.02301926308553</v>
      </c>
      <c r="E6" s="529">
        <f t="shared" si="0"/>
        <v>161.76627973105437</v>
      </c>
      <c r="F6" s="529"/>
    </row>
    <row r="7" spans="1:50">
      <c r="A7" s="507" t="s">
        <v>5327</v>
      </c>
      <c r="B7" s="9" t="s">
        <v>5326</v>
      </c>
      <c r="C7" s="9" t="s">
        <v>5326</v>
      </c>
      <c r="D7" s="9" t="s">
        <v>5326</v>
      </c>
      <c r="E7" s="9" t="s">
        <v>5326</v>
      </c>
    </row>
    <row r="8" spans="1:50" ht="23.4" customHeight="1">
      <c r="B8" s="530">
        <v>8.2200000000000006</v>
      </c>
      <c r="C8" s="530">
        <f>U9/1000</f>
        <v>4.4166933752531401</v>
      </c>
      <c r="D8" s="530">
        <f>I9/1000</f>
        <v>3.7750151287657401</v>
      </c>
      <c r="E8" s="530">
        <f>M9/1000</f>
        <v>2.7063012018956507</v>
      </c>
      <c r="G8" s="517" t="str">
        <f>'FE - Aluminum'!E6</f>
        <v>Calibragem Simapro</v>
      </c>
      <c r="H8" s="518"/>
      <c r="I8" s="518"/>
      <c r="J8" s="519"/>
      <c r="K8" s="520" t="s">
        <v>150</v>
      </c>
      <c r="L8" s="521"/>
      <c r="M8" s="521"/>
      <c r="N8" s="522"/>
      <c r="O8" s="520" t="s">
        <v>5335</v>
      </c>
      <c r="P8" s="521"/>
      <c r="Q8" s="521"/>
      <c r="R8" s="522"/>
      <c r="S8" s="520" t="s">
        <v>5334</v>
      </c>
      <c r="T8" s="521"/>
      <c r="U8" s="521"/>
      <c r="V8" s="522"/>
      <c r="W8" s="520" t="s">
        <v>5337</v>
      </c>
      <c r="X8" s="521"/>
      <c r="Y8" s="521"/>
      <c r="Z8" s="522"/>
      <c r="AA8" s="520" t="s">
        <v>5336</v>
      </c>
      <c r="AB8" s="521"/>
      <c r="AC8" s="521"/>
      <c r="AD8" s="522"/>
      <c r="AE8" s="520" t="s">
        <v>5333</v>
      </c>
      <c r="AF8" s="521"/>
      <c r="AG8" s="521"/>
      <c r="AH8" s="522"/>
      <c r="AI8" s="520" t="s">
        <v>5339</v>
      </c>
      <c r="AJ8" s="521"/>
      <c r="AK8" s="521"/>
      <c r="AL8" s="522"/>
      <c r="AM8" s="520" t="s">
        <v>5340</v>
      </c>
      <c r="AN8" s="521"/>
      <c r="AO8" s="521"/>
      <c r="AP8" s="522"/>
      <c r="AQ8" s="520" t="s">
        <v>5341</v>
      </c>
      <c r="AR8" s="521"/>
      <c r="AS8" s="521"/>
      <c r="AT8" s="522"/>
      <c r="AU8" s="520" t="s">
        <v>5342</v>
      </c>
      <c r="AV8" s="521"/>
      <c r="AW8" s="521"/>
      <c r="AX8" s="522"/>
    </row>
    <row r="9" spans="1:50" ht="23.4" customHeight="1">
      <c r="A9" s="507" t="s">
        <v>5328</v>
      </c>
      <c r="B9" s="9" t="s">
        <v>598</v>
      </c>
      <c r="C9" s="9" t="s">
        <v>598</v>
      </c>
      <c r="D9" s="9" t="s">
        <v>598</v>
      </c>
      <c r="E9" s="9" t="s">
        <v>598</v>
      </c>
      <c r="G9" s="523">
        <f>SUM(G11:G18)</f>
        <v>1.0000000000000002</v>
      </c>
      <c r="H9" s="508">
        <f>SUM(H19:H39)</f>
        <v>51.865879958857747</v>
      </c>
      <c r="I9" s="509">
        <f>SUM(I19:I39)</f>
        <v>3775.01512876574</v>
      </c>
      <c r="J9" s="510">
        <f>IFERROR(+I9/H9,"ND")</f>
        <v>72.784172017523758</v>
      </c>
      <c r="K9" s="523">
        <v>0.99999952100625622</v>
      </c>
      <c r="L9" s="508">
        <v>60.226917148753806</v>
      </c>
      <c r="M9" s="509">
        <v>2706.3012018956506</v>
      </c>
      <c r="N9" s="510">
        <v>44.935077703070654</v>
      </c>
      <c r="O9" s="523">
        <v>0.9999991693033029</v>
      </c>
      <c r="P9" s="508">
        <v>55.66844835038826</v>
      </c>
      <c r="Q9" s="509">
        <v>2537.3607210401606</v>
      </c>
      <c r="R9" s="510">
        <v>45.579871475301566</v>
      </c>
      <c r="S9" s="523">
        <v>0.99999900298435274</v>
      </c>
      <c r="T9" s="508">
        <v>95.344533303461859</v>
      </c>
      <c r="U9" s="509">
        <v>4416.6933752531404</v>
      </c>
      <c r="V9" s="510">
        <v>46.323509300692912</v>
      </c>
      <c r="W9" s="523">
        <v>1.0000008393058475</v>
      </c>
      <c r="X9" s="508">
        <v>10.358868798365545</v>
      </c>
      <c r="Y9" s="509">
        <v>344.20696357548957</v>
      </c>
      <c r="Z9" s="510">
        <v>33.228238553402626</v>
      </c>
      <c r="AA9" s="523">
        <v>0.99999926832199415</v>
      </c>
      <c r="AB9" s="508">
        <v>99.903002101827397</v>
      </c>
      <c r="AC9" s="509">
        <v>4585.6338561086304</v>
      </c>
      <c r="AD9" s="510">
        <v>45.900861431918386</v>
      </c>
      <c r="AE9" s="523">
        <v>0.99999951226327877</v>
      </c>
      <c r="AF9" s="508">
        <v>64.876957497099198</v>
      </c>
      <c r="AG9" s="509">
        <v>2863.3504255193743</v>
      </c>
      <c r="AH9" s="510">
        <v>44.135091039794851</v>
      </c>
      <c r="AI9" s="523">
        <v>0.99999931056554725</v>
      </c>
      <c r="AJ9" s="508">
        <v>99.005403923691787</v>
      </c>
      <c r="AK9" s="509">
        <v>4440.3463135395941</v>
      </c>
      <c r="AL9" s="510">
        <v>44.849534849249054</v>
      </c>
      <c r="AM9" s="523">
        <v>1.0000008395786335</v>
      </c>
      <c r="AN9" s="508">
        <v>10.360088529944804</v>
      </c>
      <c r="AO9" s="509">
        <v>344.2530979026601</v>
      </c>
      <c r="AP9" s="510">
        <v>33.228779552185372</v>
      </c>
      <c r="AQ9" s="523">
        <v>0.9999991843196665</v>
      </c>
      <c r="AR9" s="508">
        <v>60.317268967154405</v>
      </c>
      <c r="AS9" s="509">
        <v>2694.3638103367139</v>
      </c>
      <c r="AT9" s="510">
        <v>44.669857513010442</v>
      </c>
      <c r="AU9" s="523">
        <v>0.99999905279185952</v>
      </c>
      <c r="AV9" s="508">
        <v>94.445715393746994</v>
      </c>
      <c r="AW9" s="509">
        <v>4271.3596983569341</v>
      </c>
      <c r="AX9" s="510">
        <v>45.225552906762459</v>
      </c>
    </row>
    <row r="10" spans="1:50" ht="30">
      <c r="B10" s="528">
        <f>SUM(B20:B33)</f>
        <v>20.259999999999998</v>
      </c>
      <c r="C10" s="528">
        <f>SUM(C20:C33)</f>
        <v>18.336618280558007</v>
      </c>
      <c r="D10" s="528">
        <f>SUM(D20:D33)</f>
        <v>14.407188877460486</v>
      </c>
      <c r="E10" s="528">
        <f>SUM(E20:E33)</f>
        <v>16.729699207987167</v>
      </c>
      <c r="F10" s="511" t="s">
        <v>5305</v>
      </c>
      <c r="G10" s="512" t="s">
        <v>5306</v>
      </c>
      <c r="H10" s="511" t="s">
        <v>5307</v>
      </c>
      <c r="I10" s="511" t="s">
        <v>5312</v>
      </c>
      <c r="J10" s="511" t="s">
        <v>5313</v>
      </c>
      <c r="K10" s="512" t="s">
        <v>5306</v>
      </c>
      <c r="L10" s="511" t="s">
        <v>5307</v>
      </c>
      <c r="M10" s="511" t="s">
        <v>5308</v>
      </c>
      <c r="N10" s="511" t="s">
        <v>5309</v>
      </c>
      <c r="O10" s="512" t="s">
        <v>5306</v>
      </c>
      <c r="P10" s="511" t="s">
        <v>5307</v>
      </c>
      <c r="Q10" s="511" t="s">
        <v>5308</v>
      </c>
      <c r="R10" s="511" t="s">
        <v>5309</v>
      </c>
      <c r="S10" s="512" t="s">
        <v>5306</v>
      </c>
      <c r="T10" s="511" t="s">
        <v>5307</v>
      </c>
      <c r="U10" s="511" t="s">
        <v>5308</v>
      </c>
      <c r="V10" s="511" t="s">
        <v>5309</v>
      </c>
      <c r="W10" s="512" t="s">
        <v>5306</v>
      </c>
      <c r="X10" s="511" t="s">
        <v>5307</v>
      </c>
      <c r="Y10" s="511" t="s">
        <v>5308</v>
      </c>
      <c r="Z10" s="511" t="s">
        <v>5309</v>
      </c>
      <c r="AA10" s="512" t="s">
        <v>5306</v>
      </c>
      <c r="AB10" s="511" t="s">
        <v>5307</v>
      </c>
      <c r="AC10" s="511" t="s">
        <v>5308</v>
      </c>
      <c r="AD10" s="511" t="s">
        <v>5309</v>
      </c>
      <c r="AE10" s="512" t="s">
        <v>5306</v>
      </c>
      <c r="AF10" s="511" t="s">
        <v>5307</v>
      </c>
      <c r="AG10" s="511" t="s">
        <v>5308</v>
      </c>
      <c r="AH10" s="511" t="s">
        <v>5309</v>
      </c>
      <c r="AI10" s="512" t="s">
        <v>5306</v>
      </c>
      <c r="AJ10" s="511" t="s">
        <v>5307</v>
      </c>
      <c r="AK10" s="511" t="s">
        <v>5308</v>
      </c>
      <c r="AL10" s="511" t="s">
        <v>5309</v>
      </c>
      <c r="AM10" s="512" t="s">
        <v>5306</v>
      </c>
      <c r="AN10" s="511" t="s">
        <v>5307</v>
      </c>
      <c r="AO10" s="511" t="s">
        <v>5308</v>
      </c>
      <c r="AP10" s="511" t="s">
        <v>5309</v>
      </c>
      <c r="AQ10" s="512" t="s">
        <v>5306</v>
      </c>
      <c r="AR10" s="511" t="s">
        <v>5307</v>
      </c>
      <c r="AS10" s="511" t="s">
        <v>5308</v>
      </c>
      <c r="AT10" s="511" t="s">
        <v>5309</v>
      </c>
      <c r="AU10" s="512" t="s">
        <v>5306</v>
      </c>
      <c r="AV10" s="511" t="s">
        <v>5307</v>
      </c>
      <c r="AW10" s="511" t="s">
        <v>5308</v>
      </c>
      <c r="AX10" s="511" t="s">
        <v>5309</v>
      </c>
    </row>
    <row r="11" spans="1:50">
      <c r="A11" s="507" t="s">
        <v>5332</v>
      </c>
      <c r="B11" s="536"/>
      <c r="C11" s="536"/>
      <c r="D11" s="536"/>
      <c r="E11" s="536"/>
      <c r="F11" s="531" t="s">
        <v>465</v>
      </c>
      <c r="G11" s="513">
        <f>'FE - Aluminum'!DV10</f>
        <v>0.70777957601180086</v>
      </c>
      <c r="H11" s="514">
        <f>SUMIFS('FE - Aluminum'!$BI$11:$BI$54,'FE - Aluminum'!$C$11:$C$54,F11)/1000</f>
        <v>0</v>
      </c>
      <c r="I11" s="514">
        <f>SUMIFS('FE - Aluminum'!$BJ$11:$BJ$54,'FE - Aluminum'!$C$11:$C$54,F11)/1000</f>
        <v>0</v>
      </c>
      <c r="J11" s="510" t="str">
        <f t="shared" ref="J11:J39" si="1">IFERROR(+I11/H11,"ND")</f>
        <v>ND</v>
      </c>
      <c r="K11" s="513">
        <v>0.68695155383992856</v>
      </c>
      <c r="L11" s="514">
        <v>0</v>
      </c>
      <c r="M11" s="514">
        <v>0</v>
      </c>
      <c r="N11" s="510" t="s">
        <v>5310</v>
      </c>
      <c r="O11" s="513">
        <v>0.68151545772627353</v>
      </c>
      <c r="P11" s="514">
        <v>0</v>
      </c>
      <c r="Q11" s="514">
        <v>0</v>
      </c>
      <c r="R11" s="510" t="s">
        <v>5310</v>
      </c>
      <c r="S11" s="513">
        <v>0.66799834648101297</v>
      </c>
      <c r="T11" s="514">
        <v>0</v>
      </c>
      <c r="U11" s="514">
        <v>0</v>
      </c>
      <c r="V11" s="510" t="s">
        <v>5310</v>
      </c>
      <c r="W11" s="513">
        <v>0.75347402780198325</v>
      </c>
      <c r="X11" s="514">
        <v>0</v>
      </c>
      <c r="Y11" s="514">
        <v>0</v>
      </c>
      <c r="Z11" s="510" t="s">
        <v>5310</v>
      </c>
      <c r="AA11" s="513">
        <v>0.67420089962888763</v>
      </c>
      <c r="AB11" s="514">
        <v>0</v>
      </c>
      <c r="AC11" s="514">
        <v>0</v>
      </c>
      <c r="AD11" s="510" t="s">
        <v>5310</v>
      </c>
      <c r="AE11" s="513">
        <v>0.72750820859835896</v>
      </c>
      <c r="AF11" s="514">
        <v>0</v>
      </c>
      <c r="AG11" s="514">
        <v>0</v>
      </c>
      <c r="AH11" s="510" t="s">
        <v>5310</v>
      </c>
      <c r="AI11" s="513">
        <v>0.72355099581073345</v>
      </c>
      <c r="AJ11" s="514">
        <v>0</v>
      </c>
      <c r="AK11" s="514">
        <v>0</v>
      </c>
      <c r="AL11" s="510" t="s">
        <v>5310</v>
      </c>
      <c r="AM11" s="513">
        <v>0.75354949943248728</v>
      </c>
      <c r="AN11" s="514">
        <v>0</v>
      </c>
      <c r="AO11" s="514">
        <v>0</v>
      </c>
      <c r="AP11" s="510" t="s">
        <v>5310</v>
      </c>
      <c r="AQ11" s="513">
        <v>0.73768895605783213</v>
      </c>
      <c r="AR11" s="514">
        <v>0</v>
      </c>
      <c r="AS11" s="514">
        <v>0</v>
      </c>
      <c r="AT11" s="510" t="s">
        <v>5310</v>
      </c>
      <c r="AU11" s="513">
        <v>0.72910285032446354</v>
      </c>
      <c r="AV11" s="514">
        <v>0</v>
      </c>
      <c r="AW11" s="514">
        <v>0</v>
      </c>
      <c r="AX11" s="510" t="s">
        <v>5310</v>
      </c>
    </row>
    <row r="12" spans="1:50">
      <c r="A12" s="507" t="s">
        <v>5332</v>
      </c>
      <c r="B12" s="536"/>
      <c r="C12" s="536"/>
      <c r="D12" s="536"/>
      <c r="E12" s="536"/>
      <c r="F12" s="531" t="s">
        <v>463</v>
      </c>
      <c r="G12" s="513">
        <f>'FE - Aluminum'!DR10</f>
        <v>0.10804796138735498</v>
      </c>
      <c r="H12" s="514">
        <f>SUMIFS('FE - Aluminum'!$BI$11:$BI$54,'FE - Aluminum'!$C$11:$C$54,F12)/1000</f>
        <v>0</v>
      </c>
      <c r="I12" s="514">
        <f>SUMIFS('FE - Aluminum'!$BJ$11:$BJ$54,'FE - Aluminum'!$C$11:$C$54,F12)/1000</f>
        <v>0</v>
      </c>
      <c r="J12" s="510" t="str">
        <f t="shared" si="1"/>
        <v>ND</v>
      </c>
      <c r="K12" s="513">
        <v>0</v>
      </c>
      <c r="L12" s="514">
        <v>0</v>
      </c>
      <c r="M12" s="514">
        <v>0</v>
      </c>
      <c r="N12" s="510" t="s">
        <v>5310</v>
      </c>
      <c r="O12" s="513">
        <v>0</v>
      </c>
      <c r="P12" s="514">
        <v>0</v>
      </c>
      <c r="Q12" s="514">
        <v>0</v>
      </c>
      <c r="R12" s="510" t="s">
        <v>5310</v>
      </c>
      <c r="S12" s="513">
        <v>0</v>
      </c>
      <c r="T12" s="514">
        <v>0</v>
      </c>
      <c r="U12" s="514">
        <v>0</v>
      </c>
      <c r="V12" s="510" t="s">
        <v>5310</v>
      </c>
      <c r="W12" s="513">
        <v>0</v>
      </c>
      <c r="X12" s="514">
        <v>0</v>
      </c>
      <c r="Y12" s="514">
        <v>0</v>
      </c>
      <c r="Z12" s="510" t="s">
        <v>5310</v>
      </c>
      <c r="AA12" s="513">
        <v>0</v>
      </c>
      <c r="AB12" s="514">
        <v>0</v>
      </c>
      <c r="AC12" s="514">
        <v>0</v>
      </c>
      <c r="AD12" s="510" t="s">
        <v>5310</v>
      </c>
      <c r="AE12" s="513">
        <v>8.1825380620712707E-2</v>
      </c>
      <c r="AF12" s="514">
        <v>0</v>
      </c>
      <c r="AG12" s="514">
        <v>0</v>
      </c>
      <c r="AH12" s="510" t="s">
        <v>5310</v>
      </c>
      <c r="AI12" s="513">
        <v>9.4259497063214501E-2</v>
      </c>
      <c r="AJ12" s="514">
        <v>0</v>
      </c>
      <c r="AK12" s="514">
        <v>0</v>
      </c>
      <c r="AL12" s="510" t="s">
        <v>5310</v>
      </c>
      <c r="AM12" s="513">
        <v>0</v>
      </c>
      <c r="AN12" s="514">
        <v>0</v>
      </c>
      <c r="AO12" s="514">
        <v>0</v>
      </c>
      <c r="AP12" s="510" t="s">
        <v>5310</v>
      </c>
      <c r="AQ12" s="513">
        <v>0.11255522708854103</v>
      </c>
      <c r="AR12" s="514">
        <v>0</v>
      </c>
      <c r="AS12" s="514">
        <v>0</v>
      </c>
      <c r="AT12" s="510" t="s">
        <v>5310</v>
      </c>
      <c r="AU12" s="513">
        <v>0.11686352940703933</v>
      </c>
      <c r="AV12" s="514">
        <v>0</v>
      </c>
      <c r="AW12" s="514">
        <v>0</v>
      </c>
      <c r="AX12" s="510" t="s">
        <v>5310</v>
      </c>
    </row>
    <row r="13" spans="1:50">
      <c r="A13" s="507" t="s">
        <v>5332</v>
      </c>
      <c r="B13" s="536"/>
      <c r="C13" s="536"/>
      <c r="D13" s="536"/>
      <c r="E13" s="536"/>
      <c r="F13" s="531" t="s">
        <v>464</v>
      </c>
      <c r="G13" s="513">
        <f>'FE - Aluminum'!DS10</f>
        <v>4.9624637922185552E-4</v>
      </c>
      <c r="H13" s="514">
        <f>SUMIFS('FE - Aluminum'!$BI$11:$BI$54,'FE - Aluminum'!$C$11:$C$54,F13)/1000</f>
        <v>0</v>
      </c>
      <c r="I13" s="514">
        <f>SUMIFS('FE - Aluminum'!$BJ$11:$BJ$54,'FE - Aluminum'!$C$11:$C$54,F13)/1000</f>
        <v>0</v>
      </c>
      <c r="J13" s="510" t="str">
        <f t="shared" si="1"/>
        <v>ND</v>
      </c>
      <c r="K13" s="513">
        <v>0.16643081861620315</v>
      </c>
      <c r="L13" s="514">
        <v>0</v>
      </c>
      <c r="M13" s="514">
        <v>0</v>
      </c>
      <c r="N13" s="510" t="s">
        <v>5310</v>
      </c>
      <c r="O13" s="513">
        <v>0.22238590480133966</v>
      </c>
      <c r="P13" s="514">
        <v>0</v>
      </c>
      <c r="Q13" s="514">
        <v>0</v>
      </c>
      <c r="R13" s="510" t="s">
        <v>5310</v>
      </c>
      <c r="S13" s="513">
        <v>0.23310302634357197</v>
      </c>
      <c r="T13" s="514">
        <v>0</v>
      </c>
      <c r="U13" s="514">
        <v>0</v>
      </c>
      <c r="V13" s="510" t="s">
        <v>5310</v>
      </c>
      <c r="W13" s="513">
        <v>2.3062952626712686E-2</v>
      </c>
      <c r="X13" s="514">
        <v>0</v>
      </c>
      <c r="Y13" s="514">
        <v>0</v>
      </c>
      <c r="Z13" s="510" t="s">
        <v>5310</v>
      </c>
      <c r="AA13" s="513">
        <v>0.19391076599833998</v>
      </c>
      <c r="AB13" s="514">
        <v>0</v>
      </c>
      <c r="AC13" s="514">
        <v>0</v>
      </c>
      <c r="AD13" s="510" t="s">
        <v>5310</v>
      </c>
      <c r="AE13" s="513">
        <v>7.9374530960130366E-3</v>
      </c>
      <c r="AF13" s="514">
        <v>0</v>
      </c>
      <c r="AG13" s="514">
        <v>0</v>
      </c>
      <c r="AH13" s="510" t="s">
        <v>5310</v>
      </c>
      <c r="AI13" s="513">
        <v>5.6538639840025646E-3</v>
      </c>
      <c r="AJ13" s="514">
        <v>0</v>
      </c>
      <c r="AK13" s="514">
        <v>0</v>
      </c>
      <c r="AL13" s="510" t="s">
        <v>5310</v>
      </c>
      <c r="AM13" s="513">
        <v>2.2965102960451376E-2</v>
      </c>
      <c r="AN13" s="514">
        <v>0</v>
      </c>
      <c r="AO13" s="514">
        <v>0</v>
      </c>
      <c r="AP13" s="510" t="s">
        <v>5310</v>
      </c>
      <c r="AQ13" s="513">
        <v>9.4710881654027623E-5</v>
      </c>
      <c r="AR13" s="514">
        <v>0</v>
      </c>
      <c r="AS13" s="514">
        <v>0</v>
      </c>
      <c r="AT13" s="510" t="s">
        <v>5310</v>
      </c>
      <c r="AU13" s="513">
        <v>9.8336151857570316E-5</v>
      </c>
      <c r="AV13" s="514">
        <v>0</v>
      </c>
      <c r="AW13" s="514">
        <v>0</v>
      </c>
      <c r="AX13" s="510" t="s">
        <v>5310</v>
      </c>
    </row>
    <row r="14" spans="1:50">
      <c r="A14" s="507" t="s">
        <v>5332</v>
      </c>
      <c r="B14" s="536"/>
      <c r="C14" s="536"/>
      <c r="D14" s="536"/>
      <c r="E14" s="536"/>
      <c r="F14" s="531" t="s">
        <v>84</v>
      </c>
      <c r="G14" s="516">
        <f>'FE - Aluminum'!DT10</f>
        <v>2.0605746760707117E-2</v>
      </c>
      <c r="H14" s="514">
        <f>SUMIFS('FE - Aluminum'!$BI$11:$BI$54,'FE - Aluminum'!$C$11:$C$54,F14)/1000</f>
        <v>0</v>
      </c>
      <c r="I14" s="514">
        <f>SUMIFS('FE - Aluminum'!$BJ$11:$BJ$54,'FE - Aluminum'!$C$11:$C$54,F14)/1000</f>
        <v>0</v>
      </c>
      <c r="J14" s="510" t="str">
        <f t="shared" si="1"/>
        <v>ND</v>
      </c>
      <c r="K14" s="516">
        <v>0.11823695470956007</v>
      </c>
      <c r="L14" s="514">
        <v>0</v>
      </c>
      <c r="M14" s="514">
        <v>0</v>
      </c>
      <c r="N14" s="510" t="s">
        <v>5310</v>
      </c>
      <c r="O14" s="516">
        <v>5.8054825927626785E-2</v>
      </c>
      <c r="P14" s="514">
        <v>0</v>
      </c>
      <c r="Q14" s="514">
        <v>0</v>
      </c>
      <c r="R14" s="510" t="s">
        <v>5310</v>
      </c>
      <c r="S14" s="516">
        <v>5.9021299082329143E-2</v>
      </c>
      <c r="T14" s="514">
        <v>0</v>
      </c>
      <c r="U14" s="514">
        <v>0</v>
      </c>
      <c r="V14" s="510" t="s">
        <v>5310</v>
      </c>
      <c r="W14" s="516">
        <v>0.21976838394286954</v>
      </c>
      <c r="X14" s="514">
        <v>0</v>
      </c>
      <c r="Y14" s="514">
        <v>0</v>
      </c>
      <c r="Z14" s="510" t="s">
        <v>5310</v>
      </c>
      <c r="AA14" s="516">
        <v>9.877598056651872E-2</v>
      </c>
      <c r="AB14" s="514">
        <v>0</v>
      </c>
      <c r="AC14" s="514">
        <v>0</v>
      </c>
      <c r="AD14" s="510" t="s">
        <v>5310</v>
      </c>
      <c r="AE14" s="516">
        <v>0.12141454479972681</v>
      </c>
      <c r="AF14" s="514">
        <v>0</v>
      </c>
      <c r="AG14" s="514">
        <v>0</v>
      </c>
      <c r="AH14" s="510" t="s">
        <v>5310</v>
      </c>
      <c r="AI14" s="516">
        <v>0.10646540871456166</v>
      </c>
      <c r="AJ14" s="514">
        <v>0</v>
      </c>
      <c r="AK14" s="514">
        <v>0</v>
      </c>
      <c r="AL14" s="510" t="s">
        <v>5310</v>
      </c>
      <c r="AM14" s="516">
        <v>0.21979055372451994</v>
      </c>
      <c r="AN14" s="514">
        <v>0</v>
      </c>
      <c r="AO14" s="514">
        <v>0</v>
      </c>
      <c r="AP14" s="510" t="s">
        <v>5310</v>
      </c>
      <c r="AQ14" s="516">
        <v>6.7061490012631467E-2</v>
      </c>
      <c r="AR14" s="514">
        <v>0</v>
      </c>
      <c r="AS14" s="514">
        <v>0</v>
      </c>
      <c r="AT14" s="510" t="s">
        <v>5310</v>
      </c>
      <c r="AU14" s="516">
        <v>6.8173883350898579E-2</v>
      </c>
      <c r="AV14" s="514">
        <v>0</v>
      </c>
      <c r="AW14" s="514">
        <v>0</v>
      </c>
      <c r="AX14" s="510" t="s">
        <v>5310</v>
      </c>
    </row>
    <row r="15" spans="1:50">
      <c r="A15" s="507" t="s">
        <v>5332</v>
      </c>
      <c r="B15" s="536"/>
      <c r="C15" s="536"/>
      <c r="D15" s="536"/>
      <c r="E15" s="536"/>
      <c r="F15" s="531" t="s">
        <v>466</v>
      </c>
      <c r="G15" s="513">
        <f>'FE - Aluminum'!DW10</f>
        <v>0.10381660508729162</v>
      </c>
      <c r="H15" s="514">
        <f>SUMIFS('FE - Aluminum'!$BI$11:$BI$54,'FE - Aluminum'!$C$11:$C$54,F15)/1000</f>
        <v>0</v>
      </c>
      <c r="I15" s="514">
        <f>SUMIFS('FE - Aluminum'!$BJ$11:$BJ$54,'FE - Aluminum'!$C$11:$C$54,F15)/1000</f>
        <v>0</v>
      </c>
      <c r="J15" s="510" t="str">
        <f t="shared" si="1"/>
        <v>ND</v>
      </c>
      <c r="K15" s="513">
        <v>0</v>
      </c>
      <c r="L15" s="514">
        <v>0</v>
      </c>
      <c r="M15" s="514">
        <v>0</v>
      </c>
      <c r="N15" s="510" t="s">
        <v>5310</v>
      </c>
      <c r="O15" s="513">
        <v>0</v>
      </c>
      <c r="P15" s="514">
        <v>0</v>
      </c>
      <c r="Q15" s="514">
        <v>0</v>
      </c>
      <c r="R15" s="510" t="s">
        <v>5310</v>
      </c>
      <c r="S15" s="513">
        <v>0</v>
      </c>
      <c r="T15" s="514">
        <v>0</v>
      </c>
      <c r="U15" s="514">
        <v>0</v>
      </c>
      <c r="V15" s="510" t="s">
        <v>5310</v>
      </c>
      <c r="W15" s="513">
        <v>0</v>
      </c>
      <c r="X15" s="514">
        <v>0</v>
      </c>
      <c r="Y15" s="514">
        <v>0</v>
      </c>
      <c r="Z15" s="510" t="s">
        <v>5310</v>
      </c>
      <c r="AA15" s="513">
        <v>0</v>
      </c>
      <c r="AB15" s="514">
        <v>0</v>
      </c>
      <c r="AC15" s="514">
        <v>0</v>
      </c>
      <c r="AD15" s="510" t="s">
        <v>5310</v>
      </c>
      <c r="AE15" s="513">
        <v>3.5644836457632018E-4</v>
      </c>
      <c r="AF15" s="514">
        <v>0</v>
      </c>
      <c r="AG15" s="514">
        <v>0</v>
      </c>
      <c r="AH15" s="510" t="s">
        <v>5310</v>
      </c>
      <c r="AI15" s="513">
        <v>4.1061396010743821E-4</v>
      </c>
      <c r="AJ15" s="514">
        <v>0</v>
      </c>
      <c r="AK15" s="514">
        <v>0</v>
      </c>
      <c r="AL15" s="510" t="s">
        <v>5310</v>
      </c>
      <c r="AM15" s="513">
        <v>0</v>
      </c>
      <c r="AN15" s="514">
        <v>0</v>
      </c>
      <c r="AO15" s="514">
        <v>0</v>
      </c>
      <c r="AP15" s="510" t="s">
        <v>5310</v>
      </c>
      <c r="AQ15" s="513">
        <v>4.903139626834935E-4</v>
      </c>
      <c r="AR15" s="514">
        <v>0</v>
      </c>
      <c r="AS15" s="514">
        <v>0</v>
      </c>
      <c r="AT15" s="510" t="s">
        <v>5310</v>
      </c>
      <c r="AU15" s="513">
        <v>5.0908182302070984E-4</v>
      </c>
      <c r="AV15" s="514">
        <v>0</v>
      </c>
      <c r="AW15" s="514">
        <v>0</v>
      </c>
      <c r="AX15" s="510" t="s">
        <v>5310</v>
      </c>
    </row>
    <row r="16" spans="1:50">
      <c r="A16" s="507" t="s">
        <v>5332</v>
      </c>
      <c r="B16" s="536"/>
      <c r="C16" s="536"/>
      <c r="D16" s="536"/>
      <c r="E16" s="536"/>
      <c r="F16" s="531" t="s">
        <v>467</v>
      </c>
      <c r="G16" s="513">
        <f>'FE - Aluminum'!DX10</f>
        <v>0</v>
      </c>
      <c r="H16" s="514">
        <f>SUMIFS('FE - Aluminum'!$BI$11:$BI$54,'FE - Aluminum'!$C$11:$C$54,F16)/1000</f>
        <v>0</v>
      </c>
      <c r="I16" s="514">
        <f>SUMIFS('FE - Aluminum'!$BJ$11:$BJ$54,'FE - Aluminum'!$C$11:$C$54,F16)/1000</f>
        <v>0</v>
      </c>
      <c r="J16" s="510" t="str">
        <f t="shared" si="1"/>
        <v>ND</v>
      </c>
      <c r="K16" s="513">
        <v>2.6515431463994332E-6</v>
      </c>
      <c r="L16" s="514">
        <v>0</v>
      </c>
      <c r="M16" s="514">
        <v>0</v>
      </c>
      <c r="N16" s="510" t="s">
        <v>5310</v>
      </c>
      <c r="O16" s="513">
        <v>3.7306735668465185E-6</v>
      </c>
      <c r="P16" s="514">
        <v>0</v>
      </c>
      <c r="Q16" s="514">
        <v>0</v>
      </c>
      <c r="R16" s="510" t="s">
        <v>5310</v>
      </c>
      <c r="S16" s="513">
        <v>3.9104605101152661E-6</v>
      </c>
      <c r="T16" s="514">
        <v>0</v>
      </c>
      <c r="U16" s="514">
        <v>0</v>
      </c>
      <c r="V16" s="510" t="s">
        <v>5310</v>
      </c>
      <c r="W16" s="513">
        <v>0</v>
      </c>
      <c r="X16" s="514">
        <v>0</v>
      </c>
      <c r="Y16" s="514">
        <v>0</v>
      </c>
      <c r="Z16" s="510" t="s">
        <v>5310</v>
      </c>
      <c r="AA16" s="513">
        <v>3.1597760453243785E-6</v>
      </c>
      <c r="AB16" s="514">
        <v>0</v>
      </c>
      <c r="AC16" s="514">
        <v>0</v>
      </c>
      <c r="AD16" s="510" t="s">
        <v>5310</v>
      </c>
      <c r="AE16" s="513">
        <v>2.7639320996817603E-6</v>
      </c>
      <c r="AF16" s="514">
        <v>0</v>
      </c>
      <c r="AG16" s="514">
        <v>0</v>
      </c>
      <c r="AH16" s="510" t="s">
        <v>5310</v>
      </c>
      <c r="AI16" s="513">
        <v>3.1839369112195627E-6</v>
      </c>
      <c r="AJ16" s="514">
        <v>0</v>
      </c>
      <c r="AK16" s="514">
        <v>0</v>
      </c>
      <c r="AL16" s="510" t="s">
        <v>5310</v>
      </c>
      <c r="AM16" s="513">
        <v>0</v>
      </c>
      <c r="AN16" s="514">
        <v>0</v>
      </c>
      <c r="AO16" s="514">
        <v>0</v>
      </c>
      <c r="AP16" s="510" t="s">
        <v>5310</v>
      </c>
      <c r="AQ16" s="513">
        <v>3.8019377701280146E-6</v>
      </c>
      <c r="AR16" s="514">
        <v>0</v>
      </c>
      <c r="AS16" s="514">
        <v>0</v>
      </c>
      <c r="AT16" s="510" t="s">
        <v>5310</v>
      </c>
      <c r="AU16" s="513">
        <v>3.94746541672006E-6</v>
      </c>
      <c r="AV16" s="514">
        <v>0</v>
      </c>
      <c r="AW16" s="514">
        <v>0</v>
      </c>
      <c r="AX16" s="510" t="s">
        <v>5310</v>
      </c>
    </row>
    <row r="17" spans="1:50">
      <c r="A17" s="507" t="s">
        <v>5332</v>
      </c>
      <c r="B17" s="536"/>
      <c r="C17" s="536"/>
      <c r="D17" s="536"/>
      <c r="E17" s="536"/>
      <c r="F17" s="531" t="s">
        <v>529</v>
      </c>
      <c r="G17" s="513">
        <f>'FE - Aluminum'!DQ10</f>
        <v>0</v>
      </c>
      <c r="H17" s="514">
        <f>SUMIFS('FE - Aluminum'!$BI$11:$BI$54,'FE - Aluminum'!$C$11:$C$54,F17)/1000</f>
        <v>0</v>
      </c>
      <c r="I17" s="514">
        <f>SUMIFS('FE - Aluminum'!$BJ$11:$BJ$54,'FE - Aluminum'!$C$11:$C$54,F17)/1000</f>
        <v>0</v>
      </c>
      <c r="J17" s="510" t="str">
        <f t="shared" si="1"/>
        <v>ND</v>
      </c>
      <c r="K17" s="513">
        <v>2.5493412667224227E-2</v>
      </c>
      <c r="L17" s="514">
        <v>0</v>
      </c>
      <c r="M17" s="514">
        <v>0</v>
      </c>
      <c r="N17" s="510" t="s">
        <v>5310</v>
      </c>
      <c r="O17" s="513">
        <v>3.5868773583968096E-2</v>
      </c>
      <c r="P17" s="514">
        <v>0</v>
      </c>
      <c r="Q17" s="514">
        <v>0</v>
      </c>
      <c r="R17" s="510" t="s">
        <v>5310</v>
      </c>
      <c r="S17" s="513">
        <v>3.7597345394369451E-2</v>
      </c>
      <c r="T17" s="514">
        <v>0</v>
      </c>
      <c r="U17" s="514">
        <v>0</v>
      </c>
      <c r="V17" s="510" t="s">
        <v>5310</v>
      </c>
      <c r="W17" s="513">
        <v>0</v>
      </c>
      <c r="X17" s="514">
        <v>0</v>
      </c>
      <c r="Y17" s="514">
        <v>0</v>
      </c>
      <c r="Z17" s="510" t="s">
        <v>5310</v>
      </c>
      <c r="AA17" s="513">
        <v>3.0379846833286057E-2</v>
      </c>
      <c r="AB17" s="514">
        <v>0</v>
      </c>
      <c r="AC17" s="514">
        <v>0</v>
      </c>
      <c r="AD17" s="510" t="s">
        <v>5310</v>
      </c>
      <c r="AE17" s="513">
        <v>1.977430315174237E-3</v>
      </c>
      <c r="AF17" s="514">
        <v>0</v>
      </c>
      <c r="AG17" s="514">
        <v>0</v>
      </c>
      <c r="AH17" s="510" t="s">
        <v>5310</v>
      </c>
      <c r="AI17" s="513">
        <v>2.2779189729634501E-3</v>
      </c>
      <c r="AJ17" s="514">
        <v>0</v>
      </c>
      <c r="AK17" s="514">
        <v>0</v>
      </c>
      <c r="AL17" s="510" t="s">
        <v>5310</v>
      </c>
      <c r="AM17" s="513">
        <v>0</v>
      </c>
      <c r="AN17" s="514">
        <v>0</v>
      </c>
      <c r="AO17" s="514">
        <v>0</v>
      </c>
      <c r="AP17" s="510" t="s">
        <v>5310</v>
      </c>
      <c r="AQ17" s="513">
        <v>2.7200621187194532E-3</v>
      </c>
      <c r="AR17" s="514">
        <v>0</v>
      </c>
      <c r="AS17" s="514">
        <v>0</v>
      </c>
      <c r="AT17" s="510" t="s">
        <v>5310</v>
      </c>
      <c r="AU17" s="513">
        <v>2.8241785621372236E-3</v>
      </c>
      <c r="AV17" s="514">
        <v>0</v>
      </c>
      <c r="AW17" s="514">
        <v>0</v>
      </c>
      <c r="AX17" s="510" t="s">
        <v>5310</v>
      </c>
    </row>
    <row r="18" spans="1:50">
      <c r="A18" s="507" t="s">
        <v>5332</v>
      </c>
      <c r="B18" s="536"/>
      <c r="C18" s="536"/>
      <c r="D18" s="536"/>
      <c r="E18" s="536"/>
      <c r="F18" s="531" t="s">
        <v>85</v>
      </c>
      <c r="G18" s="513">
        <f>'FE - Aluminum'!DU10</f>
        <v>5.9253864373623691E-2</v>
      </c>
      <c r="H18" s="514">
        <f>SUMIFS('FE - Aluminum'!$BI$11:$BI$54,'FE - Aluminum'!$C$11:$C$54,F18)/1000</f>
        <v>0</v>
      </c>
      <c r="I18" s="514">
        <f>SUMIFS('FE - Aluminum'!$BJ$11:$BJ$54,'FE - Aluminum'!$C$11:$C$54,F18)/1000</f>
        <v>0</v>
      </c>
      <c r="J18" s="510" t="str">
        <f t="shared" si="1"/>
        <v>ND</v>
      </c>
      <c r="K18" s="513">
        <v>2.8841296301937631E-3</v>
      </c>
      <c r="L18" s="514">
        <v>0</v>
      </c>
      <c r="M18" s="514">
        <v>0</v>
      </c>
      <c r="N18" s="510" t="s">
        <v>5310</v>
      </c>
      <c r="O18" s="513">
        <v>2.1704765905278902E-3</v>
      </c>
      <c r="P18" s="514">
        <v>0</v>
      </c>
      <c r="Q18" s="514">
        <v>0</v>
      </c>
      <c r="R18" s="510" t="s">
        <v>5310</v>
      </c>
      <c r="S18" s="513">
        <v>2.2750752225591648E-3</v>
      </c>
      <c r="T18" s="514">
        <v>0</v>
      </c>
      <c r="U18" s="514">
        <v>0</v>
      </c>
      <c r="V18" s="510" t="s">
        <v>5310</v>
      </c>
      <c r="W18" s="513">
        <v>3.6954749342820478E-3</v>
      </c>
      <c r="X18" s="514">
        <v>0</v>
      </c>
      <c r="Y18" s="514">
        <v>0</v>
      </c>
      <c r="Z18" s="510" t="s">
        <v>5310</v>
      </c>
      <c r="AA18" s="513">
        <v>2.728615518916384E-3</v>
      </c>
      <c r="AB18" s="514">
        <v>0</v>
      </c>
      <c r="AC18" s="514">
        <v>0</v>
      </c>
      <c r="AD18" s="510" t="s">
        <v>5310</v>
      </c>
      <c r="AE18" s="513">
        <v>5.8977282536617215E-2</v>
      </c>
      <c r="AF18" s="514">
        <v>0</v>
      </c>
      <c r="AG18" s="514">
        <v>0</v>
      </c>
      <c r="AH18" s="510" t="s">
        <v>5310</v>
      </c>
      <c r="AI18" s="513">
        <v>6.737782812305293E-2</v>
      </c>
      <c r="AJ18" s="514">
        <v>0</v>
      </c>
      <c r="AK18" s="514">
        <v>0</v>
      </c>
      <c r="AL18" s="510" t="s">
        <v>5310</v>
      </c>
      <c r="AM18" s="513">
        <v>3.695683461174811E-3</v>
      </c>
      <c r="AN18" s="514">
        <v>0</v>
      </c>
      <c r="AO18" s="514">
        <v>0</v>
      </c>
      <c r="AP18" s="510" t="s">
        <v>5310</v>
      </c>
      <c r="AQ18" s="513">
        <v>7.9384622259834614E-2</v>
      </c>
      <c r="AR18" s="514">
        <v>0</v>
      </c>
      <c r="AS18" s="514">
        <v>0</v>
      </c>
      <c r="AT18" s="510" t="s">
        <v>5310</v>
      </c>
      <c r="AU18" s="513">
        <v>8.2423245707025708E-2</v>
      </c>
      <c r="AV18" s="514">
        <v>0</v>
      </c>
      <c r="AW18" s="514">
        <v>0</v>
      </c>
      <c r="AX18" s="510" t="s">
        <v>5310</v>
      </c>
    </row>
    <row r="19" spans="1:50">
      <c r="A19" s="507" t="s">
        <v>5330</v>
      </c>
      <c r="B19" s="536"/>
      <c r="C19" s="536"/>
      <c r="D19" s="536"/>
      <c r="E19" s="536"/>
      <c r="F19" s="531" t="s">
        <v>5311</v>
      </c>
      <c r="G19" s="510">
        <f>'FE - Aluminum'!BN7*SUM('FE - Aluminum'!BO6:BQ6)</f>
        <v>0</v>
      </c>
      <c r="H19" s="514">
        <f>SUMIFS('FE - Aluminum'!$BI$11:$BI$54,'FE - Aluminum'!$C$11:$C$54,F19)/1000</f>
        <v>0</v>
      </c>
      <c r="I19" s="514">
        <f>SUMIFS('FE - Aluminum'!$BJ$11:$BJ$54,'FE - Aluminum'!$C$11:$C$54,F19)/1000</f>
        <v>0</v>
      </c>
      <c r="J19" s="510" t="str">
        <f t="shared" si="1"/>
        <v>ND</v>
      </c>
      <c r="K19" s="510">
        <v>0</v>
      </c>
      <c r="L19" s="514">
        <v>0</v>
      </c>
      <c r="M19" s="514">
        <v>0</v>
      </c>
      <c r="N19" s="510" t="s">
        <v>5310</v>
      </c>
      <c r="O19" s="510">
        <v>0</v>
      </c>
      <c r="P19" s="514">
        <v>0</v>
      </c>
      <c r="Q19" s="514">
        <v>0</v>
      </c>
      <c r="R19" s="510" t="s">
        <v>5310</v>
      </c>
      <c r="S19" s="510">
        <v>0</v>
      </c>
      <c r="T19" s="514">
        <v>0</v>
      </c>
      <c r="U19" s="514">
        <v>0</v>
      </c>
      <c r="V19" s="510" t="s">
        <v>5310</v>
      </c>
      <c r="W19" s="510">
        <v>0</v>
      </c>
      <c r="X19" s="514">
        <v>0</v>
      </c>
      <c r="Y19" s="514">
        <v>0</v>
      </c>
      <c r="Z19" s="510" t="s">
        <v>5310</v>
      </c>
      <c r="AA19" s="510">
        <v>0</v>
      </c>
      <c r="AB19" s="514">
        <v>0</v>
      </c>
      <c r="AC19" s="514">
        <v>0</v>
      </c>
      <c r="AD19" s="510" t="s">
        <v>5310</v>
      </c>
      <c r="AE19" s="510">
        <v>0</v>
      </c>
      <c r="AF19" s="514">
        <v>0</v>
      </c>
      <c r="AG19" s="514">
        <v>0</v>
      </c>
      <c r="AH19" s="510" t="s">
        <v>5310</v>
      </c>
      <c r="AI19" s="510">
        <v>0</v>
      </c>
      <c r="AJ19" s="514">
        <v>0</v>
      </c>
      <c r="AK19" s="514">
        <v>0</v>
      </c>
      <c r="AL19" s="510" t="s">
        <v>5310</v>
      </c>
      <c r="AM19" s="510">
        <v>0</v>
      </c>
      <c r="AN19" s="514">
        <v>0</v>
      </c>
      <c r="AO19" s="514">
        <v>0</v>
      </c>
      <c r="AP19" s="510" t="s">
        <v>5310</v>
      </c>
      <c r="AQ19" s="510">
        <v>0</v>
      </c>
      <c r="AR19" s="514">
        <v>0</v>
      </c>
      <c r="AS19" s="514">
        <v>0</v>
      </c>
      <c r="AT19" s="510" t="s">
        <v>5310</v>
      </c>
      <c r="AU19" s="510">
        <v>0</v>
      </c>
      <c r="AV19" s="514">
        <v>0</v>
      </c>
      <c r="AW19" s="514">
        <v>0</v>
      </c>
      <c r="AX19" s="510" t="s">
        <v>5310</v>
      </c>
    </row>
    <row r="20" spans="1:50" ht="18">
      <c r="A20" s="507" t="s">
        <v>5331</v>
      </c>
      <c r="B20" s="537"/>
      <c r="C20" s="538">
        <f>AF21/3.6</f>
        <v>0.84452837589582974</v>
      </c>
      <c r="D20" s="539">
        <f>H20/3.6</f>
        <v>0</v>
      </c>
      <c r="E20" s="539">
        <f>L20/3.6</f>
        <v>0</v>
      </c>
      <c r="F20" s="532" t="s">
        <v>203</v>
      </c>
      <c r="G20" s="516">
        <f>'FE - Aluminum'!I12</f>
        <v>0.41799999999999998</v>
      </c>
      <c r="H20" s="514">
        <f>SUMIFS('FE - Aluminum'!$BI$11:$BI$54,'FE - Aluminum'!$C$11:$C$54,F20)/1000</f>
        <v>0</v>
      </c>
      <c r="I20" s="514">
        <f>SUMIFS('FE - Aluminum'!$BJ$11:$BJ$54,'FE - Aluminum'!$C$11:$C$54,F20)/1000</f>
        <v>0</v>
      </c>
      <c r="J20" s="510" t="str">
        <f t="shared" si="1"/>
        <v>ND</v>
      </c>
      <c r="K20" s="516">
        <v>0.44308972000000002</v>
      </c>
      <c r="L20" s="514">
        <v>0</v>
      </c>
      <c r="M20" s="514">
        <v>0</v>
      </c>
      <c r="N20" s="510" t="s">
        <v>5310</v>
      </c>
      <c r="O20" s="516">
        <v>0.44308972000000002</v>
      </c>
      <c r="P20" s="514">
        <v>0</v>
      </c>
      <c r="Q20" s="514">
        <v>0</v>
      </c>
      <c r="R20" s="510" t="s">
        <v>5310</v>
      </c>
      <c r="S20" s="516">
        <v>0</v>
      </c>
      <c r="T20" s="514">
        <v>0</v>
      </c>
      <c r="U20" s="514">
        <v>0</v>
      </c>
      <c r="V20" s="510" t="s">
        <v>5310</v>
      </c>
      <c r="W20" s="516">
        <v>1</v>
      </c>
      <c r="X20" s="514">
        <v>0</v>
      </c>
      <c r="Y20" s="514">
        <v>0</v>
      </c>
      <c r="Z20" s="510" t="s">
        <v>5310</v>
      </c>
      <c r="AA20" s="516">
        <v>0</v>
      </c>
      <c r="AB20" s="514">
        <v>0</v>
      </c>
      <c r="AC20" s="514">
        <v>0</v>
      </c>
      <c r="AD20" s="510" t="s">
        <v>5310</v>
      </c>
      <c r="AE20" s="516">
        <v>0.38500000000000001</v>
      </c>
      <c r="AF20" s="514">
        <v>0</v>
      </c>
      <c r="AG20" s="514">
        <v>0</v>
      </c>
      <c r="AH20" s="510" t="s">
        <v>5310</v>
      </c>
      <c r="AI20" s="516">
        <v>0</v>
      </c>
      <c r="AJ20" s="514">
        <v>0</v>
      </c>
      <c r="AK20" s="514">
        <v>0</v>
      </c>
      <c r="AL20" s="510" t="s">
        <v>5310</v>
      </c>
      <c r="AM20" s="516">
        <v>1</v>
      </c>
      <c r="AN20" s="514">
        <v>0</v>
      </c>
      <c r="AO20" s="514">
        <v>0</v>
      </c>
      <c r="AP20" s="510" t="s">
        <v>5310</v>
      </c>
      <c r="AQ20" s="516">
        <v>0.38500000000000001</v>
      </c>
      <c r="AR20" s="514">
        <v>0</v>
      </c>
      <c r="AS20" s="514">
        <v>0</v>
      </c>
      <c r="AT20" s="510" t="s">
        <v>5310</v>
      </c>
      <c r="AU20" s="516">
        <v>0</v>
      </c>
      <c r="AV20" s="514">
        <v>0</v>
      </c>
      <c r="AW20" s="514">
        <v>0</v>
      </c>
      <c r="AX20" s="510" t="s">
        <v>5310</v>
      </c>
    </row>
    <row r="21" spans="1:50" ht="18">
      <c r="A21" s="507" t="s">
        <v>5331</v>
      </c>
      <c r="B21" s="537"/>
      <c r="C21" s="538">
        <f>AF22/3.6</f>
        <v>0.54347755782201568</v>
      </c>
      <c r="D21" s="539">
        <f>H21/3.6</f>
        <v>0.99463212122365507</v>
      </c>
      <c r="E21" s="539">
        <f>L21/3.6</f>
        <v>0.73144442479681371</v>
      </c>
      <c r="F21" s="533" t="s">
        <v>116</v>
      </c>
      <c r="G21" s="516" t="str">
        <f>'FE - Aluminum'!M53</f>
        <v>--X--</v>
      </c>
      <c r="H21" s="514">
        <f>SUMIFS('FE - Aluminum'!$BI$11:$BI$54,'FE - Aluminum'!$C$11:$C$54,F21)/1000</f>
        <v>3.5806756364051582</v>
      </c>
      <c r="I21" s="514">
        <f>SUMIFS('FE - Aluminum'!$BJ$11:$BJ$54,'FE - Aluminum'!$C$11:$C$54,F21)/1000</f>
        <v>30.914542817115183</v>
      </c>
      <c r="J21" s="510">
        <f t="shared" si="1"/>
        <v>8.6337177550525173</v>
      </c>
      <c r="K21" s="516" t="s">
        <v>478</v>
      </c>
      <c r="L21" s="514">
        <v>2.6331999292685295</v>
      </c>
      <c r="M21" s="514">
        <v>180.63751514782115</v>
      </c>
      <c r="N21" s="510">
        <v>68.600000000000009</v>
      </c>
      <c r="O21" s="516" t="s">
        <v>478</v>
      </c>
      <c r="P21" s="514">
        <v>2.6331999292685295</v>
      </c>
      <c r="Q21" s="514">
        <v>180.63751514782115</v>
      </c>
      <c r="R21" s="510">
        <v>68.600000000000009</v>
      </c>
      <c r="S21" s="516" t="s">
        <v>478</v>
      </c>
      <c r="T21" s="514">
        <v>4.7282300647575228</v>
      </c>
      <c r="U21" s="514">
        <v>324.35658244236612</v>
      </c>
      <c r="V21" s="510">
        <v>68.600000000000009</v>
      </c>
      <c r="W21" s="516" t="s">
        <v>478</v>
      </c>
      <c r="X21" s="514">
        <v>0</v>
      </c>
      <c r="Y21" s="514">
        <v>0</v>
      </c>
      <c r="Z21" s="510" t="s">
        <v>5310</v>
      </c>
      <c r="AA21" s="516" t="s">
        <v>478</v>
      </c>
      <c r="AB21" s="514">
        <v>4.7282300647575228</v>
      </c>
      <c r="AC21" s="514">
        <v>324.35658244236612</v>
      </c>
      <c r="AD21" s="510">
        <v>68.600000000000009</v>
      </c>
      <c r="AE21" s="516" t="s">
        <v>478</v>
      </c>
      <c r="AF21" s="514">
        <v>3.040302153224987</v>
      </c>
      <c r="AG21" s="514">
        <v>208.5647277112341</v>
      </c>
      <c r="AH21" s="510">
        <v>68.599999999999994</v>
      </c>
      <c r="AI21" s="516" t="s">
        <v>478</v>
      </c>
      <c r="AJ21" s="514">
        <v>4.9435807369511977</v>
      </c>
      <c r="AK21" s="514">
        <v>339.12963855485225</v>
      </c>
      <c r="AL21" s="510">
        <v>68.600000000000023</v>
      </c>
      <c r="AM21" s="516" t="s">
        <v>478</v>
      </c>
      <c r="AN21" s="514">
        <v>0</v>
      </c>
      <c r="AO21" s="514">
        <v>0</v>
      </c>
      <c r="AP21" s="510" t="s">
        <v>5310</v>
      </c>
      <c r="AQ21" s="516" t="s">
        <v>478</v>
      </c>
      <c r="AR21" s="514">
        <v>3.040302153224987</v>
      </c>
      <c r="AS21" s="514">
        <v>208.5647277112341</v>
      </c>
      <c r="AT21" s="510">
        <v>68.599999999999994</v>
      </c>
      <c r="AU21" s="516" t="s">
        <v>478</v>
      </c>
      <c r="AV21" s="514">
        <v>4.9435807369511977</v>
      </c>
      <c r="AW21" s="514">
        <v>339.12963855485225</v>
      </c>
      <c r="AX21" s="510">
        <v>68.600000000000023</v>
      </c>
    </row>
    <row r="22" spans="1:50" ht="18">
      <c r="A22" s="507" t="s">
        <v>5331</v>
      </c>
      <c r="B22" s="537"/>
      <c r="C22" s="538">
        <f>AF23/3.6</f>
        <v>0.17309015101424141</v>
      </c>
      <c r="D22" s="539">
        <f>H22/3.6</f>
        <v>3.3537059622562065E-2</v>
      </c>
      <c r="E22" s="539">
        <f>L22/3.6</f>
        <v>0.48976253101941819</v>
      </c>
      <c r="F22" s="533" t="s">
        <v>483</v>
      </c>
      <c r="G22" s="516" t="e">
        <f>'FE - Aluminum'!#REF!</f>
        <v>#REF!</v>
      </c>
      <c r="H22" s="514">
        <f>SUMIFS('FE - Aluminum'!$BI$11:$BI$54,'FE - Aluminum'!$C$11:$C$54,F22)/1000</f>
        <v>0.12073341464122343</v>
      </c>
      <c r="I22" s="514">
        <f>SUMIFS('FE - Aluminum'!$BJ$11:$BJ$54,'FE - Aluminum'!$C$11:$C$54,F22)/1000</f>
        <v>158.25024411219263</v>
      </c>
      <c r="J22" s="510">
        <f t="shared" si="1"/>
        <v>1310.7410618879273</v>
      </c>
      <c r="K22" s="516" t="s">
        <v>478</v>
      </c>
      <c r="L22" s="514">
        <v>1.7631451116699055</v>
      </c>
      <c r="M22" s="514">
        <v>50.602264704926284</v>
      </c>
      <c r="N22" s="510">
        <v>28.7</v>
      </c>
      <c r="O22" s="516" t="s">
        <v>478</v>
      </c>
      <c r="P22" s="514">
        <v>1.7631451116699055</v>
      </c>
      <c r="Q22" s="514">
        <v>50.602264704926284</v>
      </c>
      <c r="R22" s="510">
        <v>28.7</v>
      </c>
      <c r="S22" s="516" t="s">
        <v>478</v>
      </c>
      <c r="T22" s="514">
        <v>3.1659410411133075</v>
      </c>
      <c r="U22" s="514">
        <v>90.86250787995192</v>
      </c>
      <c r="V22" s="510">
        <v>28.7</v>
      </c>
      <c r="W22" s="516" t="s">
        <v>478</v>
      </c>
      <c r="X22" s="514">
        <v>0</v>
      </c>
      <c r="Y22" s="514">
        <v>0</v>
      </c>
      <c r="Z22" s="510" t="s">
        <v>5310</v>
      </c>
      <c r="AA22" s="516" t="s">
        <v>478</v>
      </c>
      <c r="AB22" s="514">
        <v>3.1659410411133075</v>
      </c>
      <c r="AC22" s="514">
        <v>90.86250787995192</v>
      </c>
      <c r="AD22" s="510">
        <v>28.7</v>
      </c>
      <c r="AE22" s="516" t="s">
        <v>478</v>
      </c>
      <c r="AF22" s="514">
        <v>1.9565192081592566</v>
      </c>
      <c r="AG22" s="514">
        <v>56.152101274170661</v>
      </c>
      <c r="AH22" s="510">
        <v>28.7</v>
      </c>
      <c r="AI22" s="516" t="s">
        <v>478</v>
      </c>
      <c r="AJ22" s="514">
        <v>3.1813320457874101</v>
      </c>
      <c r="AK22" s="514">
        <v>91.304229714098668</v>
      </c>
      <c r="AL22" s="510">
        <v>28.7</v>
      </c>
      <c r="AM22" s="516" t="s">
        <v>478</v>
      </c>
      <c r="AN22" s="514">
        <v>0</v>
      </c>
      <c r="AO22" s="514">
        <v>0</v>
      </c>
      <c r="AP22" s="510" t="s">
        <v>5310</v>
      </c>
      <c r="AQ22" s="516" t="s">
        <v>478</v>
      </c>
      <c r="AR22" s="514">
        <v>1.9565192081592566</v>
      </c>
      <c r="AS22" s="514">
        <v>56.152101274170661</v>
      </c>
      <c r="AT22" s="510">
        <v>28.7</v>
      </c>
      <c r="AU22" s="516" t="s">
        <v>478</v>
      </c>
      <c r="AV22" s="514">
        <v>3.1813320457874101</v>
      </c>
      <c r="AW22" s="514">
        <v>91.304229714098668</v>
      </c>
      <c r="AX22" s="510">
        <v>28.7</v>
      </c>
    </row>
    <row r="23" spans="1:50" ht="18">
      <c r="A23" s="507" t="s">
        <v>5322</v>
      </c>
      <c r="B23" s="537">
        <v>0.34</v>
      </c>
      <c r="C23" s="538">
        <f>SUM(AF23:AF24)/3.6</f>
        <v>0.18724597774697718</v>
      </c>
      <c r="D23" s="539">
        <f>(H23+H24)/3.6</f>
        <v>0.13025348699815886</v>
      </c>
      <c r="E23" s="539">
        <f>SUM(L23:L24)/3.6</f>
        <v>0.17686733506633182</v>
      </c>
      <c r="F23" s="533" t="s">
        <v>504</v>
      </c>
      <c r="G23" s="516" t="str">
        <f>'FE - Aluminum'!M54</f>
        <v>--X--</v>
      </c>
      <c r="H23" s="514">
        <f>SUMIFS('FE - Aluminum'!$BI$11:$BI$54,'FE - Aluminum'!$C$11:$C$54,F23)/1000</f>
        <v>0.40758256367236395</v>
      </c>
      <c r="I23" s="514">
        <f>SUMIFS('FE - Aluminum'!$BJ$11:$BJ$54,'FE - Aluminum'!$C$11:$C$54,F23)/1000</f>
        <v>100.3403899000824</v>
      </c>
      <c r="J23" s="510">
        <f t="shared" si="1"/>
        <v>246.1842062035343</v>
      </c>
      <c r="K23" s="516" t="s">
        <v>478</v>
      </c>
      <c r="L23" s="514">
        <v>0.59875082704226867</v>
      </c>
      <c r="M23" s="514">
        <v>40.825069139260286</v>
      </c>
      <c r="N23" s="510">
        <v>68.183737366893439</v>
      </c>
      <c r="O23" s="516" t="s">
        <v>478</v>
      </c>
      <c r="P23" s="514">
        <v>0.59875082704226867</v>
      </c>
      <c r="Q23" s="514">
        <v>40.825069139260286</v>
      </c>
      <c r="R23" s="510">
        <v>68.183737366893439</v>
      </c>
      <c r="S23" s="516" t="s">
        <v>478</v>
      </c>
      <c r="T23" s="514">
        <v>1.0751297804060449</v>
      </c>
      <c r="U23" s="514">
        <v>73.306366582531567</v>
      </c>
      <c r="V23" s="510">
        <v>68.183737366893425</v>
      </c>
      <c r="W23" s="516" t="s">
        <v>478</v>
      </c>
      <c r="X23" s="514">
        <v>0</v>
      </c>
      <c r="Y23" s="514">
        <v>0</v>
      </c>
      <c r="Z23" s="510" t="s">
        <v>5310</v>
      </c>
      <c r="AA23" s="516" t="s">
        <v>478</v>
      </c>
      <c r="AB23" s="514">
        <v>1.0751297804060449</v>
      </c>
      <c r="AC23" s="514">
        <v>73.306366582531567</v>
      </c>
      <c r="AD23" s="510">
        <v>68.183737366893425</v>
      </c>
      <c r="AE23" s="516" t="s">
        <v>478</v>
      </c>
      <c r="AF23" s="514">
        <v>0.62312454365126912</v>
      </c>
      <c r="AG23" s="514">
        <v>42.486960231183467</v>
      </c>
      <c r="AH23" s="510">
        <v>68.183737366893453</v>
      </c>
      <c r="AI23" s="516" t="s">
        <v>478</v>
      </c>
      <c r="AJ23" s="514">
        <v>1.0132106400833645</v>
      </c>
      <c r="AK23" s="514">
        <v>69.08448818078611</v>
      </c>
      <c r="AL23" s="510">
        <v>68.183737366893425</v>
      </c>
      <c r="AM23" s="516" t="s">
        <v>478</v>
      </c>
      <c r="AN23" s="514">
        <v>0</v>
      </c>
      <c r="AO23" s="514">
        <v>0</v>
      </c>
      <c r="AP23" s="510" t="s">
        <v>5310</v>
      </c>
      <c r="AQ23" s="516" t="s">
        <v>478</v>
      </c>
      <c r="AR23" s="514">
        <v>0.62312454365126912</v>
      </c>
      <c r="AS23" s="514">
        <v>42.486960231183467</v>
      </c>
      <c r="AT23" s="510">
        <v>68.183737366893453</v>
      </c>
      <c r="AU23" s="516" t="s">
        <v>478</v>
      </c>
      <c r="AV23" s="514">
        <v>1.0132106400833645</v>
      </c>
      <c r="AW23" s="514">
        <v>69.08448818078611</v>
      </c>
      <c r="AX23" s="510">
        <v>68.183737366893425</v>
      </c>
    </row>
    <row r="24" spans="1:50" ht="18">
      <c r="A24" s="507" t="s">
        <v>5322</v>
      </c>
      <c r="B24" s="537"/>
      <c r="C24" s="538"/>
      <c r="D24" s="539"/>
      <c r="E24" s="539"/>
      <c r="F24" s="533" t="s">
        <v>505</v>
      </c>
      <c r="G24" s="516" t="str">
        <f>'FE - Aluminum'!M54</f>
        <v>--X--</v>
      </c>
      <c r="H24" s="514">
        <f>SUMIFS('FE - Aluminum'!$BI$11:$BI$54,'FE - Aluminum'!$C$11:$C$54,F24)/1000</f>
        <v>6.1329989521007995E-2</v>
      </c>
      <c r="I24" s="514">
        <f>SUMIFS('FE - Aluminum'!$BJ$11:$BJ$54,'FE - Aluminum'!$C$11:$C$54,F24)/1000</f>
        <v>63.863346610491007</v>
      </c>
      <c r="J24" s="510">
        <f t="shared" si="1"/>
        <v>1041.3069871569967</v>
      </c>
      <c r="K24" s="516" t="s">
        <v>478</v>
      </c>
      <c r="L24" s="514">
        <v>3.7971579196525856E-2</v>
      </c>
      <c r="M24" s="514">
        <v>2.4021683955423589</v>
      </c>
      <c r="N24" s="510">
        <v>63.262272635796542</v>
      </c>
      <c r="O24" s="516" t="s">
        <v>478</v>
      </c>
      <c r="P24" s="514">
        <v>3.7971579196525856E-2</v>
      </c>
      <c r="Q24" s="514">
        <v>2.4021683955423589</v>
      </c>
      <c r="R24" s="510">
        <v>63.262272635796542</v>
      </c>
      <c r="S24" s="516" t="s">
        <v>478</v>
      </c>
      <c r="T24" s="514">
        <v>6.8182579061973614E-2</v>
      </c>
      <c r="U24" s="514">
        <v>4.3133849056303282</v>
      </c>
      <c r="V24" s="510">
        <v>63.262272635796549</v>
      </c>
      <c r="W24" s="516" t="s">
        <v>478</v>
      </c>
      <c r="X24" s="514">
        <v>0</v>
      </c>
      <c r="Y24" s="514">
        <v>0</v>
      </c>
      <c r="Z24" s="510" t="s">
        <v>5310</v>
      </c>
      <c r="AA24" s="516" t="s">
        <v>478</v>
      </c>
      <c r="AB24" s="514">
        <v>6.8182579061973614E-2</v>
      </c>
      <c r="AC24" s="514">
        <v>4.3133849056303282</v>
      </c>
      <c r="AD24" s="510">
        <v>63.262272635796549</v>
      </c>
      <c r="AE24" s="516" t="s">
        <v>478</v>
      </c>
      <c r="AF24" s="514">
        <v>5.0960976237848815E-2</v>
      </c>
      <c r="AG24" s="514">
        <v>3.2239071725451414</v>
      </c>
      <c r="AH24" s="510">
        <v>63.262272635796549</v>
      </c>
      <c r="AI24" s="516" t="s">
        <v>478</v>
      </c>
      <c r="AJ24" s="514">
        <v>8.2863375996502134E-2</v>
      </c>
      <c r="AK24" s="514">
        <v>5.2421254838132372</v>
      </c>
      <c r="AL24" s="510">
        <v>63.262272635796542</v>
      </c>
      <c r="AM24" s="516" t="s">
        <v>478</v>
      </c>
      <c r="AN24" s="514">
        <v>0</v>
      </c>
      <c r="AO24" s="514">
        <v>0</v>
      </c>
      <c r="AP24" s="510" t="s">
        <v>5310</v>
      </c>
      <c r="AQ24" s="516" t="s">
        <v>478</v>
      </c>
      <c r="AR24" s="514">
        <v>5.0960976237848815E-2</v>
      </c>
      <c r="AS24" s="514">
        <v>3.2239071725451414</v>
      </c>
      <c r="AT24" s="510">
        <v>63.262272635796549</v>
      </c>
      <c r="AU24" s="516" t="s">
        <v>478</v>
      </c>
      <c r="AV24" s="514">
        <v>8.2863375996502134E-2</v>
      </c>
      <c r="AW24" s="514">
        <v>5.2421254838132372</v>
      </c>
      <c r="AX24" s="510">
        <v>63.262272635796542</v>
      </c>
    </row>
    <row r="25" spans="1:50" ht="18">
      <c r="A25" s="507" t="s">
        <v>5318</v>
      </c>
      <c r="B25" s="537">
        <v>0.32</v>
      </c>
      <c r="C25" s="538">
        <f>AF26/3.6</f>
        <v>0.22720441719440548</v>
      </c>
      <c r="D25" s="539">
        <f>H25/3.6</f>
        <v>6.8352241225464155E-2</v>
      </c>
      <c r="E25" s="539">
        <f>L25/3.6</f>
        <v>5.7021600158881657E-2</v>
      </c>
      <c r="F25" s="534" t="s">
        <v>482</v>
      </c>
      <c r="G25" s="516">
        <f>'FE - Aluminum'!I11</f>
        <v>0.58200000000000007</v>
      </c>
      <c r="H25" s="514">
        <f>SUMIFS('FE - Aluminum'!$BI$11:$BI$54,'FE - Aluminum'!$C$11:$C$54,F25)/1000</f>
        <v>0.24606806841167095</v>
      </c>
      <c r="I25" s="514">
        <f>SUMIFS('FE - Aluminum'!$BJ$11:$BJ$54,'FE - Aluminum'!$C$11:$C$54,F25)/1000</f>
        <v>653.398126139086</v>
      </c>
      <c r="J25" s="510">
        <f t="shared" si="1"/>
        <v>2655.3552045849096</v>
      </c>
      <c r="K25" s="516">
        <v>0.55691027999999998</v>
      </c>
      <c r="L25" s="514">
        <v>0.20527776057197397</v>
      </c>
      <c r="M25" s="514">
        <v>16.883643354405216</v>
      </c>
      <c r="N25" s="510">
        <v>82.247795900352855</v>
      </c>
      <c r="O25" s="516">
        <v>0.55691027999999998</v>
      </c>
      <c r="P25" s="514">
        <v>0.20527776057197397</v>
      </c>
      <c r="Q25" s="514">
        <v>16.883643354405216</v>
      </c>
      <c r="R25" s="510">
        <v>82.247795900352855</v>
      </c>
      <c r="S25" s="516">
        <v>1</v>
      </c>
      <c r="T25" s="514">
        <v>0.36860113369064396</v>
      </c>
      <c r="U25" s="514">
        <v>30.316630812426759</v>
      </c>
      <c r="V25" s="510">
        <v>82.247795900352855</v>
      </c>
      <c r="W25" s="516">
        <v>0</v>
      </c>
      <c r="X25" s="514">
        <v>0</v>
      </c>
      <c r="Y25" s="514">
        <v>0</v>
      </c>
      <c r="Z25" s="510" t="s">
        <v>5310</v>
      </c>
      <c r="AA25" s="516">
        <v>1</v>
      </c>
      <c r="AB25" s="514">
        <v>0.36860113369064396</v>
      </c>
      <c r="AC25" s="514">
        <v>30.316630812426759</v>
      </c>
      <c r="AD25" s="510">
        <v>82.247795900352855</v>
      </c>
      <c r="AE25" s="516">
        <v>0.61499999999999999</v>
      </c>
      <c r="AF25" s="514">
        <v>0.3061921326415134</v>
      </c>
      <c r="AG25" s="514">
        <v>13.863767381742443</v>
      </c>
      <c r="AH25" s="510">
        <v>45.277999999999999</v>
      </c>
      <c r="AI25" s="516">
        <v>1</v>
      </c>
      <c r="AJ25" s="514">
        <v>0.49787338640896517</v>
      </c>
      <c r="AK25" s="514">
        <v>22.542711189825123</v>
      </c>
      <c r="AL25" s="510">
        <v>45.277999999999999</v>
      </c>
      <c r="AM25" s="516">
        <v>0</v>
      </c>
      <c r="AN25" s="514">
        <v>0</v>
      </c>
      <c r="AO25" s="514">
        <v>0</v>
      </c>
      <c r="AP25" s="510" t="s">
        <v>5310</v>
      </c>
      <c r="AQ25" s="516">
        <v>0.61499999999999999</v>
      </c>
      <c r="AR25" s="514">
        <v>0.3061921326415134</v>
      </c>
      <c r="AS25" s="514">
        <v>13.863767381742443</v>
      </c>
      <c r="AT25" s="510">
        <v>45.277999999999999</v>
      </c>
      <c r="AU25" s="516">
        <v>1</v>
      </c>
      <c r="AV25" s="514">
        <v>0.49787338640896517</v>
      </c>
      <c r="AW25" s="514">
        <v>22.542711189825123</v>
      </c>
      <c r="AX25" s="510">
        <v>45.277999999999999</v>
      </c>
    </row>
    <row r="26" spans="1:50" ht="18">
      <c r="A26" s="507" t="s">
        <v>5319</v>
      </c>
      <c r="B26" s="537">
        <v>5.56</v>
      </c>
      <c r="C26" s="538">
        <f>SUM(AF26:AF30)/3.6</f>
        <v>1.9855523688633876</v>
      </c>
      <c r="D26" s="539">
        <f>SUM(H26:H30)/3.6</f>
        <v>1.6580314588354728</v>
      </c>
      <c r="E26" s="539">
        <f>SUM(L26:L30)/3.6</f>
        <v>2.4792790408704461</v>
      </c>
      <c r="F26" s="533" t="s">
        <v>512</v>
      </c>
      <c r="G26" s="516" t="str">
        <f>'FE - Aluminum'!I21</f>
        <v>--X--</v>
      </c>
      <c r="H26" s="514">
        <f>SUMIFS('FE - Aluminum'!$BI$11:$BI$54,'FE - Aluminum'!$C$11:$C$54,F26)/1000</f>
        <v>0</v>
      </c>
      <c r="I26" s="514">
        <f>SUMIFS('FE - Aluminum'!$BJ$11:$BJ$54,'FE - Aluminum'!$C$11:$C$54,F26)/1000</f>
        <v>0</v>
      </c>
      <c r="J26" s="510" t="str">
        <f t="shared" si="1"/>
        <v>ND</v>
      </c>
      <c r="K26" s="516" t="s">
        <v>478</v>
      </c>
      <c r="L26" s="514">
        <v>1.021323521935932</v>
      </c>
      <c r="M26" s="514">
        <v>81.532271779325612</v>
      </c>
      <c r="N26" s="510">
        <v>79.830014709521365</v>
      </c>
      <c r="O26" s="516" t="s">
        <v>478</v>
      </c>
      <c r="P26" s="514">
        <v>1.021323521935932</v>
      </c>
      <c r="Q26" s="514">
        <v>81.532271779325612</v>
      </c>
      <c r="R26" s="510">
        <v>79.830014709521365</v>
      </c>
      <c r="S26" s="516" t="s">
        <v>478</v>
      </c>
      <c r="T26" s="514">
        <v>1.8339103417806042</v>
      </c>
      <c r="U26" s="514">
        <v>146.40108956028897</v>
      </c>
      <c r="V26" s="510">
        <v>79.83001470952135</v>
      </c>
      <c r="W26" s="516" t="s">
        <v>478</v>
      </c>
      <c r="X26" s="514">
        <v>0</v>
      </c>
      <c r="Y26" s="514">
        <v>0</v>
      </c>
      <c r="Z26" s="510" t="s">
        <v>5310</v>
      </c>
      <c r="AA26" s="516" t="s">
        <v>478</v>
      </c>
      <c r="AB26" s="514">
        <v>1.8339103417806042</v>
      </c>
      <c r="AC26" s="514">
        <v>146.40108956028897</v>
      </c>
      <c r="AD26" s="510">
        <v>79.83001470952135</v>
      </c>
      <c r="AE26" s="516" t="s">
        <v>478</v>
      </c>
      <c r="AF26" s="514">
        <v>0.81793590189985976</v>
      </c>
      <c r="AG26" s="514">
        <v>75.673384804020287</v>
      </c>
      <c r="AH26" s="510">
        <v>92.517500000000013</v>
      </c>
      <c r="AI26" s="516" t="s">
        <v>478</v>
      </c>
      <c r="AJ26" s="514">
        <v>1.3299770762599352</v>
      </c>
      <c r="AK26" s="514">
        <v>123.04615415287856</v>
      </c>
      <c r="AL26" s="510">
        <v>92.517499999999998</v>
      </c>
      <c r="AM26" s="516" t="s">
        <v>478</v>
      </c>
      <c r="AN26" s="514">
        <v>0</v>
      </c>
      <c r="AO26" s="514">
        <v>0</v>
      </c>
      <c r="AP26" s="510" t="s">
        <v>5310</v>
      </c>
      <c r="AQ26" s="516" t="s">
        <v>478</v>
      </c>
      <c r="AR26" s="514">
        <v>0.81793590189985976</v>
      </c>
      <c r="AS26" s="514">
        <v>75.673384804020287</v>
      </c>
      <c r="AT26" s="510">
        <v>92.517500000000013</v>
      </c>
      <c r="AU26" s="516" t="s">
        <v>478</v>
      </c>
      <c r="AV26" s="514">
        <v>1.3299770762599352</v>
      </c>
      <c r="AW26" s="514">
        <v>123.04615415287856</v>
      </c>
      <c r="AX26" s="510">
        <v>92.517499999999998</v>
      </c>
    </row>
    <row r="27" spans="1:50" ht="18">
      <c r="A27" s="507" t="s">
        <v>5319</v>
      </c>
      <c r="B27" s="537"/>
      <c r="C27" s="538"/>
      <c r="D27" s="539"/>
      <c r="E27" s="539"/>
      <c r="F27" s="533" t="s">
        <v>511</v>
      </c>
      <c r="G27" s="516" t="e">
        <f>'FE - Aluminum'!#REF!</f>
        <v>#REF!</v>
      </c>
      <c r="H27" s="514">
        <f>SUMIFS('FE - Aluminum'!$BI$11:$BI$54,'FE - Aluminum'!$C$11:$C$54,F27)/1000</f>
        <v>1.1927385787266449</v>
      </c>
      <c r="I27" s="514">
        <f>SUMIFS('FE - Aluminum'!$BJ$11:$BJ$54,'FE - Aluminum'!$C$11:$C$54,F27)/1000</f>
        <v>129.81636222782501</v>
      </c>
      <c r="J27" s="510">
        <f t="shared" si="1"/>
        <v>108.83890614690739</v>
      </c>
      <c r="K27" s="516" t="s">
        <v>478</v>
      </c>
      <c r="L27" s="514">
        <v>1.0213235219359322</v>
      </c>
      <c r="M27" s="514">
        <v>81.532271779325626</v>
      </c>
      <c r="N27" s="510">
        <v>79.83001470952135</v>
      </c>
      <c r="O27" s="516" t="s">
        <v>478</v>
      </c>
      <c r="P27" s="514">
        <v>1.0213235219359322</v>
      </c>
      <c r="Q27" s="514">
        <v>81.532271779325626</v>
      </c>
      <c r="R27" s="510">
        <v>79.83001470952135</v>
      </c>
      <c r="S27" s="516" t="s">
        <v>478</v>
      </c>
      <c r="T27" s="514">
        <v>1.8339103417806042</v>
      </c>
      <c r="U27" s="514">
        <v>146.40108956028897</v>
      </c>
      <c r="V27" s="510">
        <v>79.83001470952135</v>
      </c>
      <c r="W27" s="516" t="s">
        <v>478</v>
      </c>
      <c r="X27" s="514">
        <v>0</v>
      </c>
      <c r="Y27" s="514">
        <v>0</v>
      </c>
      <c r="Z27" s="510" t="s">
        <v>5310</v>
      </c>
      <c r="AA27" s="516" t="s">
        <v>478</v>
      </c>
      <c r="AB27" s="514">
        <v>1.8339103417806042</v>
      </c>
      <c r="AC27" s="514">
        <v>146.40108956028897</v>
      </c>
      <c r="AD27" s="510">
        <v>79.83001470952135</v>
      </c>
      <c r="AE27" s="516" t="s">
        <v>478</v>
      </c>
      <c r="AF27" s="514">
        <v>0.81793590189985965</v>
      </c>
      <c r="AG27" s="514">
        <v>75.673384804020273</v>
      </c>
      <c r="AH27" s="510">
        <v>92.517500000000013</v>
      </c>
      <c r="AI27" s="516" t="s">
        <v>478</v>
      </c>
      <c r="AJ27" s="514">
        <v>1.329977076259935</v>
      </c>
      <c r="AK27" s="514">
        <v>123.04615415287854</v>
      </c>
      <c r="AL27" s="510">
        <v>92.517499999999998</v>
      </c>
      <c r="AM27" s="516" t="s">
        <v>478</v>
      </c>
      <c r="AN27" s="514">
        <v>0</v>
      </c>
      <c r="AO27" s="514">
        <v>0</v>
      </c>
      <c r="AP27" s="510" t="s">
        <v>5310</v>
      </c>
      <c r="AQ27" s="516" t="s">
        <v>478</v>
      </c>
      <c r="AR27" s="514">
        <v>0.81793590189985965</v>
      </c>
      <c r="AS27" s="514">
        <v>75.673384804020273</v>
      </c>
      <c r="AT27" s="510">
        <v>92.517500000000013</v>
      </c>
      <c r="AU27" s="516" t="s">
        <v>478</v>
      </c>
      <c r="AV27" s="514">
        <v>1.329977076259935</v>
      </c>
      <c r="AW27" s="514">
        <v>123.04615415287854</v>
      </c>
      <c r="AX27" s="510">
        <v>92.517499999999998</v>
      </c>
    </row>
    <row r="28" spans="1:50" ht="18">
      <c r="A28" s="507" t="s">
        <v>5319</v>
      </c>
      <c r="B28" s="537"/>
      <c r="C28" s="538"/>
      <c r="D28" s="539"/>
      <c r="E28" s="539"/>
      <c r="F28" s="533" t="s">
        <v>498</v>
      </c>
      <c r="G28" s="516" t="str">
        <f>'FE - Aluminum'!K22</f>
        <v>--X--</v>
      </c>
      <c r="H28" s="514">
        <f>SUMIFS('FE - Aluminum'!$BI$11:$BI$54,'FE - Aluminum'!$C$11:$C$54,F28)/1000</f>
        <v>4.7761746730810577</v>
      </c>
      <c r="I28" s="514">
        <f>SUMIFS('FE - Aluminum'!$BJ$11:$BJ$54,'FE - Aluminum'!$C$11:$C$54,F28)/1000</f>
        <v>519.83362698470523</v>
      </c>
      <c r="J28" s="510">
        <f t="shared" si="1"/>
        <v>108.83890614690738</v>
      </c>
      <c r="K28" s="516">
        <v>0.43478260869565216</v>
      </c>
      <c r="L28" s="514">
        <v>2.9925032622877143</v>
      </c>
      <c r="M28" s="514">
        <v>238.89157944671885</v>
      </c>
      <c r="N28" s="510">
        <v>79.83001470952135</v>
      </c>
      <c r="O28" s="516">
        <v>0.43478260869565216</v>
      </c>
      <c r="P28" s="514">
        <v>2.9925032622877143</v>
      </c>
      <c r="Q28" s="514">
        <v>238.89157944671885</v>
      </c>
      <c r="R28" s="510">
        <v>79.83001470952135</v>
      </c>
      <c r="S28" s="516">
        <v>0.43478260869565216</v>
      </c>
      <c r="T28" s="514">
        <v>5.3734028078772642</v>
      </c>
      <c r="U28" s="514">
        <v>428.95882519302535</v>
      </c>
      <c r="V28" s="510">
        <v>79.83001470952135</v>
      </c>
      <c r="W28" s="516">
        <v>0.43478260869565216</v>
      </c>
      <c r="X28" s="514">
        <v>0</v>
      </c>
      <c r="Y28" s="514">
        <v>0</v>
      </c>
      <c r="Z28" s="510" t="s">
        <v>5310</v>
      </c>
      <c r="AA28" s="516">
        <v>0.43478260869565216</v>
      </c>
      <c r="AB28" s="514">
        <v>5.3734028078772642</v>
      </c>
      <c r="AC28" s="514">
        <v>428.95882519302535</v>
      </c>
      <c r="AD28" s="510">
        <v>79.83001470952135</v>
      </c>
      <c r="AE28" s="516">
        <v>0.43</v>
      </c>
      <c r="AF28" s="514">
        <v>2.3965724887428155</v>
      </c>
      <c r="AG28" s="514">
        <v>221.72489522726343</v>
      </c>
      <c r="AH28" s="510">
        <v>92.517499999999998</v>
      </c>
      <c r="AI28" s="516">
        <v>0.43</v>
      </c>
      <c r="AJ28" s="514">
        <v>3.8968658353541734</v>
      </c>
      <c r="AK28" s="514">
        <v>360.52828492237973</v>
      </c>
      <c r="AL28" s="510">
        <v>92.517499999999998</v>
      </c>
      <c r="AM28" s="516">
        <v>0.43</v>
      </c>
      <c r="AN28" s="514">
        <v>0</v>
      </c>
      <c r="AO28" s="514">
        <v>0</v>
      </c>
      <c r="AP28" s="510" t="s">
        <v>5310</v>
      </c>
      <c r="AQ28" s="516">
        <v>0.43</v>
      </c>
      <c r="AR28" s="514">
        <v>2.3965724887428155</v>
      </c>
      <c r="AS28" s="514">
        <v>221.72489522726343</v>
      </c>
      <c r="AT28" s="510">
        <v>92.517499999999998</v>
      </c>
      <c r="AU28" s="516">
        <v>0.43</v>
      </c>
      <c r="AV28" s="514">
        <v>3.8968658353541734</v>
      </c>
      <c r="AW28" s="514">
        <v>360.52828492237973</v>
      </c>
      <c r="AX28" s="510">
        <v>92.517499999999998</v>
      </c>
    </row>
    <row r="29" spans="1:50" ht="18">
      <c r="A29" s="507" t="s">
        <v>5319</v>
      </c>
      <c r="B29" s="537"/>
      <c r="C29" s="538"/>
      <c r="D29" s="539"/>
      <c r="E29" s="539"/>
      <c r="F29" s="533" t="s">
        <v>497</v>
      </c>
      <c r="G29" s="516" t="e">
        <f>'FE - Aluminum'!#REF!</f>
        <v>#REF!</v>
      </c>
      <c r="H29" s="514">
        <f>SUMIFS('FE - Aluminum'!$BI$11:$BI$54,'FE - Aluminum'!$C$11:$C$54,F29)/1000</f>
        <v>0</v>
      </c>
      <c r="I29" s="514">
        <f>SUMIFS('FE - Aluminum'!$BJ$11:$BJ$54,'FE - Aluminum'!$C$11:$C$54,F29)/1000</f>
        <v>0</v>
      </c>
      <c r="J29" s="510" t="str">
        <f t="shared" si="1"/>
        <v>ND</v>
      </c>
      <c r="K29" s="516">
        <v>0.56521739130434789</v>
      </c>
      <c r="L29" s="514">
        <v>3.8902542409740284</v>
      </c>
      <c r="M29" s="514">
        <v>310.55905328073453</v>
      </c>
      <c r="N29" s="510">
        <v>79.830014709521365</v>
      </c>
      <c r="O29" s="516">
        <v>0.56521739130434789</v>
      </c>
      <c r="P29" s="514">
        <v>3.8902542409740284</v>
      </c>
      <c r="Q29" s="514">
        <v>310.55905328073453</v>
      </c>
      <c r="R29" s="510">
        <v>79.830014709521365</v>
      </c>
      <c r="S29" s="516">
        <v>0.56521739130434789</v>
      </c>
      <c r="T29" s="514">
        <v>6.9854236502404436</v>
      </c>
      <c r="U29" s="514">
        <v>557.64647275093296</v>
      </c>
      <c r="V29" s="510">
        <v>79.83001470952135</v>
      </c>
      <c r="W29" s="516">
        <v>0.56521739130434789</v>
      </c>
      <c r="X29" s="514">
        <v>0</v>
      </c>
      <c r="Y29" s="514">
        <v>0</v>
      </c>
      <c r="Z29" s="510" t="s">
        <v>5310</v>
      </c>
      <c r="AA29" s="516">
        <v>0.56521739130434789</v>
      </c>
      <c r="AB29" s="514">
        <v>6.9854236502404436</v>
      </c>
      <c r="AC29" s="514">
        <v>557.64647275093296</v>
      </c>
      <c r="AD29" s="510">
        <v>79.83001470952135</v>
      </c>
      <c r="AE29" s="516">
        <v>0.57000000000000006</v>
      </c>
      <c r="AF29" s="514">
        <v>3.1155442353656597</v>
      </c>
      <c r="AG29" s="514">
        <v>288.24236379544243</v>
      </c>
      <c r="AH29" s="510">
        <v>92.517499999999998</v>
      </c>
      <c r="AI29" s="516">
        <v>0.57000000000000006</v>
      </c>
      <c r="AJ29" s="514">
        <v>5.0659255859604242</v>
      </c>
      <c r="AK29" s="514">
        <v>468.68677039909358</v>
      </c>
      <c r="AL29" s="510">
        <v>92.517500000000013</v>
      </c>
      <c r="AM29" s="516">
        <v>0.57000000000000006</v>
      </c>
      <c r="AN29" s="514">
        <v>0</v>
      </c>
      <c r="AO29" s="514">
        <v>0</v>
      </c>
      <c r="AP29" s="510" t="s">
        <v>5310</v>
      </c>
      <c r="AQ29" s="516">
        <v>0.57000000000000006</v>
      </c>
      <c r="AR29" s="514">
        <v>3.1155442353656597</v>
      </c>
      <c r="AS29" s="514">
        <v>288.24236379544243</v>
      </c>
      <c r="AT29" s="510">
        <v>92.517499999999998</v>
      </c>
      <c r="AU29" s="516">
        <v>0.57000000000000006</v>
      </c>
      <c r="AV29" s="514">
        <v>5.0659255859604242</v>
      </c>
      <c r="AW29" s="514">
        <v>468.68677039909358</v>
      </c>
      <c r="AX29" s="510">
        <v>92.517500000000013</v>
      </c>
    </row>
    <row r="30" spans="1:50" ht="18">
      <c r="A30" s="507" t="s">
        <v>5319</v>
      </c>
      <c r="B30" s="537"/>
      <c r="C30" s="538"/>
      <c r="D30" s="539"/>
      <c r="E30" s="539"/>
      <c r="F30" s="533" t="s">
        <v>105</v>
      </c>
      <c r="G30" s="516" t="str">
        <f>'FE - Aluminum'!M50</f>
        <v>--X--</v>
      </c>
      <c r="H30" s="514">
        <f>SUMIFS('FE - Aluminum'!$BI$11:$BI$54,'FE - Aluminum'!$C$11:$C$54,F30)/1000</f>
        <v>0</v>
      </c>
      <c r="I30" s="514">
        <f>SUMIFS('FE - Aluminum'!$BJ$11:$BJ$54,'FE - Aluminum'!$C$11:$C$54,F30)/1000</f>
        <v>0</v>
      </c>
      <c r="J30" s="510" t="str">
        <f t="shared" si="1"/>
        <v>ND</v>
      </c>
      <c r="K30" s="516" t="s">
        <v>478</v>
      </c>
      <c r="L30" s="514">
        <v>0</v>
      </c>
      <c r="M30" s="514">
        <v>0</v>
      </c>
      <c r="N30" s="510" t="s">
        <v>5310</v>
      </c>
      <c r="O30" s="516" t="s">
        <v>478</v>
      </c>
      <c r="P30" s="514">
        <v>0</v>
      </c>
      <c r="Q30" s="514">
        <v>0</v>
      </c>
      <c r="R30" s="510" t="s">
        <v>5310</v>
      </c>
      <c r="S30" s="516" t="s">
        <v>478</v>
      </c>
      <c r="T30" s="514">
        <v>0</v>
      </c>
      <c r="U30" s="514">
        <v>0</v>
      </c>
      <c r="V30" s="510" t="s">
        <v>5310</v>
      </c>
      <c r="W30" s="516" t="s">
        <v>478</v>
      </c>
      <c r="X30" s="514">
        <v>0</v>
      </c>
      <c r="Y30" s="514">
        <v>0</v>
      </c>
      <c r="Z30" s="510" t="s">
        <v>5310</v>
      </c>
      <c r="AA30" s="516" t="s">
        <v>478</v>
      </c>
      <c r="AB30" s="514">
        <v>0</v>
      </c>
      <c r="AC30" s="514">
        <v>0</v>
      </c>
      <c r="AD30" s="510" t="s">
        <v>5310</v>
      </c>
      <c r="AE30" s="516" t="s">
        <v>478</v>
      </c>
      <c r="AF30" s="514">
        <v>0</v>
      </c>
      <c r="AG30" s="514">
        <v>0</v>
      </c>
      <c r="AH30" s="510" t="s">
        <v>5310</v>
      </c>
      <c r="AI30" s="516" t="s">
        <v>478</v>
      </c>
      <c r="AJ30" s="514">
        <v>0</v>
      </c>
      <c r="AK30" s="514">
        <v>0</v>
      </c>
      <c r="AL30" s="510" t="s">
        <v>5310</v>
      </c>
      <c r="AM30" s="516" t="s">
        <v>478</v>
      </c>
      <c r="AN30" s="514">
        <v>0</v>
      </c>
      <c r="AO30" s="514">
        <v>0</v>
      </c>
      <c r="AP30" s="510" t="s">
        <v>5310</v>
      </c>
      <c r="AQ30" s="516" t="s">
        <v>478</v>
      </c>
      <c r="AR30" s="514">
        <v>0</v>
      </c>
      <c r="AS30" s="514">
        <v>0</v>
      </c>
      <c r="AT30" s="510" t="s">
        <v>5310</v>
      </c>
      <c r="AU30" s="516" t="s">
        <v>478</v>
      </c>
      <c r="AV30" s="514">
        <v>0</v>
      </c>
      <c r="AW30" s="514">
        <v>0</v>
      </c>
      <c r="AX30" s="510" t="s">
        <v>5310</v>
      </c>
    </row>
    <row r="31" spans="1:50" ht="18">
      <c r="A31" s="507" t="s">
        <v>5320</v>
      </c>
      <c r="B31" s="538">
        <v>13</v>
      </c>
      <c r="C31" s="538">
        <f>SUM(AF31:AF32)/3.6</f>
        <v>10.965191219711588</v>
      </c>
      <c r="D31" s="539">
        <f>(H31+H32)/3.6</f>
        <v>9.3947604000000009</v>
      </c>
      <c r="E31" s="539">
        <f>SUM(L31:L32)/3.6</f>
        <v>8.912924544309007</v>
      </c>
      <c r="F31" s="532" t="s">
        <v>5197</v>
      </c>
      <c r="G31" s="513">
        <f>'FE - Aluminum'!L26</f>
        <v>0.67400000000000004</v>
      </c>
      <c r="H31" s="514">
        <f>SUMIFS('FE - Aluminum'!$BI$11:$BI$54,'FE - Aluminum'!$C$11:$C$54,F31)/1000</f>
        <v>22.243007764800005</v>
      </c>
      <c r="I31" s="514">
        <f>SUMIFS('FE - Aluminum'!$BJ$11:$BJ$54,'FE - Aluminum'!$C$11:$C$54,F31)/1000</f>
        <v>857.02561224552039</v>
      </c>
      <c r="J31" s="509">
        <f t="shared" si="1"/>
        <v>38.53011343195142</v>
      </c>
      <c r="K31" s="513">
        <v>0.77112999999999998</v>
      </c>
      <c r="L31" s="514">
        <v>24.914689959025765</v>
      </c>
      <c r="M31" s="514">
        <v>715.7373480917181</v>
      </c>
      <c r="N31" s="509">
        <v>28.727523772874815</v>
      </c>
      <c r="O31" s="513">
        <v>0.77112999999999998</v>
      </c>
      <c r="P31" s="514">
        <v>24.914689959025765</v>
      </c>
      <c r="Q31" s="514">
        <v>715.7373480917181</v>
      </c>
      <c r="R31" s="509">
        <v>28.727523772874815</v>
      </c>
      <c r="S31" s="513">
        <v>0.77112999999999998</v>
      </c>
      <c r="T31" s="514">
        <v>44.737349720004751</v>
      </c>
      <c r="U31" s="514">
        <v>1285.193277616851</v>
      </c>
      <c r="V31" s="509">
        <v>28.727523772874818</v>
      </c>
      <c r="W31" s="513">
        <v>0.77112999999999998</v>
      </c>
      <c r="X31" s="514">
        <v>0</v>
      </c>
      <c r="Y31" s="514">
        <v>0</v>
      </c>
      <c r="Z31" s="509" t="s">
        <v>5310</v>
      </c>
      <c r="AA31" s="513">
        <v>0.77112999999999998</v>
      </c>
      <c r="AB31" s="514">
        <v>44.737349720004751</v>
      </c>
      <c r="AC31" s="514">
        <v>1285.193277616851</v>
      </c>
      <c r="AD31" s="509">
        <v>28.727523772874818</v>
      </c>
      <c r="AE31" s="513">
        <v>0.72319817909999995</v>
      </c>
      <c r="AF31" s="514">
        <v>28.788112977222028</v>
      </c>
      <c r="AG31" s="514">
        <v>826.93250380724032</v>
      </c>
      <c r="AH31" s="509">
        <v>28.72479014034483</v>
      </c>
      <c r="AI31" s="513">
        <v>0.72319817909999995</v>
      </c>
      <c r="AJ31" s="514">
        <v>46.809939800361015</v>
      </c>
      <c r="AK31" s="514">
        <v>1344.6056972475453</v>
      </c>
      <c r="AL31" s="509">
        <v>28.724790140344833</v>
      </c>
      <c r="AM31" s="513">
        <v>0.72319817909999995</v>
      </c>
      <c r="AN31" s="514">
        <v>0</v>
      </c>
      <c r="AO31" s="514">
        <v>0</v>
      </c>
      <c r="AP31" s="509" t="s">
        <v>5310</v>
      </c>
      <c r="AQ31" s="513">
        <v>0.72319817909999995</v>
      </c>
      <c r="AR31" s="514">
        <v>28.788112977222028</v>
      </c>
      <c r="AS31" s="514">
        <v>826.93250380724032</v>
      </c>
      <c r="AT31" s="509">
        <v>28.72479014034483</v>
      </c>
      <c r="AU31" s="513">
        <v>0.72319817909999995</v>
      </c>
      <c r="AV31" s="514">
        <v>46.809939800361015</v>
      </c>
      <c r="AW31" s="514">
        <v>1344.6056972475453</v>
      </c>
      <c r="AX31" s="509">
        <v>28.724790140344833</v>
      </c>
    </row>
    <row r="32" spans="1:50" ht="18">
      <c r="A32" s="507" t="s">
        <v>5320</v>
      </c>
      <c r="B32" s="537"/>
      <c r="C32" s="538"/>
      <c r="D32" s="539"/>
      <c r="E32" s="539"/>
      <c r="F32" s="532" t="s">
        <v>5198</v>
      </c>
      <c r="G32" s="513">
        <f>'FE - Aluminum'!L27</f>
        <v>0.32599999999999996</v>
      </c>
      <c r="H32" s="514">
        <f>SUMIFS('FE - Aluminum'!$BI$11:$BI$54,'FE - Aluminum'!$C$11:$C$54,F32)/1000</f>
        <v>11.5781296752</v>
      </c>
      <c r="I32" s="514">
        <f>SUMIFS('FE - Aluminum'!$BJ$11:$BJ$54,'FE - Aluminum'!$C$11:$C$54,F32)/1000</f>
        <v>446.10664971529877</v>
      </c>
      <c r="J32" s="510">
        <f t="shared" si="1"/>
        <v>38.530113431951413</v>
      </c>
      <c r="K32" s="513">
        <v>0.22887000000000002</v>
      </c>
      <c r="L32" s="514">
        <v>7.1718384004866662</v>
      </c>
      <c r="M32" s="514">
        <v>206.01518402955372</v>
      </c>
      <c r="N32" s="510">
        <v>28.725575302362355</v>
      </c>
      <c r="O32" s="513">
        <v>0.22887000000000002</v>
      </c>
      <c r="P32" s="514">
        <v>7.1718384004866662</v>
      </c>
      <c r="Q32" s="514">
        <v>206.01518402955372</v>
      </c>
      <c r="R32" s="510">
        <v>28.725575302362355</v>
      </c>
      <c r="S32" s="513">
        <v>0.22887000000000002</v>
      </c>
      <c r="T32" s="514">
        <v>12.877906294864349</v>
      </c>
      <c r="U32" s="514">
        <v>369.92526700989202</v>
      </c>
      <c r="V32" s="510">
        <v>28.725575302362351</v>
      </c>
      <c r="W32" s="513">
        <v>0.22887000000000002</v>
      </c>
      <c r="X32" s="514">
        <v>0</v>
      </c>
      <c r="Y32" s="514">
        <v>0</v>
      </c>
      <c r="Z32" s="510" t="s">
        <v>5310</v>
      </c>
      <c r="AA32" s="513">
        <v>0.22887000000000002</v>
      </c>
      <c r="AB32" s="514">
        <v>12.877906294864349</v>
      </c>
      <c r="AC32" s="514">
        <v>369.92526700989202</v>
      </c>
      <c r="AD32" s="510">
        <v>28.725575302362351</v>
      </c>
      <c r="AE32" s="513">
        <v>0.27680182090000005</v>
      </c>
      <c r="AF32" s="514">
        <v>10.686575413739691</v>
      </c>
      <c r="AG32" s="514">
        <v>306.95088166836081</v>
      </c>
      <c r="AH32" s="510">
        <v>28.72303518989958</v>
      </c>
      <c r="AI32" s="513">
        <v>0.27680182090000005</v>
      </c>
      <c r="AJ32" s="514">
        <v>17.376545388194614</v>
      </c>
      <c r="AK32" s="514">
        <v>499.10712466400116</v>
      </c>
      <c r="AL32" s="510">
        <v>28.72303518989958</v>
      </c>
      <c r="AM32" s="513">
        <v>0.27680182090000005</v>
      </c>
      <c r="AN32" s="514">
        <v>0</v>
      </c>
      <c r="AO32" s="514">
        <v>0</v>
      </c>
      <c r="AP32" s="510" t="s">
        <v>5310</v>
      </c>
      <c r="AQ32" s="513">
        <v>0.27680182090000005</v>
      </c>
      <c r="AR32" s="514">
        <v>10.686575413739691</v>
      </c>
      <c r="AS32" s="514">
        <v>306.95088166836081</v>
      </c>
      <c r="AT32" s="510">
        <v>28.72303518989958</v>
      </c>
      <c r="AU32" s="513">
        <v>0.27680182090000005</v>
      </c>
      <c r="AV32" s="514">
        <v>17.376545388194614</v>
      </c>
      <c r="AW32" s="514">
        <v>499.10712466400116</v>
      </c>
      <c r="AX32" s="510">
        <v>28.72303518989958</v>
      </c>
    </row>
    <row r="33" spans="1:50" ht="18">
      <c r="A33" s="507" t="s">
        <v>5321</v>
      </c>
      <c r="B33" s="537">
        <v>1.04</v>
      </c>
      <c r="C33" s="538">
        <f>SUM(AF33:AF39)/3.6</f>
        <v>3.4103282123095604</v>
      </c>
      <c r="D33" s="539">
        <f>SUM(H33:H39)/3.6</f>
        <v>2.1276221095551731</v>
      </c>
      <c r="E33" s="539">
        <f>SUM(L33:L39)/3.6</f>
        <v>3.8823997317662688</v>
      </c>
      <c r="F33" s="532" t="s">
        <v>522</v>
      </c>
      <c r="G33" s="516">
        <f>'FE - Aluminum'!N40</f>
        <v>0.4</v>
      </c>
      <c r="H33" s="514">
        <f>SUMIFS('FE - Aluminum'!$BI$11:$BI$54,'FE - Aluminum'!$C$11:$C$54,F33)/1000</f>
        <v>0</v>
      </c>
      <c r="I33" s="514">
        <f>SUMIFS('FE - Aluminum'!$BJ$11:$BJ$54,'FE - Aluminum'!$C$11:$C$54,F33)/1000</f>
        <v>0</v>
      </c>
      <c r="J33" s="509" t="str">
        <f t="shared" si="1"/>
        <v>ND</v>
      </c>
      <c r="K33" s="516">
        <v>0.32</v>
      </c>
      <c r="L33" s="514">
        <v>0.83868760773307716</v>
      </c>
      <c r="M33" s="514">
        <v>37.209052828930439</v>
      </c>
      <c r="N33" s="509">
        <v>44.365807346914664</v>
      </c>
      <c r="O33" s="516">
        <v>0</v>
      </c>
      <c r="P33" s="514">
        <v>0</v>
      </c>
      <c r="Q33" s="514">
        <v>0</v>
      </c>
      <c r="R33" s="509" t="s">
        <v>5310</v>
      </c>
      <c r="S33" s="516">
        <v>0</v>
      </c>
      <c r="T33" s="514">
        <v>0</v>
      </c>
      <c r="U33" s="514">
        <v>0</v>
      </c>
      <c r="V33" s="509" t="s">
        <v>5310</v>
      </c>
      <c r="W33" s="516">
        <v>0.32</v>
      </c>
      <c r="X33" s="514">
        <v>0.83868760773307716</v>
      </c>
      <c r="Y33" s="514">
        <v>37.209052828930439</v>
      </c>
      <c r="Z33" s="509">
        <v>44.365807346914664</v>
      </c>
      <c r="AA33" s="516">
        <v>0.32</v>
      </c>
      <c r="AB33" s="514">
        <v>0.83868760773307716</v>
      </c>
      <c r="AC33" s="514">
        <v>37.209052828930439</v>
      </c>
      <c r="AD33" s="509">
        <v>44.365807346914664</v>
      </c>
      <c r="AE33" s="516">
        <v>0.32</v>
      </c>
      <c r="AF33" s="514">
        <v>0.83868760773307716</v>
      </c>
      <c r="AG33" s="514">
        <v>37.209052828930439</v>
      </c>
      <c r="AH33" s="509">
        <v>44.365807346914664</v>
      </c>
      <c r="AI33" s="516">
        <v>0.32</v>
      </c>
      <c r="AJ33" s="514">
        <v>0.83868760773307716</v>
      </c>
      <c r="AK33" s="514">
        <v>37.209052828930439</v>
      </c>
      <c r="AL33" s="509">
        <v>44.365807346914664</v>
      </c>
      <c r="AM33" s="516">
        <v>0.32</v>
      </c>
      <c r="AN33" s="514">
        <v>0.83868760773307716</v>
      </c>
      <c r="AO33" s="514">
        <v>37.209052828930439</v>
      </c>
      <c r="AP33" s="509">
        <v>44.365807346914664</v>
      </c>
      <c r="AQ33" s="516">
        <v>0</v>
      </c>
      <c r="AR33" s="514">
        <v>0</v>
      </c>
      <c r="AS33" s="514">
        <v>0</v>
      </c>
      <c r="AT33" s="509" t="s">
        <v>5310</v>
      </c>
      <c r="AU33" s="516">
        <v>0</v>
      </c>
      <c r="AV33" s="514">
        <v>0</v>
      </c>
      <c r="AW33" s="514">
        <v>0</v>
      </c>
      <c r="AX33" s="509" t="s">
        <v>5310</v>
      </c>
    </row>
    <row r="34" spans="1:50" ht="18">
      <c r="A34" s="507" t="s">
        <v>5321</v>
      </c>
      <c r="B34" s="537"/>
      <c r="C34" s="538"/>
      <c r="D34" s="539"/>
      <c r="E34" s="539"/>
      <c r="F34" s="532" t="s">
        <v>523</v>
      </c>
      <c r="G34" s="516" t="e">
        <f>'FE - Aluminum'!#REF!</f>
        <v>#REF!</v>
      </c>
      <c r="H34" s="514">
        <f>SUMIFS('FE - Aluminum'!$BI$11:$BI$54,'FE - Aluminum'!$C$11:$C$54,F34)/1000</f>
        <v>0</v>
      </c>
      <c r="I34" s="514">
        <f>SUMIFS('FE - Aluminum'!$BJ$11:$BJ$54,'FE - Aluminum'!$C$11:$C$54,F34)/1000</f>
        <v>0</v>
      </c>
      <c r="J34" s="510" t="str">
        <f t="shared" si="1"/>
        <v>ND</v>
      </c>
      <c r="K34" s="516">
        <v>0.67999999999999994</v>
      </c>
      <c r="L34" s="514">
        <v>0.7688755782117257</v>
      </c>
      <c r="M34" s="514">
        <v>31.888299454879768</v>
      </c>
      <c r="N34" s="510">
        <v>41.473939813573672</v>
      </c>
      <c r="O34" s="516">
        <v>0</v>
      </c>
      <c r="P34" s="514">
        <v>0</v>
      </c>
      <c r="Q34" s="514">
        <v>0</v>
      </c>
      <c r="R34" s="510" t="s">
        <v>5310</v>
      </c>
      <c r="S34" s="516">
        <v>0</v>
      </c>
      <c r="T34" s="514">
        <v>0</v>
      </c>
      <c r="U34" s="514">
        <v>0</v>
      </c>
      <c r="V34" s="510" t="s">
        <v>5310</v>
      </c>
      <c r="W34" s="516">
        <v>0.67999999999999994</v>
      </c>
      <c r="X34" s="514">
        <v>0.7688755782117257</v>
      </c>
      <c r="Y34" s="514">
        <v>31.888299454879768</v>
      </c>
      <c r="Z34" s="510">
        <v>41.473939813573672</v>
      </c>
      <c r="AA34" s="516">
        <v>0.67999999999999994</v>
      </c>
      <c r="AB34" s="514">
        <v>0.7688755782117257</v>
      </c>
      <c r="AC34" s="514">
        <v>31.888299454879768</v>
      </c>
      <c r="AD34" s="510">
        <v>41.473939813573672</v>
      </c>
      <c r="AE34" s="516">
        <v>0.67999999999999994</v>
      </c>
      <c r="AF34" s="514">
        <v>0.7688755782117257</v>
      </c>
      <c r="AG34" s="514">
        <v>31.888299454879768</v>
      </c>
      <c r="AH34" s="510">
        <v>41.473939813573672</v>
      </c>
      <c r="AI34" s="516">
        <v>0.67999999999999994</v>
      </c>
      <c r="AJ34" s="514">
        <v>0.7688755782117257</v>
      </c>
      <c r="AK34" s="514">
        <v>31.888299454879768</v>
      </c>
      <c r="AL34" s="510">
        <v>41.473939813573672</v>
      </c>
      <c r="AM34" s="516">
        <v>0.67999999999999994</v>
      </c>
      <c r="AN34" s="514">
        <v>0.7688755782117257</v>
      </c>
      <c r="AO34" s="514">
        <v>31.888299454879768</v>
      </c>
      <c r="AP34" s="510">
        <v>41.473939813573672</v>
      </c>
      <c r="AQ34" s="516">
        <v>0</v>
      </c>
      <c r="AR34" s="514">
        <v>0</v>
      </c>
      <c r="AS34" s="514">
        <v>0</v>
      </c>
      <c r="AT34" s="510" t="s">
        <v>5310</v>
      </c>
      <c r="AU34" s="516">
        <v>0</v>
      </c>
      <c r="AV34" s="514">
        <v>0</v>
      </c>
      <c r="AW34" s="514">
        <v>0</v>
      </c>
      <c r="AX34" s="510" t="s">
        <v>5310</v>
      </c>
    </row>
    <row r="35" spans="1:50" ht="18">
      <c r="A35" s="507" t="s">
        <v>5321</v>
      </c>
      <c r="B35" s="537"/>
      <c r="C35" s="538"/>
      <c r="D35" s="539"/>
      <c r="E35" s="539"/>
      <c r="F35" s="535" t="s">
        <v>5317</v>
      </c>
      <c r="G35" s="516">
        <f>'FE - Aluminum'!O45</f>
        <v>0.6</v>
      </c>
      <c r="H35" s="514">
        <f>SUMIFS('FE - Aluminum'!$BI$11:$BI$54,'FE - Aluminum'!$C$11:$C$54,F35)/1000</f>
        <v>0</v>
      </c>
      <c r="I35" s="514">
        <f>SUMIFS('FE - Aluminum'!$BJ$11:$BJ$54,'FE - Aluminum'!$C$11:$C$54,F35)/1000</f>
        <v>0</v>
      </c>
      <c r="J35" s="510" t="str">
        <f t="shared" si="1"/>
        <v>ND</v>
      </c>
      <c r="K35" s="516">
        <v>1</v>
      </c>
      <c r="L35" s="514">
        <v>0</v>
      </c>
      <c r="M35" s="514">
        <v>0</v>
      </c>
      <c r="N35" s="510" t="s">
        <v>5310</v>
      </c>
      <c r="O35" s="516">
        <v>0</v>
      </c>
      <c r="P35" s="514">
        <v>0</v>
      </c>
      <c r="Q35" s="514">
        <v>0</v>
      </c>
      <c r="R35" s="510" t="s">
        <v>5310</v>
      </c>
      <c r="S35" s="516">
        <v>0</v>
      </c>
      <c r="T35" s="514">
        <v>0</v>
      </c>
      <c r="U35" s="514">
        <v>0</v>
      </c>
      <c r="V35" s="510" t="s">
        <v>5310</v>
      </c>
      <c r="W35" s="516">
        <v>1</v>
      </c>
      <c r="X35" s="514">
        <v>0</v>
      </c>
      <c r="Y35" s="514">
        <v>0</v>
      </c>
      <c r="Z35" s="510" t="s">
        <v>5310</v>
      </c>
      <c r="AA35" s="516">
        <v>1</v>
      </c>
      <c r="AB35" s="514">
        <v>0</v>
      </c>
      <c r="AC35" s="514">
        <v>0</v>
      </c>
      <c r="AD35" s="510" t="s">
        <v>5310</v>
      </c>
      <c r="AE35" s="516">
        <v>1</v>
      </c>
      <c r="AF35" s="514">
        <v>0</v>
      </c>
      <c r="AG35" s="514">
        <v>0</v>
      </c>
      <c r="AH35" s="510" t="s">
        <v>5310</v>
      </c>
      <c r="AI35" s="516">
        <v>1</v>
      </c>
      <c r="AJ35" s="514">
        <v>0</v>
      </c>
      <c r="AK35" s="514">
        <v>0</v>
      </c>
      <c r="AL35" s="510" t="s">
        <v>5310</v>
      </c>
      <c r="AM35" s="516">
        <v>1</v>
      </c>
      <c r="AN35" s="514">
        <v>0</v>
      </c>
      <c r="AO35" s="514">
        <v>0</v>
      </c>
      <c r="AP35" s="510" t="s">
        <v>5310</v>
      </c>
      <c r="AQ35" s="516">
        <v>0</v>
      </c>
      <c r="AR35" s="514">
        <v>0</v>
      </c>
      <c r="AS35" s="514">
        <v>0</v>
      </c>
      <c r="AT35" s="510" t="s">
        <v>5310</v>
      </c>
      <c r="AU35" s="516">
        <v>0</v>
      </c>
      <c r="AV35" s="514">
        <v>0</v>
      </c>
      <c r="AW35" s="514">
        <v>0</v>
      </c>
      <c r="AX35" s="510" t="s">
        <v>5310</v>
      </c>
    </row>
    <row r="36" spans="1:50" ht="18">
      <c r="A36" s="507" t="s">
        <v>5321</v>
      </c>
      <c r="B36" s="537"/>
      <c r="C36" s="538"/>
      <c r="D36" s="539"/>
      <c r="E36" s="539"/>
      <c r="F36" s="533" t="s">
        <v>5258</v>
      </c>
      <c r="G36" s="516">
        <f>'FE - Aluminum'!O41</f>
        <v>0.26500000000000001</v>
      </c>
      <c r="H36" s="514">
        <f>SUMIFS('FE - Aluminum'!$BI$11:$BI$54,'FE - Aluminum'!$C$11:$C$54,F36)/1000</f>
        <v>1.0287233749999984</v>
      </c>
      <c r="I36" s="514">
        <f>SUMIFS('FE - Aluminum'!$BJ$11:$BJ$54,'FE - Aluminum'!$C$11:$C$54,F36)/1000</f>
        <v>60.615047060756488</v>
      </c>
      <c r="J36" s="510">
        <f t="shared" si="1"/>
        <v>58.922591372784332</v>
      </c>
      <c r="K36" s="516">
        <v>0.73945692813913999</v>
      </c>
      <c r="L36" s="514">
        <v>2.6147800375853349</v>
      </c>
      <c r="M36" s="514">
        <v>90.196324573903155</v>
      </c>
      <c r="N36" s="510">
        <v>34.494803875432886</v>
      </c>
      <c r="O36" s="516">
        <v>0</v>
      </c>
      <c r="P36" s="514">
        <v>0</v>
      </c>
      <c r="Q36" s="514">
        <v>0</v>
      </c>
      <c r="R36" s="510" t="s">
        <v>5310</v>
      </c>
      <c r="S36" s="516">
        <v>0</v>
      </c>
      <c r="T36" s="514">
        <v>0</v>
      </c>
      <c r="U36" s="514">
        <v>0</v>
      </c>
      <c r="V36" s="510" t="s">
        <v>5310</v>
      </c>
      <c r="W36" s="516">
        <v>0.73945692813913999</v>
      </c>
      <c r="X36" s="514">
        <v>2.6147800375853349</v>
      </c>
      <c r="Y36" s="514">
        <v>90.196324573903155</v>
      </c>
      <c r="Z36" s="510">
        <v>34.494803875432886</v>
      </c>
      <c r="AA36" s="516">
        <v>0.73945692813913999</v>
      </c>
      <c r="AB36" s="514">
        <v>2.6147800375853349</v>
      </c>
      <c r="AC36" s="514">
        <v>90.196324573903155</v>
      </c>
      <c r="AD36" s="510">
        <v>34.494803875432886</v>
      </c>
      <c r="AE36" s="516">
        <v>0.74</v>
      </c>
      <c r="AF36" s="514">
        <v>2.6167003839999996</v>
      </c>
      <c r="AG36" s="514">
        <v>90.262566546849911</v>
      </c>
      <c r="AH36" s="510">
        <v>34.494803875432886</v>
      </c>
      <c r="AI36" s="516">
        <v>0.74</v>
      </c>
      <c r="AJ36" s="514">
        <v>2.6167003839999996</v>
      </c>
      <c r="AK36" s="514">
        <v>90.262566546849911</v>
      </c>
      <c r="AL36" s="510">
        <v>34.494803875432886</v>
      </c>
      <c r="AM36" s="516">
        <v>0.74</v>
      </c>
      <c r="AN36" s="514">
        <v>2.6167003839999996</v>
      </c>
      <c r="AO36" s="514">
        <v>90.262566546849911</v>
      </c>
      <c r="AP36" s="510">
        <v>34.494803875432886</v>
      </c>
      <c r="AQ36" s="516">
        <v>0</v>
      </c>
      <c r="AR36" s="514">
        <v>0</v>
      </c>
      <c r="AS36" s="514">
        <v>0</v>
      </c>
      <c r="AT36" s="510" t="s">
        <v>5310</v>
      </c>
      <c r="AU36" s="516">
        <v>0</v>
      </c>
      <c r="AV36" s="514">
        <v>0</v>
      </c>
      <c r="AW36" s="514">
        <v>0</v>
      </c>
      <c r="AX36" s="510" t="s">
        <v>5310</v>
      </c>
    </row>
    <row r="37" spans="1:50" ht="18">
      <c r="A37" s="507" t="s">
        <v>5321</v>
      </c>
      <c r="B37" s="537"/>
      <c r="C37" s="538"/>
      <c r="D37" s="539"/>
      <c r="E37" s="539"/>
      <c r="F37" s="533" t="s">
        <v>5272</v>
      </c>
      <c r="G37" s="516">
        <f>'FE - Aluminum'!O42</f>
        <v>0.13500000000000001</v>
      </c>
      <c r="H37" s="514">
        <f>SUMIFS('FE - Aluminum'!$BI$11:$BI$54,'FE - Aluminum'!$C$11:$C$54,F37)/1000</f>
        <v>0.92209252499999972</v>
      </c>
      <c r="I37" s="514">
        <f>SUMIFS('FE - Aluminum'!$BJ$11:$BJ$54,'FE - Aluminum'!$C$11:$C$54,F37)/1000</f>
        <v>54.332081058473896</v>
      </c>
      <c r="J37" s="510">
        <f t="shared" si="1"/>
        <v>58.922591372784325</v>
      </c>
      <c r="K37" s="516">
        <v>0.26054307186086001</v>
      </c>
      <c r="L37" s="514">
        <v>0.33612557483540795</v>
      </c>
      <c r="M37" s="514">
        <v>9.6468039977762086</v>
      </c>
      <c r="N37" s="510">
        <v>28.700000000000003</v>
      </c>
      <c r="O37" s="516">
        <v>0</v>
      </c>
      <c r="P37" s="514">
        <v>0</v>
      </c>
      <c r="Q37" s="514">
        <v>0</v>
      </c>
      <c r="R37" s="510" t="s">
        <v>5310</v>
      </c>
      <c r="S37" s="516">
        <v>0</v>
      </c>
      <c r="T37" s="514">
        <v>0</v>
      </c>
      <c r="U37" s="514">
        <v>0</v>
      </c>
      <c r="V37" s="510" t="s">
        <v>5310</v>
      </c>
      <c r="W37" s="516">
        <v>0.26054307186086001</v>
      </c>
      <c r="X37" s="514">
        <v>0.33612557483540795</v>
      </c>
      <c r="Y37" s="514">
        <v>9.6468039977762086</v>
      </c>
      <c r="Z37" s="510">
        <v>28.700000000000003</v>
      </c>
      <c r="AA37" s="516">
        <v>0.26054307186086001</v>
      </c>
      <c r="AB37" s="514">
        <v>0.33612557483540795</v>
      </c>
      <c r="AC37" s="514">
        <v>9.6468039977762086</v>
      </c>
      <c r="AD37" s="510">
        <v>28.700000000000003</v>
      </c>
      <c r="AE37" s="516">
        <v>0.26</v>
      </c>
      <c r="AF37" s="514">
        <v>0.33542495999999994</v>
      </c>
      <c r="AG37" s="514">
        <v>9.6266963519999997</v>
      </c>
      <c r="AH37" s="510">
        <v>28.700000000000003</v>
      </c>
      <c r="AI37" s="516">
        <v>0.26</v>
      </c>
      <c r="AJ37" s="514">
        <v>0.33542495999999994</v>
      </c>
      <c r="AK37" s="514">
        <v>9.6266963519999997</v>
      </c>
      <c r="AL37" s="510">
        <v>28.700000000000003</v>
      </c>
      <c r="AM37" s="516">
        <v>0.26</v>
      </c>
      <c r="AN37" s="514">
        <v>0.33542495999999994</v>
      </c>
      <c r="AO37" s="514">
        <v>9.6266963519999997</v>
      </c>
      <c r="AP37" s="510">
        <v>28.700000000000003</v>
      </c>
      <c r="AQ37" s="516">
        <v>0</v>
      </c>
      <c r="AR37" s="514">
        <v>0</v>
      </c>
      <c r="AS37" s="514">
        <v>0</v>
      </c>
      <c r="AT37" s="510" t="s">
        <v>5310</v>
      </c>
      <c r="AU37" s="516">
        <v>0</v>
      </c>
      <c r="AV37" s="514">
        <v>0</v>
      </c>
      <c r="AW37" s="514">
        <v>0</v>
      </c>
      <c r="AX37" s="510" t="s">
        <v>5310</v>
      </c>
    </row>
    <row r="38" spans="1:50" ht="18">
      <c r="A38" s="507" t="s">
        <v>5321</v>
      </c>
      <c r="B38" s="537"/>
      <c r="C38" s="538"/>
      <c r="D38" s="539"/>
      <c r="E38" s="539"/>
      <c r="F38" s="533" t="s">
        <v>5</v>
      </c>
      <c r="G38" s="516" t="str">
        <f>'FE - Aluminum'!M51</f>
        <v>--X--</v>
      </c>
      <c r="H38" s="514">
        <f>SUMIFS('FE - Aluminum'!$BI$11:$BI$54,'FE - Aluminum'!$C$11:$C$54,F38)/1000</f>
        <v>3.2840564943986252</v>
      </c>
      <c r="I38" s="514">
        <f>SUMIFS('FE - Aluminum'!$BJ$11:$BJ$54,'FE - Aluminum'!$C$11:$C$54,F38)/1000</f>
        <v>357.43311657499356</v>
      </c>
      <c r="J38" s="510">
        <f t="shared" si="1"/>
        <v>108.83890614690736</v>
      </c>
      <c r="K38" s="516" t="s">
        <v>478</v>
      </c>
      <c r="L38" s="514">
        <v>6.8480726241050229</v>
      </c>
      <c r="M38" s="514">
        <v>534.08357513703982</v>
      </c>
      <c r="N38" s="510">
        <v>77.990349176070453</v>
      </c>
      <c r="O38" s="516" t="s">
        <v>478</v>
      </c>
      <c r="P38" s="514">
        <v>6.8480726241050229</v>
      </c>
      <c r="Q38" s="514">
        <v>534.08357513703982</v>
      </c>
      <c r="R38" s="510">
        <v>77.990349176070453</v>
      </c>
      <c r="S38" s="516" t="s">
        <v>478</v>
      </c>
      <c r="T38" s="514">
        <v>12.296545547884346</v>
      </c>
      <c r="U38" s="514">
        <v>959.01188093895439</v>
      </c>
      <c r="V38" s="510">
        <v>77.990349176070424</v>
      </c>
      <c r="W38" s="516" t="s">
        <v>478</v>
      </c>
      <c r="X38" s="514">
        <v>0</v>
      </c>
      <c r="Y38" s="514">
        <v>0</v>
      </c>
      <c r="Z38" s="510" t="s">
        <v>5310</v>
      </c>
      <c r="AA38" s="516" t="s">
        <v>478</v>
      </c>
      <c r="AB38" s="514">
        <v>12.296545547884346</v>
      </c>
      <c r="AC38" s="514">
        <v>959.01188093895439</v>
      </c>
      <c r="AD38" s="510">
        <v>77.990349176070424</v>
      </c>
      <c r="AE38" s="516" t="s">
        <v>478</v>
      </c>
      <c r="AF38" s="514">
        <v>5.484339034369615</v>
      </c>
      <c r="AG38" s="514">
        <v>507.39733661229087</v>
      </c>
      <c r="AH38" s="510">
        <v>92.517499999999998</v>
      </c>
      <c r="AI38" s="516" t="s">
        <v>478</v>
      </c>
      <c r="AJ38" s="514">
        <v>8.9176244461294552</v>
      </c>
      <c r="AK38" s="514">
        <v>825.03631969478192</v>
      </c>
      <c r="AL38" s="510">
        <v>92.517500000000013</v>
      </c>
      <c r="AM38" s="516" t="s">
        <v>478</v>
      </c>
      <c r="AN38" s="514">
        <v>0</v>
      </c>
      <c r="AO38" s="514">
        <v>0</v>
      </c>
      <c r="AP38" s="510" t="s">
        <v>5310</v>
      </c>
      <c r="AQ38" s="516" t="s">
        <v>478</v>
      </c>
      <c r="AR38" s="514">
        <v>5.484339034369615</v>
      </c>
      <c r="AS38" s="514">
        <v>507.39733661229087</v>
      </c>
      <c r="AT38" s="510">
        <v>92.517499999999998</v>
      </c>
      <c r="AU38" s="516" t="s">
        <v>478</v>
      </c>
      <c r="AV38" s="514">
        <v>8.9176244461294552</v>
      </c>
      <c r="AW38" s="514">
        <v>825.03631969478192</v>
      </c>
      <c r="AX38" s="510">
        <v>92.517500000000013</v>
      </c>
    </row>
    <row r="39" spans="1:50" ht="18">
      <c r="A39" s="507" t="s">
        <v>5321</v>
      </c>
      <c r="B39" s="537"/>
      <c r="C39" s="538"/>
      <c r="D39" s="539"/>
      <c r="E39" s="539"/>
      <c r="F39" s="533" t="s">
        <v>521</v>
      </c>
      <c r="G39" s="516" t="str">
        <f>'FE - Aluminum'!M52</f>
        <v>--X--</v>
      </c>
      <c r="H39" s="514">
        <f>SUMIFS('FE - Aluminum'!$BI$11:$BI$54,'FE - Aluminum'!$C$11:$C$54,F39)/1000</f>
        <v>2.4245671999999998</v>
      </c>
      <c r="I39" s="514">
        <f>SUMIFS('FE - Aluminum'!$BJ$11:$BJ$54,'FE - Aluminum'!$C$11:$C$54,F39)/1000</f>
        <v>343.08598331920001</v>
      </c>
      <c r="J39" s="510">
        <f t="shared" si="1"/>
        <v>141.50401082683953</v>
      </c>
      <c r="K39" s="516" t="s">
        <v>478</v>
      </c>
      <c r="L39" s="514">
        <v>2.5700976118879999</v>
      </c>
      <c r="M39" s="514">
        <v>77.658776753789638</v>
      </c>
      <c r="N39" s="510">
        <v>30.216275208606305</v>
      </c>
      <c r="O39" s="516" t="s">
        <v>478</v>
      </c>
      <c r="P39" s="514">
        <v>2.5700976118879999</v>
      </c>
      <c r="Q39" s="514">
        <v>77.658776753789638</v>
      </c>
      <c r="R39" s="510">
        <v>30.216275208606305</v>
      </c>
      <c r="S39" s="516" t="s">
        <v>478</v>
      </c>
      <c r="T39" s="514">
        <v>0</v>
      </c>
      <c r="U39" s="514">
        <v>0</v>
      </c>
      <c r="V39" s="510" t="s">
        <v>5310</v>
      </c>
      <c r="W39" s="516" t="s">
        <v>478</v>
      </c>
      <c r="X39" s="514">
        <v>5.8003999999999998</v>
      </c>
      <c r="Y39" s="514">
        <v>175.26648272</v>
      </c>
      <c r="Z39" s="510">
        <v>30.216275208606305</v>
      </c>
      <c r="AA39" s="516" t="s">
        <v>478</v>
      </c>
      <c r="AB39" s="514">
        <v>0</v>
      </c>
      <c r="AC39" s="514">
        <v>0</v>
      </c>
      <c r="AD39" s="510" t="s">
        <v>5310</v>
      </c>
      <c r="AE39" s="516" t="s">
        <v>478</v>
      </c>
      <c r="AF39" s="514">
        <v>2.2331539999999999</v>
      </c>
      <c r="AG39" s="514">
        <v>67.477595847200007</v>
      </c>
      <c r="AH39" s="510">
        <v>30.216275208606309</v>
      </c>
      <c r="AI39" s="516" t="s">
        <v>478</v>
      </c>
      <c r="AJ39" s="514">
        <v>0</v>
      </c>
      <c r="AK39" s="514">
        <v>0</v>
      </c>
      <c r="AL39" s="510" t="s">
        <v>5310</v>
      </c>
      <c r="AM39" s="516" t="s">
        <v>478</v>
      </c>
      <c r="AN39" s="514">
        <v>5.8003999999999998</v>
      </c>
      <c r="AO39" s="514">
        <v>175.26648272</v>
      </c>
      <c r="AP39" s="510">
        <v>30.216275208606305</v>
      </c>
      <c r="AQ39" s="516" t="s">
        <v>478</v>
      </c>
      <c r="AR39" s="514">
        <v>2.2331539999999999</v>
      </c>
      <c r="AS39" s="514">
        <v>67.477595847200007</v>
      </c>
      <c r="AT39" s="510">
        <v>30.216275208606309</v>
      </c>
      <c r="AU39" s="516" t="s">
        <v>478</v>
      </c>
      <c r="AV39" s="514">
        <v>0</v>
      </c>
      <c r="AW39" s="514">
        <v>0</v>
      </c>
      <c r="AX39" s="510" t="s">
        <v>5310</v>
      </c>
    </row>
  </sheetData>
  <conditionalFormatting sqref="H11:I39 L11:M39 P11:Q39 T11:U39 X11:Y39">
    <cfRule type="cellIs" dxfId="6" priority="10" operator="greaterThan">
      <formula>0</formula>
    </cfRule>
  </conditionalFormatting>
  <conditionalFormatting sqref="AB11:AC39">
    <cfRule type="cellIs" dxfId="5" priority="6" operator="greaterThan">
      <formula>0</formula>
    </cfRule>
  </conditionalFormatting>
  <conditionalFormatting sqref="AF11:AG39">
    <cfRule type="cellIs" dxfId="4" priority="5" operator="greaterThan">
      <formula>0</formula>
    </cfRule>
  </conditionalFormatting>
  <conditionalFormatting sqref="AJ11:AK39">
    <cfRule type="cellIs" dxfId="3" priority="4" operator="greaterThan">
      <formula>0</formula>
    </cfRule>
  </conditionalFormatting>
  <conditionalFormatting sqref="AN11:AO39">
    <cfRule type="cellIs" dxfId="2" priority="3" operator="greaterThan">
      <formula>0</formula>
    </cfRule>
  </conditionalFormatting>
  <conditionalFormatting sqref="AR11:AS39">
    <cfRule type="cellIs" dxfId="1" priority="2" operator="greaterThan">
      <formula>0</formula>
    </cfRule>
  </conditionalFormatting>
  <conditionalFormatting sqref="AV11:AW39">
    <cfRule type="cellIs" dxfId="0" priority="1" operator="greaterThan">
      <formula>0</formula>
    </cfRule>
  </conditionalFormatting>
  <pageMargins left="0.511811024" right="0.511811024" top="0.78740157499999996" bottom="0.78740157499999996" header="0.31496062000000002" footer="0.31496062000000002"/>
  <ignoredErrors>
    <ignoredError sqref="E23 E26 E31 E33" formulaRange="1"/>
  </ignoredError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E96F4-6B87-4C46-821C-AA5ED916DBF2}">
  <sheetPr>
    <tabColor rgb="FF00B050"/>
  </sheetPr>
  <dimension ref="A1:C28"/>
  <sheetViews>
    <sheetView zoomScale="90" zoomScaleNormal="90" workbookViewId="0">
      <selection activeCell="B7" sqref="B7"/>
    </sheetView>
  </sheetViews>
  <sheetFormatPr defaultRowHeight="14.4"/>
  <cols>
    <col min="1" max="1" width="27.5546875" bestFit="1" customWidth="1"/>
    <col min="2" max="2" width="19.77734375" customWidth="1"/>
    <col min="3" max="3" width="18.77734375" bestFit="1" customWidth="1"/>
  </cols>
  <sheetData>
    <row r="1" spans="1:3">
      <c r="A1" t="s">
        <v>5345</v>
      </c>
    </row>
    <row r="3" spans="1:3">
      <c r="A3" s="1231" t="s">
        <v>5354</v>
      </c>
      <c r="B3" s="1231"/>
      <c r="C3" s="3" t="s">
        <v>5353</v>
      </c>
    </row>
    <row r="4" spans="1:3">
      <c r="A4" s="10" t="s">
        <v>5355</v>
      </c>
      <c r="B4">
        <v>633</v>
      </c>
    </row>
    <row r="5" spans="1:3">
      <c r="A5" s="10" t="s">
        <v>5356</v>
      </c>
      <c r="B5">
        <v>5483</v>
      </c>
    </row>
    <row r="6" spans="1:3">
      <c r="A6" s="10" t="s">
        <v>5357</v>
      </c>
      <c r="B6">
        <v>1979.5</v>
      </c>
    </row>
    <row r="7" spans="1:3">
      <c r="A7" s="10" t="s">
        <v>5348</v>
      </c>
    </row>
    <row r="8" spans="1:3">
      <c r="A8" s="10" t="s">
        <v>5349</v>
      </c>
    </row>
    <row r="9" spans="1:3">
      <c r="A9" s="10" t="s">
        <v>5350</v>
      </c>
    </row>
    <row r="10" spans="1:3">
      <c r="A10" s="10" t="s">
        <v>5351</v>
      </c>
    </row>
    <row r="12" spans="1:3">
      <c r="A12" s="1231" t="s">
        <v>5352</v>
      </c>
      <c r="B12" s="1231"/>
      <c r="C12" s="3" t="s">
        <v>5353</v>
      </c>
    </row>
    <row r="13" spans="1:3">
      <c r="A13" s="10" t="s">
        <v>5346</v>
      </c>
    </row>
    <row r="14" spans="1:3">
      <c r="A14" s="10" t="s">
        <v>30</v>
      </c>
    </row>
    <row r="15" spans="1:3">
      <c r="A15" s="10" t="s">
        <v>5347</v>
      </c>
    </row>
    <row r="16" spans="1:3">
      <c r="A16" s="10" t="s">
        <v>5348</v>
      </c>
    </row>
    <row r="17" spans="1:3">
      <c r="A17" s="10" t="s">
        <v>5349</v>
      </c>
    </row>
    <row r="18" spans="1:3">
      <c r="A18" s="10" t="s">
        <v>5350</v>
      </c>
    </row>
    <row r="19" spans="1:3">
      <c r="A19" s="10" t="s">
        <v>5351</v>
      </c>
    </row>
    <row r="21" spans="1:3">
      <c r="A21" s="1231" t="s">
        <v>5352</v>
      </c>
      <c r="B21" s="1231"/>
      <c r="C21" s="3" t="s">
        <v>5353</v>
      </c>
    </row>
    <row r="22" spans="1:3">
      <c r="A22" s="10" t="s">
        <v>5346</v>
      </c>
    </row>
    <row r="23" spans="1:3">
      <c r="A23" s="10" t="s">
        <v>30</v>
      </c>
    </row>
    <row r="24" spans="1:3">
      <c r="A24" s="10" t="s">
        <v>5347</v>
      </c>
    </row>
    <row r="25" spans="1:3">
      <c r="A25" s="10" t="s">
        <v>5348</v>
      </c>
    </row>
    <row r="26" spans="1:3">
      <c r="A26" s="10" t="s">
        <v>5349</v>
      </c>
    </row>
    <row r="27" spans="1:3">
      <c r="A27" s="10" t="s">
        <v>5350</v>
      </c>
    </row>
    <row r="28" spans="1:3">
      <c r="A28" s="10" t="s">
        <v>5351</v>
      </c>
    </row>
  </sheetData>
  <mergeCells count="3">
    <mergeCell ref="A21:B21"/>
    <mergeCell ref="A3:B3"/>
    <mergeCell ref="A12:B12"/>
  </mergeCells>
  <pageMargins left="0.511811024" right="0.511811024" top="0.78740157499999996" bottom="0.78740157499999996" header="0.31496062000000002" footer="0.31496062000000002"/>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F44B6-D78C-488D-8B14-9EE279454F87}">
  <dimension ref="A1:DQ362"/>
  <sheetViews>
    <sheetView topLeftCell="A231" workbookViewId="0">
      <pane xSplit="1" topLeftCell="BA1" activePane="topRight" state="frozen"/>
      <selection activeCell="AW27" sqref="AW27"/>
      <selection pane="topRight" activeCell="A197" sqref="A197"/>
    </sheetView>
  </sheetViews>
  <sheetFormatPr defaultColWidth="9.109375" defaultRowHeight="13.2"/>
  <cols>
    <col min="1" max="1" width="39.44140625" style="47" customWidth="1"/>
    <col min="2" max="2" width="19.109375" style="47" customWidth="1"/>
    <col min="3" max="3" width="17.44140625" style="47" customWidth="1"/>
    <col min="4" max="4" width="17.33203125" style="47" customWidth="1"/>
    <col min="5" max="5" width="20.88671875" style="47" customWidth="1"/>
    <col min="6" max="6" width="19.88671875" style="47" customWidth="1"/>
    <col min="7" max="7" width="13" style="47" customWidth="1"/>
    <col min="8" max="8" width="14.33203125" style="47" customWidth="1"/>
    <col min="9" max="9" width="14.88671875" style="47" customWidth="1"/>
    <col min="10" max="10" width="15.44140625" style="47" customWidth="1"/>
    <col min="11" max="11" width="17.33203125" style="47" customWidth="1"/>
    <col min="12" max="12" width="17.5546875" style="47" customWidth="1"/>
    <col min="13" max="13" width="17.109375" style="47" customWidth="1"/>
    <col min="14" max="14" width="19.6640625" style="47" customWidth="1"/>
    <col min="15" max="15" width="18" style="47" customWidth="1"/>
    <col min="16" max="16" width="13.33203125" style="47" customWidth="1"/>
    <col min="17" max="17" width="13.109375" style="47" customWidth="1"/>
    <col min="18" max="18" width="13.33203125" style="47" customWidth="1"/>
    <col min="19" max="20" width="10.44140625" style="47" customWidth="1"/>
    <col min="21" max="21" width="19.6640625" style="47" customWidth="1"/>
    <col min="22" max="22" width="18" style="47" customWidth="1"/>
    <col min="23" max="23" width="10.44140625" style="47" customWidth="1"/>
    <col min="24" max="24" width="9.6640625" style="47" customWidth="1"/>
    <col min="25" max="25" width="12.44140625" style="47" customWidth="1"/>
    <col min="26" max="26" width="13.6640625" style="47" customWidth="1"/>
    <col min="27" max="27" width="13.88671875" style="47" customWidth="1"/>
    <col min="28" max="28" width="11.5546875" style="47" customWidth="1"/>
    <col min="29" max="29" width="12.5546875" style="47" customWidth="1"/>
    <col min="30" max="30" width="14" style="47" customWidth="1"/>
    <col min="31" max="31" width="14.33203125" style="47" customWidth="1"/>
    <col min="32" max="32" width="13" style="47" customWidth="1"/>
    <col min="33" max="33" width="11.5546875" style="47" customWidth="1"/>
    <col min="34" max="34" width="15.5546875" style="47" customWidth="1"/>
    <col min="35" max="35" width="13.88671875" style="47" customWidth="1"/>
    <col min="36" max="36" width="19.33203125" style="47" customWidth="1"/>
    <col min="37" max="37" width="11.5546875" style="47" customWidth="1"/>
    <col min="38" max="38" width="18" style="47" customWidth="1"/>
    <col min="39" max="39" width="16.109375" style="47" customWidth="1"/>
    <col min="40" max="40" width="16.5546875" style="47" customWidth="1"/>
    <col min="41" max="41" width="19.33203125" style="47" customWidth="1"/>
    <col min="42" max="42" width="18.6640625" style="47" customWidth="1"/>
    <col min="43" max="44" width="14.109375" style="47" customWidth="1"/>
    <col min="45" max="45" width="19.5546875" style="47" customWidth="1"/>
    <col min="46" max="46" width="22" style="47" customWidth="1"/>
    <col min="47" max="47" width="21.5546875" style="47" customWidth="1"/>
    <col min="48" max="48" width="25.33203125" style="47" customWidth="1"/>
    <col min="49" max="49" width="23.5546875" style="47" customWidth="1"/>
    <col min="50" max="51" width="13" style="47" customWidth="1"/>
    <col min="52" max="52" width="19.6640625" style="47" customWidth="1"/>
    <col min="53" max="53" width="22.44140625" style="47" customWidth="1"/>
    <col min="54" max="54" width="22.33203125" style="47" customWidth="1"/>
    <col min="55" max="55" width="23.109375" style="47" customWidth="1"/>
    <col min="56" max="56" width="19.44140625" style="47" customWidth="1"/>
    <col min="57" max="57" width="14.109375" style="47" customWidth="1"/>
    <col min="58" max="58" width="13" style="47" customWidth="1"/>
    <col min="59" max="59" width="20.109375" style="47" customWidth="1"/>
    <col min="60" max="60" width="20.33203125" style="47" customWidth="1"/>
    <col min="61" max="61" width="18.109375" style="47" customWidth="1"/>
    <col min="62" max="62" width="21" style="47" customWidth="1"/>
    <col min="63" max="63" width="20.88671875" style="47" customWidth="1"/>
    <col min="64" max="65" width="14" style="47" customWidth="1"/>
    <col min="66" max="66" width="19.44140625" style="47" customWidth="1"/>
    <col min="67" max="67" width="20.109375" style="47" customWidth="1"/>
    <col min="68" max="68" width="21.33203125" style="47" customWidth="1"/>
    <col min="69" max="69" width="25" style="47" customWidth="1"/>
    <col min="70" max="70" width="18" style="47" customWidth="1"/>
    <col min="71" max="72" width="12.88671875" style="47" customWidth="1"/>
    <col min="73" max="73" width="19.5546875" style="47" customWidth="1"/>
    <col min="74" max="74" width="21.33203125" style="47" customWidth="1"/>
    <col min="75" max="75" width="21" style="47" customWidth="1"/>
    <col min="76" max="76" width="25.33203125" style="47" customWidth="1"/>
    <col min="77" max="77" width="23.5546875" style="47" customWidth="1"/>
    <col min="78" max="78" width="19.5546875" style="47" customWidth="1"/>
    <col min="79" max="79" width="23.33203125" style="47" customWidth="1"/>
    <col min="80" max="80" width="12.88671875" style="47" customWidth="1"/>
    <col min="81" max="81" width="13.6640625" style="47" customWidth="1"/>
    <col min="82" max="82" width="18.44140625" style="47" customWidth="1"/>
    <col min="83" max="83" width="20.44140625" style="47" customWidth="1"/>
    <col min="84" max="84" width="22.109375" style="47" customWidth="1"/>
    <col min="85" max="85" width="22.6640625" style="47" customWidth="1"/>
    <col min="86" max="86" width="20.44140625" style="47" customWidth="1"/>
    <col min="87" max="88" width="12.88671875" style="47" customWidth="1"/>
    <col min="89" max="89" width="20.109375" style="47" customWidth="1"/>
    <col min="90" max="90" width="20.88671875" style="47" customWidth="1"/>
    <col min="91" max="91" width="19" style="47" customWidth="1"/>
    <col min="92" max="92" width="21.109375" style="47" customWidth="1"/>
    <col min="93" max="93" width="20" style="47" customWidth="1"/>
    <col min="94" max="95" width="12.88671875" style="47" customWidth="1"/>
    <col min="96" max="97" width="9.109375" style="47"/>
    <col min="98" max="98" width="11.88671875" style="47" customWidth="1"/>
    <col min="99" max="100" width="12.6640625" style="47" customWidth="1"/>
    <col min="101" max="101" width="11.33203125" style="47" customWidth="1"/>
    <col min="102" max="102" width="11.88671875" style="47" customWidth="1"/>
    <col min="103" max="103" width="12.6640625" style="47" customWidth="1"/>
    <col min="104" max="104" width="10.44140625" style="47" customWidth="1"/>
    <col min="105" max="105" width="9.44140625" style="47" customWidth="1"/>
    <col min="106" max="106" width="11.33203125" style="47" customWidth="1"/>
    <col min="107" max="108" width="12.6640625" style="47" customWidth="1"/>
    <col min="109" max="109" width="11.33203125" style="47" customWidth="1"/>
    <col min="110" max="111" width="12.6640625" style="47" customWidth="1"/>
    <col min="112" max="112" width="11.33203125" style="47" customWidth="1"/>
    <col min="113" max="113" width="9.33203125" style="47" customWidth="1"/>
    <col min="114" max="116" width="11.33203125" style="47" customWidth="1"/>
    <col min="117" max="117" width="12.6640625" style="47" customWidth="1"/>
    <col min="118" max="118" width="9.33203125" style="47" customWidth="1"/>
    <col min="119" max="119" width="12.6640625" style="47" customWidth="1"/>
    <col min="120" max="120" width="10.33203125" style="47" customWidth="1"/>
    <col min="121" max="122" width="9.33203125" style="47" customWidth="1"/>
    <col min="123" max="123" width="11.33203125" style="47" customWidth="1"/>
    <col min="124" max="124" width="12.6640625" style="47" customWidth="1"/>
    <col min="125" max="126" width="10.33203125" style="47" customWidth="1"/>
    <col min="127" max="127" width="9.33203125" style="47" customWidth="1"/>
    <col min="128" max="128" width="11.33203125" style="47" customWidth="1"/>
    <col min="129" max="129" width="9.109375" style="47"/>
    <col min="130" max="130" width="36" style="47" customWidth="1"/>
    <col min="131" max="132" width="9.109375" style="47"/>
    <col min="133" max="133" width="9.33203125" style="47" customWidth="1"/>
    <col min="134" max="16384" width="9.109375" style="47"/>
  </cols>
  <sheetData>
    <row r="1" spans="1:85" ht="15.6">
      <c r="A1" s="142" t="s">
        <v>176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row>
    <row r="2" spans="1:85" ht="14.4">
      <c r="A2" s="143"/>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row>
    <row r="3" spans="1:85" ht="14.4">
      <c r="A3" s="144" t="s">
        <v>177</v>
      </c>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row>
    <row r="4" spans="1:85" ht="14.4">
      <c r="A4" s="143" t="s">
        <v>178</v>
      </c>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row>
    <row r="5" spans="1:85" ht="37.5" customHeight="1">
      <c r="A5" s="145"/>
      <c r="B5" s="1232" t="s">
        <v>179</v>
      </c>
      <c r="C5" s="1233"/>
      <c r="D5" s="1233"/>
      <c r="E5" s="1233"/>
      <c r="F5" s="1233"/>
      <c r="G5" s="1234"/>
      <c r="H5" s="1232" t="s">
        <v>180</v>
      </c>
      <c r="I5" s="1233"/>
      <c r="J5" s="1234"/>
      <c r="K5" s="1232" t="s">
        <v>181</v>
      </c>
      <c r="L5" s="1233"/>
      <c r="M5" s="1233"/>
      <c r="N5" s="1233"/>
      <c r="O5" s="1233"/>
      <c r="P5" s="1234"/>
      <c r="Q5" s="1235"/>
      <c r="R5" s="1236"/>
      <c r="S5" s="1236"/>
      <c r="T5" s="1236"/>
      <c r="U5" s="1236"/>
      <c r="V5" s="1236"/>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row>
    <row r="6" spans="1:85" ht="28.8">
      <c r="A6" s="146"/>
      <c r="B6" s="147" t="s">
        <v>182</v>
      </c>
      <c r="C6" s="148" t="s">
        <v>183</v>
      </c>
      <c r="D6" s="148" t="s">
        <v>184</v>
      </c>
      <c r="E6" s="148" t="s">
        <v>185</v>
      </c>
      <c r="F6" s="148" t="s">
        <v>186</v>
      </c>
      <c r="G6" s="149" t="s">
        <v>187</v>
      </c>
      <c r="H6" s="147" t="s">
        <v>188</v>
      </c>
      <c r="I6" s="148" t="s">
        <v>189</v>
      </c>
      <c r="J6" s="149" t="s">
        <v>190</v>
      </c>
      <c r="K6" s="150" t="s">
        <v>191</v>
      </c>
      <c r="L6" s="151" t="s">
        <v>192</v>
      </c>
      <c r="M6" s="151" t="s">
        <v>193</v>
      </c>
      <c r="N6" s="151" t="s">
        <v>194</v>
      </c>
      <c r="O6" s="151" t="s">
        <v>195</v>
      </c>
      <c r="P6" s="149" t="s">
        <v>196</v>
      </c>
      <c r="Q6" s="152"/>
      <c r="R6" s="152"/>
      <c r="S6" s="152"/>
      <c r="T6" s="152"/>
      <c r="U6" s="152"/>
      <c r="V6" s="152"/>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row>
    <row r="7" spans="1:85" ht="14.4">
      <c r="A7" s="153" t="s">
        <v>197</v>
      </c>
      <c r="B7" s="154">
        <v>1.1000000000000001</v>
      </c>
      <c r="C7" s="154"/>
      <c r="D7" s="154"/>
      <c r="E7" s="154"/>
      <c r="F7" s="154"/>
      <c r="G7" s="155"/>
      <c r="H7" s="156"/>
      <c r="I7" s="154"/>
      <c r="J7" s="155"/>
      <c r="K7" s="156"/>
      <c r="L7" s="154"/>
      <c r="M7" s="154"/>
      <c r="N7" s="154"/>
      <c r="O7" s="154"/>
      <c r="P7" s="157"/>
      <c r="Q7" s="137"/>
      <c r="R7" s="137"/>
      <c r="S7" s="137"/>
      <c r="T7" s="137"/>
      <c r="U7" s="137"/>
      <c r="V7" s="138"/>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row>
    <row r="8" spans="1:85" ht="14.4">
      <c r="A8" s="158" t="s">
        <v>198</v>
      </c>
      <c r="B8" s="137"/>
      <c r="C8" s="137">
        <v>2.234</v>
      </c>
      <c r="D8" s="137">
        <v>2.847</v>
      </c>
      <c r="E8" s="137"/>
      <c r="F8" s="137"/>
      <c r="G8" s="159"/>
      <c r="H8" s="160"/>
      <c r="I8" s="137"/>
      <c r="J8" s="159"/>
      <c r="K8" s="160"/>
      <c r="L8" s="137"/>
      <c r="M8" s="137"/>
      <c r="N8" s="137"/>
      <c r="O8" s="137"/>
      <c r="P8" s="161"/>
      <c r="Q8" s="137"/>
      <c r="R8" s="137"/>
      <c r="S8" s="137"/>
      <c r="T8" s="137"/>
      <c r="U8" s="137"/>
      <c r="V8" s="13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row>
    <row r="9" spans="1:85" ht="14.4">
      <c r="A9" s="158" t="s">
        <v>5</v>
      </c>
      <c r="B9" s="137"/>
      <c r="C9" s="137"/>
      <c r="D9" s="137"/>
      <c r="E9" s="137"/>
      <c r="F9" s="137">
        <v>1.917</v>
      </c>
      <c r="G9" s="159"/>
      <c r="H9" s="160"/>
      <c r="I9" s="137"/>
      <c r="J9" s="159"/>
      <c r="K9" s="160"/>
      <c r="L9" s="137"/>
      <c r="M9" s="137"/>
      <c r="N9" s="137"/>
      <c r="O9" s="137"/>
      <c r="P9" s="161"/>
      <c r="Q9" s="137"/>
      <c r="R9" s="137"/>
      <c r="S9" s="137"/>
      <c r="T9" s="137"/>
      <c r="U9" s="137"/>
      <c r="V9" s="138"/>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row>
    <row r="10" spans="1:85" ht="14.4">
      <c r="A10" s="158" t="s">
        <v>199</v>
      </c>
      <c r="B10" s="137"/>
      <c r="C10" s="137"/>
      <c r="D10" s="137"/>
      <c r="E10" s="137"/>
      <c r="F10" s="137"/>
      <c r="G10" s="159">
        <v>1</v>
      </c>
      <c r="H10" s="160"/>
      <c r="I10" s="137"/>
      <c r="J10" s="159"/>
      <c r="K10" s="160"/>
      <c r="L10" s="137"/>
      <c r="M10" s="137"/>
      <c r="N10" s="137"/>
      <c r="O10" s="137"/>
      <c r="P10" s="161"/>
      <c r="Q10" s="137"/>
      <c r="R10" s="137"/>
      <c r="S10" s="137"/>
      <c r="T10" s="137"/>
      <c r="U10" s="137"/>
      <c r="V10" s="138"/>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row>
    <row r="11" spans="1:85" ht="14.4">
      <c r="A11" s="158" t="s">
        <v>200</v>
      </c>
      <c r="B11" s="137"/>
      <c r="C11" s="137"/>
      <c r="D11" s="137"/>
      <c r="E11" s="137"/>
      <c r="F11" s="137"/>
      <c r="G11" s="159"/>
      <c r="H11" s="160"/>
      <c r="I11" s="137">
        <v>5.0200000000000002E-2</v>
      </c>
      <c r="J11" s="159"/>
      <c r="K11" s="160"/>
      <c r="L11" s="137"/>
      <c r="M11" s="137"/>
      <c r="N11" s="137"/>
      <c r="O11" s="137"/>
      <c r="P11" s="161"/>
      <c r="Q11" s="137"/>
      <c r="R11" s="137"/>
      <c r="S11" s="137"/>
      <c r="T11" s="137"/>
      <c r="U11" s="137"/>
      <c r="V11" s="138"/>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row>
    <row r="12" spans="1:85" ht="14.4">
      <c r="A12" s="158" t="s">
        <v>201</v>
      </c>
      <c r="B12" s="137"/>
      <c r="C12" s="137"/>
      <c r="D12" s="137"/>
      <c r="E12" s="137"/>
      <c r="F12" s="137"/>
      <c r="G12" s="159"/>
      <c r="H12" s="160"/>
      <c r="I12" s="137"/>
      <c r="J12" s="159"/>
      <c r="K12" s="160">
        <v>1.3851</v>
      </c>
      <c r="L12" s="137">
        <v>1.4582999999999999</v>
      </c>
      <c r="M12" s="137">
        <v>1.5703</v>
      </c>
      <c r="N12" s="137">
        <v>1.3918999999999999</v>
      </c>
      <c r="O12" s="137">
        <v>1.5482</v>
      </c>
      <c r="P12" s="161"/>
      <c r="Q12" s="137"/>
      <c r="R12" s="137"/>
      <c r="S12" s="137"/>
      <c r="T12" s="137"/>
      <c r="U12" s="137"/>
      <c r="V12" s="138"/>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row>
    <row r="13" spans="1:85" ht="14.4">
      <c r="A13" s="158" t="s">
        <v>202</v>
      </c>
      <c r="B13" s="137"/>
      <c r="C13" s="137"/>
      <c r="D13" s="137"/>
      <c r="E13" s="137"/>
      <c r="F13" s="137"/>
      <c r="G13" s="159"/>
      <c r="H13" s="160"/>
      <c r="I13" s="137"/>
      <c r="J13" s="159"/>
      <c r="K13" s="160"/>
      <c r="L13" s="137"/>
      <c r="M13" s="137"/>
      <c r="N13" s="137"/>
      <c r="O13" s="137"/>
      <c r="P13" s="161"/>
      <c r="Q13" s="137"/>
      <c r="R13" s="137"/>
      <c r="S13" s="137"/>
      <c r="T13" s="137"/>
      <c r="U13" s="137"/>
      <c r="V13" s="138"/>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row>
    <row r="14" spans="1:85" ht="14.4">
      <c r="A14" s="158" t="s">
        <v>203</v>
      </c>
      <c r="B14" s="137"/>
      <c r="C14" s="137"/>
      <c r="D14" s="137"/>
      <c r="E14" s="137"/>
      <c r="F14" s="137"/>
      <c r="G14" s="159"/>
      <c r="H14" s="160">
        <v>1.004</v>
      </c>
      <c r="I14" s="137">
        <v>0.95379999999999998</v>
      </c>
      <c r="J14" s="159"/>
      <c r="K14" s="160"/>
      <c r="L14" s="137"/>
      <c r="M14" s="137"/>
      <c r="N14" s="137"/>
      <c r="O14" s="137"/>
      <c r="P14" s="161"/>
      <c r="Q14" s="137"/>
      <c r="R14" s="137"/>
      <c r="S14" s="137"/>
      <c r="T14" s="137"/>
      <c r="U14" s="137"/>
      <c r="V14" s="138"/>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row>
    <row r="15" spans="1:85" ht="14.4">
      <c r="A15" s="162" t="s">
        <v>204</v>
      </c>
      <c r="B15" s="163"/>
      <c r="C15" s="163"/>
      <c r="D15" s="163"/>
      <c r="E15" s="163"/>
      <c r="F15" s="163"/>
      <c r="G15" s="164"/>
      <c r="H15" s="165"/>
      <c r="I15" s="163"/>
      <c r="J15" s="164"/>
      <c r="K15" s="165"/>
      <c r="L15" s="163"/>
      <c r="M15" s="163"/>
      <c r="N15" s="163"/>
      <c r="O15" s="163"/>
      <c r="P15" s="166">
        <v>1.5015015015015014</v>
      </c>
      <c r="Q15" s="137"/>
      <c r="R15" s="48"/>
      <c r="S15" s="137"/>
      <c r="T15" s="137"/>
      <c r="U15" s="137"/>
      <c r="V15" s="138"/>
      <c r="W15"/>
      <c r="X15" s="137"/>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row>
    <row r="16" spans="1:85" ht="14.4">
      <c r="A16" s="138"/>
      <c r="B16" s="138"/>
      <c r="C16" s="138"/>
      <c r="D16" s="138"/>
      <c r="E16" s="138"/>
      <c r="F16" s="138"/>
      <c r="G16" s="138"/>
      <c r="H16" s="138"/>
      <c r="I16" s="138"/>
      <c r="J16" s="138"/>
      <c r="K16" s="138"/>
      <c r="L16" s="138"/>
      <c r="M16" s="138"/>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row>
    <row r="17" spans="1:85" ht="14.4">
      <c r="A17" s="143" t="s">
        <v>205</v>
      </c>
      <c r="B17" s="49"/>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row>
    <row r="18" spans="1:85" ht="14.4">
      <c r="A18" s="167"/>
      <c r="B18" s="50" t="s">
        <v>447</v>
      </c>
      <c r="C18" s="168" t="s">
        <v>206</v>
      </c>
      <c r="D18" s="168" t="s">
        <v>207</v>
      </c>
      <c r="E18" s="168" t="s">
        <v>208</v>
      </c>
      <c r="F18" s="168" t="s">
        <v>209</v>
      </c>
      <c r="G18" s="168" t="s">
        <v>210</v>
      </c>
      <c r="H18" s="168" t="s">
        <v>211</v>
      </c>
      <c r="I18" s="168" t="s">
        <v>16</v>
      </c>
      <c r="J18" s="168" t="s">
        <v>212</v>
      </c>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row>
    <row r="19" spans="1:85" ht="14.4">
      <c r="A19" s="169" t="s">
        <v>213</v>
      </c>
      <c r="B19" s="51">
        <v>0</v>
      </c>
      <c r="C19" s="51">
        <v>1.931766616957659E-2</v>
      </c>
      <c r="D19" s="51">
        <v>5.9803247316329278E-5</v>
      </c>
      <c r="E19" s="51">
        <v>5.8069408833194905E-3</v>
      </c>
      <c r="F19" s="51">
        <v>2.8557019295519688E-2</v>
      </c>
      <c r="G19" s="51">
        <v>4.6368811454200451E-2</v>
      </c>
      <c r="H19" s="51">
        <v>0.1659680392640342</v>
      </c>
      <c r="I19" s="51">
        <v>7.5353458299014754E-3</v>
      </c>
      <c r="J19" s="51">
        <v>2.7627782529260445E-2</v>
      </c>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row>
    <row r="20" spans="1:85" ht="14.4">
      <c r="A20" s="170" t="s">
        <v>214</v>
      </c>
      <c r="B20" s="51">
        <v>2.7E-2</v>
      </c>
      <c r="C20" s="51">
        <v>0.52965971691242431</v>
      </c>
      <c r="D20" s="51">
        <v>0.99994019675268364</v>
      </c>
      <c r="E20" s="51">
        <v>0.96689176988913361</v>
      </c>
      <c r="F20" s="51">
        <v>6.8156707955211282E-2</v>
      </c>
      <c r="G20" s="51">
        <v>0.60887355528721754</v>
      </c>
      <c r="H20" s="51">
        <v>0.25007338523136896</v>
      </c>
      <c r="I20" s="51">
        <v>0.42832991529530556</v>
      </c>
      <c r="J20" s="51">
        <v>0.23465332110150092</v>
      </c>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row>
    <row r="21" spans="1:85" ht="14.4">
      <c r="A21" s="170" t="s">
        <v>85</v>
      </c>
      <c r="B21" s="51">
        <v>0.16900000000000001</v>
      </c>
      <c r="C21" s="51">
        <v>0.12150251536328696</v>
      </c>
      <c r="D21" s="51">
        <v>0</v>
      </c>
      <c r="E21" s="51">
        <v>0</v>
      </c>
      <c r="F21" s="51">
        <v>2.0649616800715972E-2</v>
      </c>
      <c r="G21" s="51">
        <v>1.3613938243919269E-2</v>
      </c>
      <c r="H21" s="51">
        <v>0</v>
      </c>
      <c r="I21" s="51">
        <v>0.16196801600857919</v>
      </c>
      <c r="J21" s="51">
        <v>0.36660177287617046</v>
      </c>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row>
    <row r="22" spans="1:85" ht="14.4">
      <c r="A22" s="170" t="s">
        <v>215</v>
      </c>
      <c r="B22" s="51">
        <v>0</v>
      </c>
      <c r="C22" s="51">
        <v>6.5140791628130398E-3</v>
      </c>
      <c r="D22" s="51">
        <v>0</v>
      </c>
      <c r="E22" s="51">
        <v>0</v>
      </c>
      <c r="F22" s="51">
        <v>9.1639871382636656E-2</v>
      </c>
      <c r="G22" s="51">
        <v>1.5628773503536312E-2</v>
      </c>
      <c r="H22" s="51">
        <v>0</v>
      </c>
      <c r="I22" s="51">
        <v>2.7123191249822649E-3</v>
      </c>
      <c r="J22" s="51">
        <v>2.4231045559138579E-2</v>
      </c>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row>
    <row r="23" spans="1:85" ht="14.4">
      <c r="A23" s="170" t="s">
        <v>216</v>
      </c>
      <c r="B23" s="51">
        <v>4.0000000000000001E-3</v>
      </c>
      <c r="C23" s="51">
        <v>0.12678362073066032</v>
      </c>
      <c r="D23" s="51">
        <v>0</v>
      </c>
      <c r="E23" s="51">
        <v>0</v>
      </c>
      <c r="F23" s="51">
        <v>2.2508038585209004E-2</v>
      </c>
      <c r="G23" s="51">
        <v>7.3879592892875628E-2</v>
      </c>
      <c r="H23" s="51">
        <v>0</v>
      </c>
      <c r="I23" s="51">
        <v>0.19892244278241195</v>
      </c>
      <c r="J23" s="51">
        <v>0.10315317264077793</v>
      </c>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row>
    <row r="24" spans="1:85" ht="14.4">
      <c r="A24" s="170" t="s">
        <v>29</v>
      </c>
      <c r="B24" s="51">
        <v>0.78400000000000003</v>
      </c>
      <c r="C24" s="51">
        <v>0.17307333777091985</v>
      </c>
      <c r="D24" s="51">
        <v>0</v>
      </c>
      <c r="E24" s="51">
        <v>0</v>
      </c>
      <c r="F24" s="51">
        <v>0.65916398713826363</v>
      </c>
      <c r="G24" s="51">
        <v>0.16741072968776954</v>
      </c>
      <c r="H24" s="51">
        <v>0.58281963671375059</v>
      </c>
      <c r="I24" s="51">
        <v>0.19738017980169853</v>
      </c>
      <c r="J24" s="51">
        <v>0.16007009268903968</v>
      </c>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row>
    <row r="25" spans="1:85" ht="14.4">
      <c r="A25" s="171" t="s">
        <v>217</v>
      </c>
      <c r="B25" s="51">
        <v>1.6000000000000014E-2</v>
      </c>
      <c r="C25" s="51">
        <v>2.314906389031891E-2</v>
      </c>
      <c r="D25" s="51">
        <v>0</v>
      </c>
      <c r="E25" s="51">
        <v>2.7301289227546932E-2</v>
      </c>
      <c r="F25" s="51">
        <v>0.10932475884244375</v>
      </c>
      <c r="G25" s="51">
        <v>7.4224598930481278E-2</v>
      </c>
      <c r="H25" s="51">
        <v>1.1389387908462556E-3</v>
      </c>
      <c r="I25" s="51">
        <v>3.1517811571211141E-3</v>
      </c>
      <c r="J25" s="51">
        <v>8.3662812604111902E-2</v>
      </c>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row>
    <row r="26" spans="1:85" ht="14.4">
      <c r="A26" s="170" t="s">
        <v>218</v>
      </c>
      <c r="B26" s="172">
        <v>1436077.4478094436</v>
      </c>
      <c r="C26" s="173">
        <v>2151462.1799386311</v>
      </c>
      <c r="D26" s="52">
        <v>2363742.9454475529</v>
      </c>
      <c r="E26" s="53">
        <v>2334233.0956183472</v>
      </c>
      <c r="F26" s="54">
        <v>1862142.0927687497</v>
      </c>
      <c r="G26" s="53">
        <v>2045933.2098193816</v>
      </c>
      <c r="H26" s="54">
        <v>1786112.6517295279</v>
      </c>
      <c r="I26" s="53">
        <v>2124799.0313647664</v>
      </c>
      <c r="J26" s="55">
        <v>2232527.5881240033</v>
      </c>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row>
    <row r="27" spans="1:85" ht="14.4">
      <c r="A27" s="170" t="s">
        <v>219</v>
      </c>
      <c r="B27" s="174">
        <v>590507.38114799198</v>
      </c>
      <c r="C27" s="175">
        <v>1765428.3607212291</v>
      </c>
      <c r="D27" s="56">
        <v>2362605.9605380557</v>
      </c>
      <c r="E27" s="57">
        <v>2305183.2290269937</v>
      </c>
      <c r="F27" s="58">
        <v>397652.43833790382</v>
      </c>
      <c r="G27" s="57">
        <v>1648704.0180257901</v>
      </c>
      <c r="H27" s="58">
        <v>1187296.5174997153</v>
      </c>
      <c r="I27" s="57">
        <v>1665528.919909996</v>
      </c>
      <c r="J27" s="59">
        <v>1762544.6500798315</v>
      </c>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row>
    <row r="28" spans="1:85" ht="14.4">
      <c r="A28" s="170" t="s">
        <v>85</v>
      </c>
      <c r="B28" s="174">
        <v>515176.46941262169</v>
      </c>
      <c r="C28" s="175">
        <v>384988.43842608988</v>
      </c>
      <c r="D28" s="56">
        <v>1629.4144995100437</v>
      </c>
      <c r="E28" s="57">
        <v>1702.4991254574102</v>
      </c>
      <c r="F28" s="58">
        <v>73204.599433309006</v>
      </c>
      <c r="G28" s="57">
        <v>42481.084696569458</v>
      </c>
      <c r="H28" s="58">
        <v>4071.6548128151258</v>
      </c>
      <c r="I28" s="57">
        <v>523303.25488591864</v>
      </c>
      <c r="J28" s="59">
        <v>1086018.2108217727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row>
    <row r="29" spans="1:85" ht="14.4">
      <c r="A29" s="170" t="s">
        <v>84</v>
      </c>
      <c r="B29" s="174">
        <v>67414.82156399083</v>
      </c>
      <c r="C29" s="175">
        <v>1307236.8102420052</v>
      </c>
      <c r="D29" s="56">
        <v>2359809.7276235181</v>
      </c>
      <c r="E29" s="57">
        <v>2283230.6969990809</v>
      </c>
      <c r="F29" s="58">
        <v>199963.55885985959</v>
      </c>
      <c r="G29" s="57">
        <v>1449011.5356290098</v>
      </c>
      <c r="H29" s="58">
        <v>630966.61656423286</v>
      </c>
      <c r="I29" s="57">
        <v>1105646.9511936267</v>
      </c>
      <c r="J29" s="59">
        <v>565084.18178654124</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row>
    <row r="30" spans="1:85" ht="14.4">
      <c r="A30" s="170" t="s">
        <v>213</v>
      </c>
      <c r="B30" s="174">
        <v>7916.0901713794883</v>
      </c>
      <c r="C30" s="175">
        <v>73203.112053133955</v>
      </c>
      <c r="D30" s="56">
        <v>1166.8184150274808</v>
      </c>
      <c r="E30" s="57">
        <v>20250.032902455609</v>
      </c>
      <c r="F30" s="58">
        <v>124484.28004473523</v>
      </c>
      <c r="G30" s="57">
        <v>157211.39770021068</v>
      </c>
      <c r="H30" s="58">
        <v>552258.24612266733</v>
      </c>
      <c r="I30" s="57">
        <v>36578.713830450477</v>
      </c>
      <c r="J30" s="59">
        <v>111442.25747151757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row>
    <row r="31" spans="1:85" ht="14.4">
      <c r="A31" s="170" t="s">
        <v>220</v>
      </c>
      <c r="B31" s="174">
        <v>1089.8052903504799</v>
      </c>
      <c r="C31" s="175">
        <v>313.11911321049178</v>
      </c>
      <c r="D31" s="56">
        <v>55.234400950864128</v>
      </c>
      <c r="E31" s="57">
        <v>54.340171119277294</v>
      </c>
      <c r="F31" s="58">
        <v>1056.5362701030169</v>
      </c>
      <c r="G31" s="57">
        <v>275.33417728107139</v>
      </c>
      <c r="H31" s="58">
        <v>808.88740203530028</v>
      </c>
      <c r="I31" s="57">
        <v>362.78609926788278</v>
      </c>
      <c r="J31" s="59">
        <v>293.40708688248174</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row>
    <row r="32" spans="1:85" ht="14.4">
      <c r="A32" s="170" t="s">
        <v>221</v>
      </c>
      <c r="B32" s="176">
        <v>5.1119351680652789</v>
      </c>
      <c r="C32" s="177">
        <v>16.76108712110117</v>
      </c>
      <c r="D32" s="60">
        <v>22.510022836919248</v>
      </c>
      <c r="E32" s="61">
        <v>22.033659312050911</v>
      </c>
      <c r="F32" s="62">
        <v>5.3232018397814773</v>
      </c>
      <c r="G32" s="61">
        <v>16.412533552159832</v>
      </c>
      <c r="H32" s="62">
        <v>13.354048741686565</v>
      </c>
      <c r="I32" s="61">
        <v>15.488036541686194</v>
      </c>
      <c r="J32" s="63">
        <v>16.31960581076692</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row>
    <row r="33" spans="1:85" ht="14.4">
      <c r="A33" s="170" t="s">
        <v>222</v>
      </c>
      <c r="B33" s="176">
        <v>18.528105385482142</v>
      </c>
      <c r="C33" s="177">
        <v>60.48635591842978</v>
      </c>
      <c r="D33" s="60">
        <v>76.121265729986888</v>
      </c>
      <c r="E33" s="61">
        <v>74.673164075203516</v>
      </c>
      <c r="F33" s="62">
        <v>55.145252831551844</v>
      </c>
      <c r="G33" s="61">
        <v>62.124061686303207</v>
      </c>
      <c r="H33" s="62">
        <v>49.858176833609804</v>
      </c>
      <c r="I33" s="61">
        <v>54.889215527820028</v>
      </c>
      <c r="J33" s="63">
        <v>66.662311993279829</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row>
    <row r="34" spans="1:85" ht="14.4">
      <c r="A34" s="170" t="s">
        <v>223</v>
      </c>
      <c r="B34" s="176">
        <v>42.470059248401022</v>
      </c>
      <c r="C34" s="177">
        <v>109.20388002860699</v>
      </c>
      <c r="D34" s="60">
        <v>99.678239633217999</v>
      </c>
      <c r="E34" s="61">
        <v>103.09038891825872</v>
      </c>
      <c r="F34" s="62">
        <v>77.613288996246382</v>
      </c>
      <c r="G34" s="61">
        <v>121.48472436366579</v>
      </c>
      <c r="H34" s="62">
        <v>218.51880429236141</v>
      </c>
      <c r="I34" s="61">
        <v>97.148893646814756</v>
      </c>
      <c r="J34" s="63">
        <v>144.82243115867374</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row>
    <row r="35" spans="1:85" ht="14.4">
      <c r="A35" s="170" t="s">
        <v>224</v>
      </c>
      <c r="B35" s="176">
        <v>8.559317473447102</v>
      </c>
      <c r="C35" s="177">
        <v>11.819612365262543</v>
      </c>
      <c r="D35" s="60">
        <v>7.0770036619298864</v>
      </c>
      <c r="E35" s="61">
        <v>7.2856729549453441</v>
      </c>
      <c r="F35" s="62">
        <v>6.8939406232206801</v>
      </c>
      <c r="G35" s="61">
        <v>8.9066153593995629</v>
      </c>
      <c r="H35" s="62">
        <v>14.544953425820715</v>
      </c>
      <c r="I35" s="61">
        <v>12.495665442398295</v>
      </c>
      <c r="J35" s="63">
        <v>21.978737591665066</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row>
    <row r="36" spans="1:85" ht="14.4">
      <c r="A36" s="170" t="s">
        <v>225</v>
      </c>
      <c r="B36" s="176">
        <v>3.9042181994711656</v>
      </c>
      <c r="C36" s="177">
        <v>8.0634302148165489</v>
      </c>
      <c r="D36" s="60">
        <v>6.8727617367471145</v>
      </c>
      <c r="E36" s="61">
        <v>7.0398540156080038</v>
      </c>
      <c r="F36" s="62">
        <v>5.7529858500383</v>
      </c>
      <c r="G36" s="61">
        <v>7.998807295717806</v>
      </c>
      <c r="H36" s="62">
        <v>13.098866398094179</v>
      </c>
      <c r="I36" s="61">
        <v>7.6070552934936595</v>
      </c>
      <c r="J36" s="63">
        <v>11.861425989191849</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row>
    <row r="37" spans="1:85" ht="14.4">
      <c r="A37" s="170" t="s">
        <v>226</v>
      </c>
      <c r="B37" s="176">
        <v>53.257669310834693</v>
      </c>
      <c r="C37" s="177">
        <v>68.782138559211617</v>
      </c>
      <c r="D37" s="60">
        <v>25.998421996249785</v>
      </c>
      <c r="E37" s="61">
        <v>29.191455057181656</v>
      </c>
      <c r="F37" s="62">
        <v>54.717771018324356</v>
      </c>
      <c r="G37" s="61">
        <v>55.741069196347311</v>
      </c>
      <c r="H37" s="62">
        <v>123.47474927268176</v>
      </c>
      <c r="I37" s="61">
        <v>71.827507947081529</v>
      </c>
      <c r="J37" s="63">
        <v>141.06027927569181</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row>
    <row r="38" spans="1:85" ht="14.4">
      <c r="A38" s="170" t="s">
        <v>227</v>
      </c>
      <c r="B38" s="176">
        <v>0.16463620057327977</v>
      </c>
      <c r="C38" s="177">
        <v>0.52985559150989936</v>
      </c>
      <c r="D38" s="60">
        <v>0.46498495107314636</v>
      </c>
      <c r="E38" s="61">
        <v>0.48848651508137769</v>
      </c>
      <c r="F38" s="62">
        <v>0.68611443258951299</v>
      </c>
      <c r="G38" s="61">
        <v>0.66687622013391445</v>
      </c>
      <c r="H38" s="62">
        <v>1.2382887032135343</v>
      </c>
      <c r="I38" s="61">
        <v>0.43970792158209016</v>
      </c>
      <c r="J38" s="63">
        <v>0.7059229583702934</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row>
    <row r="39" spans="1:85" ht="14.4">
      <c r="A39" s="170" t="s">
        <v>228</v>
      </c>
      <c r="B39" s="176">
        <v>0.40966468107051501</v>
      </c>
      <c r="C39" s="177">
        <v>2.8488370268902377</v>
      </c>
      <c r="D39" s="60">
        <v>4.2394147377858005</v>
      </c>
      <c r="E39" s="61">
        <v>4.1707524249938634</v>
      </c>
      <c r="F39" s="62">
        <v>1.5568476158232267</v>
      </c>
      <c r="G39" s="61">
        <v>3.2903353149023822</v>
      </c>
      <c r="H39" s="62">
        <v>3.122752686881018</v>
      </c>
      <c r="I39" s="61">
        <v>2.3988763786854896</v>
      </c>
      <c r="J39" s="63">
        <v>2.1230788787514112</v>
      </c>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row>
    <row r="40" spans="1:85" ht="14.4">
      <c r="A40" s="170" t="s">
        <v>229</v>
      </c>
      <c r="B40" s="176">
        <v>94.675761946447977</v>
      </c>
      <c r="C40" s="177">
        <v>277.22590706467287</v>
      </c>
      <c r="D40" s="60">
        <v>376.60449537461602</v>
      </c>
      <c r="E40" s="61">
        <v>366.06453915138354</v>
      </c>
      <c r="F40" s="62">
        <v>58.175904182968836</v>
      </c>
      <c r="G40" s="61">
        <v>252.07753904021195</v>
      </c>
      <c r="H40" s="62">
        <v>149.23083208193879</v>
      </c>
      <c r="I40" s="61">
        <v>264.1233929271657</v>
      </c>
      <c r="J40" s="63">
        <v>276.07240514376855</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row>
    <row r="41" spans="1:85" ht="14.4">
      <c r="A41" s="170" t="s">
        <v>230</v>
      </c>
      <c r="B41" s="176">
        <v>1.2709536510498036</v>
      </c>
      <c r="C41" s="177">
        <v>2.3070518960915405</v>
      </c>
      <c r="D41" s="60">
        <v>2.1556345178933451</v>
      </c>
      <c r="E41" s="61">
        <v>2.1091943402462778</v>
      </c>
      <c r="F41" s="62">
        <v>2.4486316785668047</v>
      </c>
      <c r="G41" s="61">
        <v>1.89432841533388</v>
      </c>
      <c r="H41" s="62">
        <v>1.2550995881820115</v>
      </c>
      <c r="I41" s="61">
        <v>2.3337870025175902</v>
      </c>
      <c r="J41" s="63">
        <v>3.6191938584575825</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row>
    <row r="42" spans="1:85" ht="14.4">
      <c r="A42" s="170" t="s">
        <v>3</v>
      </c>
      <c r="B42" s="178">
        <v>56127.539751022989</v>
      </c>
      <c r="C42" s="179">
        <v>122442.06241382884</v>
      </c>
      <c r="D42" s="64">
        <v>140577.92822483668</v>
      </c>
      <c r="E42" s="65">
        <v>137670.90701973054</v>
      </c>
      <c r="F42" s="66">
        <v>29740.686123343439</v>
      </c>
      <c r="G42" s="65">
        <v>103879.23358958618</v>
      </c>
      <c r="H42" s="66">
        <v>85358.545582178311</v>
      </c>
      <c r="I42" s="65">
        <v>121122.75730206583</v>
      </c>
      <c r="J42" s="67">
        <v>151571.4072621245</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row>
    <row r="43" spans="1:85" ht="14.4">
      <c r="A43" s="169" t="s">
        <v>231</v>
      </c>
      <c r="B43" s="176">
        <v>0.33964839220249454</v>
      </c>
      <c r="C43" s="177">
        <v>1.1930052365305148</v>
      </c>
      <c r="D43" s="61">
        <v>1.5169623107396906</v>
      </c>
      <c r="E43" s="61">
        <v>1.5051192573626944</v>
      </c>
      <c r="F43" s="61">
        <v>0.43367536985948352</v>
      </c>
      <c r="G43" s="61">
        <v>1.2628462788565464</v>
      </c>
      <c r="H43" s="61">
        <v>1.4847393931649548</v>
      </c>
      <c r="I43" s="61">
        <v>1.0669248813175318</v>
      </c>
      <c r="J43" s="61">
        <v>1.1774074357872317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row>
    <row r="44" spans="1:85" ht="14.4">
      <c r="A44" s="170" t="s">
        <v>232</v>
      </c>
      <c r="B44" s="176">
        <v>6.1924397269000497</v>
      </c>
      <c r="C44" s="177">
        <v>10.012403277336904</v>
      </c>
      <c r="D44" s="61">
        <v>9.8919671177176749</v>
      </c>
      <c r="E44" s="61">
        <v>9.5985117450735959</v>
      </c>
      <c r="F44" s="61">
        <v>2.4037106038045231</v>
      </c>
      <c r="G44" s="61">
        <v>6.8431920009924738</v>
      </c>
      <c r="H44" s="61">
        <v>3.4402404475565818</v>
      </c>
      <c r="I44" s="61">
        <v>10.682332831875405</v>
      </c>
      <c r="J44" s="61">
        <v>15.077547310111223</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row>
    <row r="45" spans="1:85" ht="14.4">
      <c r="A45" s="170" t="s">
        <v>233</v>
      </c>
      <c r="B45" s="176">
        <v>14.616710567868417</v>
      </c>
      <c r="C45" s="177">
        <v>19.142967962160775</v>
      </c>
      <c r="D45" s="61">
        <v>14.84481797920559</v>
      </c>
      <c r="E45" s="61">
        <v>14.458415460702154</v>
      </c>
      <c r="F45" s="61">
        <v>4.1551661766418269</v>
      </c>
      <c r="G45" s="61">
        <v>11.048285035063239</v>
      </c>
      <c r="H45" s="61">
        <v>6.7210508692893693</v>
      </c>
      <c r="I45" s="61">
        <v>21.492163479363118</v>
      </c>
      <c r="J45" s="61">
        <v>33.98404448901227</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row>
    <row r="46" spans="1:85" ht="14.4">
      <c r="A46" s="170" t="s">
        <v>234</v>
      </c>
      <c r="B46" s="176">
        <v>1.576777209396879</v>
      </c>
      <c r="C46" s="177">
        <v>2.264913256788974</v>
      </c>
      <c r="D46" s="61">
        <v>1.9757994694729788</v>
      </c>
      <c r="E46" s="61">
        <v>1.9221187206373191</v>
      </c>
      <c r="F46" s="61">
        <v>0.47904560387307993</v>
      </c>
      <c r="G46" s="61">
        <v>1.4220398532866727</v>
      </c>
      <c r="H46" s="61">
        <v>0.82955199090524423</v>
      </c>
      <c r="I46" s="61">
        <v>2.4831222956612478</v>
      </c>
      <c r="J46" s="61">
        <v>3.733764239643111</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row>
    <row r="47" spans="1:85" ht="14.4">
      <c r="A47" s="170" t="s">
        <v>235</v>
      </c>
      <c r="B47" s="176">
        <v>1.2384218352344105</v>
      </c>
      <c r="C47" s="177">
        <v>1.9806739586946587</v>
      </c>
      <c r="D47" s="61">
        <v>1.9243474245318428</v>
      </c>
      <c r="E47" s="61">
        <v>1.8710117014743384</v>
      </c>
      <c r="F47" s="61">
        <v>0.41528700805896274</v>
      </c>
      <c r="G47" s="61">
        <v>1.3526767892078044</v>
      </c>
      <c r="H47" s="61">
        <v>0.77755720201193634</v>
      </c>
      <c r="I47" s="61">
        <v>2.1153808428185892</v>
      </c>
      <c r="J47" s="61">
        <v>3.0045193404495096</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row>
    <row r="48" spans="1:85" ht="14.4">
      <c r="A48" s="170" t="s">
        <v>236</v>
      </c>
      <c r="B48" s="176">
        <v>18.690826917058267</v>
      </c>
      <c r="C48" s="177">
        <v>14.652414588921236</v>
      </c>
      <c r="D48" s="61">
        <v>0.97619900049955399</v>
      </c>
      <c r="E48" s="61">
        <v>1.0009497740486637</v>
      </c>
      <c r="F48" s="61">
        <v>3.3200287464383176</v>
      </c>
      <c r="G48" s="61">
        <v>2.5615469105015771</v>
      </c>
      <c r="H48" s="61">
        <v>1.8899094337354556</v>
      </c>
      <c r="I48" s="61">
        <v>19.470487564152748</v>
      </c>
      <c r="J48" s="61">
        <v>39.878789819284343</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row>
    <row r="49" spans="1:85" ht="14.4">
      <c r="A49" s="170" t="s">
        <v>237</v>
      </c>
      <c r="B49" s="176">
        <v>5.4078432434808449E-2</v>
      </c>
      <c r="C49" s="177">
        <v>9.6722141747105264E-2</v>
      </c>
      <c r="D49" s="61">
        <v>9.8986447437182379E-2</v>
      </c>
      <c r="E49" s="61">
        <v>9.6770680551880928E-2</v>
      </c>
      <c r="F49" s="61">
        <v>2.5952843105642175E-2</v>
      </c>
      <c r="G49" s="61">
        <v>7.3495333030614202E-2</v>
      </c>
      <c r="H49" s="61">
        <v>5.5231206038924771E-2</v>
      </c>
      <c r="I49" s="61">
        <v>9.9902663898713745E-2</v>
      </c>
      <c r="J49" s="61">
        <v>0.13745780049079753</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row>
    <row r="50" spans="1:85" ht="14.4">
      <c r="A50" s="171" t="s">
        <v>238</v>
      </c>
      <c r="B50" s="180">
        <v>0.13276282428480432</v>
      </c>
      <c r="C50" s="181">
        <v>0.75815552742807624</v>
      </c>
      <c r="D50" s="68">
        <v>1.2305009310919763</v>
      </c>
      <c r="E50" s="68">
        <v>1.191537669552958</v>
      </c>
      <c r="F50" s="68">
        <v>0.13322393280449671</v>
      </c>
      <c r="G50" s="68">
        <v>0.77236066016483129</v>
      </c>
      <c r="H50" s="68">
        <v>0.35695860432494969</v>
      </c>
      <c r="I50" s="68">
        <v>0.67695174743806341</v>
      </c>
      <c r="J50" s="68">
        <v>0.50696536538976611</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row>
    <row r="51" spans="1:85" ht="14.4">
      <c r="A51"/>
      <c r="B51" s="49"/>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row>
    <row r="52" spans="1:85" ht="14.4">
      <c r="A52" s="143" t="s">
        <v>239</v>
      </c>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row>
    <row r="53" spans="1:85" ht="13.2" customHeight="1">
      <c r="A53" s="1237"/>
      <c r="B53" s="1232" t="s">
        <v>179</v>
      </c>
      <c r="C53" s="1233"/>
      <c r="D53" s="1233"/>
      <c r="E53" s="1233"/>
      <c r="F53" s="1233"/>
      <c r="G53" s="1234"/>
      <c r="H53" s="1232" t="s">
        <v>180</v>
      </c>
      <c r="I53" s="1233"/>
      <c r="J53" s="1234"/>
      <c r="K53" s="1232" t="s">
        <v>240</v>
      </c>
      <c r="L53" s="1233"/>
      <c r="M53" s="1233"/>
      <c r="N53" s="1233"/>
      <c r="O53" s="1234"/>
      <c r="P53" s="1232" t="s">
        <v>241</v>
      </c>
      <c r="Q53" s="1233"/>
      <c r="R53" s="1233"/>
      <c r="S53" s="1233"/>
      <c r="T53" s="1233"/>
      <c r="U53" s="1233"/>
      <c r="V53" s="1233"/>
      <c r="W53" s="1234"/>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row>
    <row r="54" spans="1:85" ht="28.8">
      <c r="A54" s="1238"/>
      <c r="B54" s="147" t="s">
        <v>182</v>
      </c>
      <c r="C54" s="148" t="s">
        <v>183</v>
      </c>
      <c r="D54" s="148" t="s">
        <v>184</v>
      </c>
      <c r="E54" s="148" t="s">
        <v>185</v>
      </c>
      <c r="F54" s="148" t="s">
        <v>186</v>
      </c>
      <c r="G54" s="149" t="s">
        <v>187</v>
      </c>
      <c r="H54" s="147" t="s">
        <v>188</v>
      </c>
      <c r="I54" s="148" t="s">
        <v>189</v>
      </c>
      <c r="J54" s="149" t="s">
        <v>190</v>
      </c>
      <c r="K54" s="150" t="s">
        <v>191</v>
      </c>
      <c r="L54" s="151" t="s">
        <v>192</v>
      </c>
      <c r="M54" s="151" t="s">
        <v>193</v>
      </c>
      <c r="N54" s="151" t="s">
        <v>194</v>
      </c>
      <c r="O54" s="151" t="s">
        <v>195</v>
      </c>
      <c r="P54" s="147" t="s">
        <v>242</v>
      </c>
      <c r="Q54" s="148" t="s">
        <v>243</v>
      </c>
      <c r="R54" s="148" t="s">
        <v>244</v>
      </c>
      <c r="S54" s="148" t="s">
        <v>245</v>
      </c>
      <c r="T54" s="148" t="s">
        <v>246</v>
      </c>
      <c r="U54" s="148" t="s">
        <v>247</v>
      </c>
      <c r="V54" s="148" t="s">
        <v>248</v>
      </c>
      <c r="W54" s="149" t="s">
        <v>249</v>
      </c>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row>
    <row r="55" spans="1:85" ht="14.4">
      <c r="A55" s="153" t="s">
        <v>5</v>
      </c>
      <c r="B55" s="182"/>
      <c r="C55" s="183"/>
      <c r="D55" s="183"/>
      <c r="E55" s="183"/>
      <c r="F55" s="183"/>
      <c r="G55" s="184"/>
      <c r="H55" s="182"/>
      <c r="I55" s="183"/>
      <c r="J55" s="184"/>
      <c r="K55" s="182"/>
      <c r="L55" s="183"/>
      <c r="M55" s="183"/>
      <c r="N55" s="183"/>
      <c r="O55" s="184"/>
      <c r="P55" s="185">
        <v>0.65400000000000003</v>
      </c>
      <c r="Q55" s="183"/>
      <c r="R55" s="183"/>
      <c r="S55" s="183"/>
      <c r="T55" s="183"/>
      <c r="U55" s="183"/>
      <c r="V55" s="183"/>
      <c r="W55" s="184"/>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row>
    <row r="56" spans="1:85" ht="14.4">
      <c r="A56" s="158" t="s">
        <v>250</v>
      </c>
      <c r="B56" s="186"/>
      <c r="C56" s="187"/>
      <c r="D56" s="187"/>
      <c r="E56" s="187"/>
      <c r="F56" s="187"/>
      <c r="G56" s="188"/>
      <c r="H56" s="186"/>
      <c r="I56" s="187"/>
      <c r="J56" s="188">
        <v>2.69</v>
      </c>
      <c r="K56" s="186"/>
      <c r="L56" s="187"/>
      <c r="M56" s="187"/>
      <c r="N56" s="187"/>
      <c r="O56" s="188"/>
      <c r="P56" s="186"/>
      <c r="Q56" s="187"/>
      <c r="R56" s="187"/>
      <c r="S56" s="187"/>
      <c r="T56" s="187"/>
      <c r="U56" s="187"/>
      <c r="V56" s="187"/>
      <c r="W56" s="188"/>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row>
    <row r="57" spans="1:85" ht="14.4">
      <c r="A57" s="158" t="s">
        <v>251</v>
      </c>
      <c r="B57" s="186">
        <v>0.45300000000000001</v>
      </c>
      <c r="C57" s="187">
        <v>6.617</v>
      </c>
      <c r="D57" s="187">
        <v>0.63600000000000001</v>
      </c>
      <c r="E57" s="187">
        <v>1.0680000000000001</v>
      </c>
      <c r="F57" s="187">
        <v>1.3540000000000001</v>
      </c>
      <c r="G57" s="188">
        <v>0.45900000000000002</v>
      </c>
      <c r="H57" s="186">
        <v>0.14000000000000001</v>
      </c>
      <c r="I57" s="187">
        <v>0.14000000000000001</v>
      </c>
      <c r="J57" s="188"/>
      <c r="K57" s="186">
        <v>2.4390000000000001</v>
      </c>
      <c r="L57" s="187">
        <v>0.79400000000000004</v>
      </c>
      <c r="M57" s="187">
        <v>0.74399999999999999</v>
      </c>
      <c r="N57" s="187">
        <v>2.4390000000000001</v>
      </c>
      <c r="O57" s="188">
        <v>0.69399999999999995</v>
      </c>
      <c r="P57" s="186">
        <v>0.34599999999999997</v>
      </c>
      <c r="Q57" s="187"/>
      <c r="R57" s="187">
        <v>30</v>
      </c>
      <c r="S57" s="187">
        <v>2.9000000000000001E-2</v>
      </c>
      <c r="T57" s="187">
        <v>1.2E-2</v>
      </c>
      <c r="U57" s="187"/>
      <c r="V57" s="187"/>
      <c r="W57" s="189">
        <v>5.8999999999999999E-3</v>
      </c>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row>
    <row r="58" spans="1:85" ht="14.4">
      <c r="A58" s="158" t="s">
        <v>252</v>
      </c>
      <c r="B58" s="186"/>
      <c r="C58" s="187">
        <v>2.5000000000000001E-2</v>
      </c>
      <c r="D58" s="187">
        <v>3.2000000000000001E-2</v>
      </c>
      <c r="E58" s="187"/>
      <c r="F58" s="187"/>
      <c r="G58" s="188"/>
      <c r="H58" s="190">
        <v>1.4705999999999999E-4</v>
      </c>
      <c r="I58" s="191">
        <v>1.4705999999999999E-4</v>
      </c>
      <c r="J58" s="188">
        <v>1.6E-2</v>
      </c>
      <c r="K58" s="186"/>
      <c r="L58" s="191">
        <v>3.2670932978322797E-4</v>
      </c>
      <c r="M58" s="191">
        <v>3.5178235308298399E-4</v>
      </c>
      <c r="N58" s="187"/>
      <c r="O58" s="192">
        <v>2.48387239934929E-4</v>
      </c>
      <c r="P58" s="186"/>
      <c r="Q58" s="187"/>
      <c r="R58" s="187"/>
      <c r="S58" s="187"/>
      <c r="T58" s="187"/>
      <c r="U58" s="187"/>
      <c r="V58" s="187"/>
      <c r="W58" s="18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row>
    <row r="59" spans="1:85" ht="14.4">
      <c r="A59" s="158" t="s">
        <v>253</v>
      </c>
      <c r="B59" s="186"/>
      <c r="C59" s="187">
        <v>5.6000000000000001E-2</v>
      </c>
      <c r="D59" s="187">
        <v>7.2999999999999995E-2</v>
      </c>
      <c r="E59" s="187"/>
      <c r="F59" s="187"/>
      <c r="G59" s="188"/>
      <c r="H59" s="186"/>
      <c r="I59" s="187"/>
      <c r="J59" s="188"/>
      <c r="K59" s="186">
        <v>4.1000000000000003E-3</v>
      </c>
      <c r="L59" s="191">
        <v>4.9929126645443897E-5</v>
      </c>
      <c r="M59" s="191">
        <v>5.3760894034971096E-5</v>
      </c>
      <c r="N59" s="187">
        <v>4.1000000000000003E-3</v>
      </c>
      <c r="O59" s="192">
        <v>3.7959607606100098E-5</v>
      </c>
      <c r="P59" s="186"/>
      <c r="Q59" s="187"/>
      <c r="R59" s="187">
        <v>0.57199999999999995</v>
      </c>
      <c r="S59" s="187"/>
      <c r="T59" s="187"/>
      <c r="U59" s="187"/>
      <c r="V59" s="187"/>
      <c r="W59" s="188"/>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row>
    <row r="60" spans="1:85" ht="14.4">
      <c r="A60" s="158" t="s">
        <v>87</v>
      </c>
      <c r="B60" s="186"/>
      <c r="C60" s="187"/>
      <c r="D60" s="187"/>
      <c r="E60" s="187">
        <v>0.65400000000000003</v>
      </c>
      <c r="F60" s="187"/>
      <c r="G60" s="188"/>
      <c r="H60" s="186"/>
      <c r="I60" s="187"/>
      <c r="J60" s="188"/>
      <c r="K60" s="186"/>
      <c r="L60" s="187"/>
      <c r="M60" s="187"/>
      <c r="N60" s="187"/>
      <c r="O60" s="188"/>
      <c r="P60" s="186"/>
      <c r="Q60" s="187"/>
      <c r="R60" s="187"/>
      <c r="S60" s="187"/>
      <c r="T60" s="187"/>
      <c r="U60" s="187"/>
      <c r="V60" s="187"/>
      <c r="W60" s="188"/>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row>
    <row r="61" spans="1:85" ht="14.4">
      <c r="A61" s="158" t="s">
        <v>254</v>
      </c>
      <c r="B61" s="186"/>
      <c r="C61" s="187"/>
      <c r="D61" s="187"/>
      <c r="E61" s="187">
        <v>0.153</v>
      </c>
      <c r="F61" s="187"/>
      <c r="G61" s="188"/>
      <c r="H61" s="186"/>
      <c r="I61" s="187"/>
      <c r="J61" s="188"/>
      <c r="K61" s="186"/>
      <c r="L61" s="187"/>
      <c r="M61" s="187"/>
      <c r="N61" s="187"/>
      <c r="O61" s="188"/>
      <c r="P61" s="186"/>
      <c r="Q61" s="187"/>
      <c r="R61" s="187"/>
      <c r="S61" s="187"/>
      <c r="T61" s="187"/>
      <c r="U61" s="187"/>
      <c r="V61" s="187"/>
      <c r="W61" s="188"/>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row>
    <row r="62" spans="1:85" ht="14.4">
      <c r="A62" s="158" t="s">
        <v>249</v>
      </c>
      <c r="B62" s="186"/>
      <c r="C62" s="187"/>
      <c r="D62" s="187"/>
      <c r="E62" s="193">
        <v>4.3E-3</v>
      </c>
      <c r="F62" s="193">
        <v>6.7000000000000002E-3</v>
      </c>
      <c r="G62" s="188"/>
      <c r="H62" s="190">
        <v>4.6538400000000002E-5</v>
      </c>
      <c r="I62" s="191">
        <v>4.6538400000000002E-5</v>
      </c>
      <c r="J62" s="188">
        <v>5.9999999999999995E-4</v>
      </c>
      <c r="K62" s="186"/>
      <c r="L62" s="193">
        <v>6.9999999999999999E-4</v>
      </c>
      <c r="M62" s="193">
        <v>6.9999999999999999E-4</v>
      </c>
      <c r="N62" s="193"/>
      <c r="O62" s="189">
        <v>5.0000000000000001E-4</v>
      </c>
      <c r="P62" s="186"/>
      <c r="Q62" s="187"/>
      <c r="R62" s="187"/>
      <c r="S62" s="187"/>
      <c r="T62" s="187"/>
      <c r="U62" s="187"/>
      <c r="V62" s="187"/>
      <c r="W62" s="188"/>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row>
    <row r="63" spans="1:85" ht="14.4">
      <c r="A63" s="158" t="s">
        <v>255</v>
      </c>
      <c r="B63" s="186"/>
      <c r="C63" s="187"/>
      <c r="D63" s="187"/>
      <c r="E63" s="187">
        <v>0.35299999999999998</v>
      </c>
      <c r="F63" s="187"/>
      <c r="G63" s="188"/>
      <c r="H63" s="186"/>
      <c r="I63" s="187"/>
      <c r="J63" s="188"/>
      <c r="K63" s="186"/>
      <c r="L63" s="187"/>
      <c r="M63" s="187"/>
      <c r="N63" s="187"/>
      <c r="O63" s="188"/>
      <c r="P63" s="186"/>
      <c r="Q63" s="187"/>
      <c r="R63" s="187"/>
      <c r="S63" s="187"/>
      <c r="T63" s="187"/>
      <c r="U63" s="187"/>
      <c r="V63" s="187"/>
      <c r="W63" s="188"/>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row>
    <row r="64" spans="1:85" ht="14.4">
      <c r="A64" s="158" t="s">
        <v>256</v>
      </c>
      <c r="B64" s="186"/>
      <c r="C64" s="187"/>
      <c r="D64" s="187"/>
      <c r="E64" s="187"/>
      <c r="F64" s="187">
        <v>1.7000000000000001E-2</v>
      </c>
      <c r="G64" s="188"/>
      <c r="H64" s="186"/>
      <c r="I64" s="187"/>
      <c r="J64" s="188"/>
      <c r="K64" s="186"/>
      <c r="L64" s="187"/>
      <c r="M64" s="187"/>
      <c r="N64" s="187"/>
      <c r="O64" s="188"/>
      <c r="P64" s="186"/>
      <c r="Q64" s="187"/>
      <c r="R64" s="187"/>
      <c r="S64" s="187"/>
      <c r="T64" s="187"/>
      <c r="U64" s="187"/>
      <c r="V64" s="187"/>
      <c r="W64" s="188"/>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row>
    <row r="65" spans="1:85" ht="14.4">
      <c r="A65" s="158" t="s">
        <v>257</v>
      </c>
      <c r="B65" s="186"/>
      <c r="C65" s="187"/>
      <c r="D65" s="187"/>
      <c r="E65" s="187"/>
      <c r="F65" s="187">
        <v>0.42</v>
      </c>
      <c r="G65" s="188"/>
      <c r="H65" s="186"/>
      <c r="I65" s="187"/>
      <c r="J65" s="188"/>
      <c r="K65" s="186"/>
      <c r="L65" s="187"/>
      <c r="M65" s="187"/>
      <c r="N65" s="187"/>
      <c r="O65" s="188"/>
      <c r="P65" s="186"/>
      <c r="Q65" s="187"/>
      <c r="R65" s="187"/>
      <c r="S65" s="187"/>
      <c r="T65" s="187"/>
      <c r="U65" s="187"/>
      <c r="V65" s="187"/>
      <c r="W65" s="188"/>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row>
    <row r="66" spans="1:85" ht="14.4">
      <c r="A66" s="158" t="s">
        <v>258</v>
      </c>
      <c r="B66" s="186"/>
      <c r="C66" s="187"/>
      <c r="D66" s="187"/>
      <c r="E66" s="187"/>
      <c r="F66" s="187">
        <v>6.0000000000000001E-3</v>
      </c>
      <c r="G66" s="188"/>
      <c r="H66" s="186"/>
      <c r="I66" s="187"/>
      <c r="J66" s="188"/>
      <c r="K66" s="186"/>
      <c r="L66" s="187"/>
      <c r="M66" s="187"/>
      <c r="N66" s="187"/>
      <c r="O66" s="188"/>
      <c r="P66" s="186"/>
      <c r="Q66" s="187"/>
      <c r="R66" s="187"/>
      <c r="S66" s="187"/>
      <c r="T66" s="187"/>
      <c r="U66" s="187"/>
      <c r="V66" s="187"/>
      <c r="W66" s="188"/>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row>
    <row r="67" spans="1:85" ht="14.4">
      <c r="A67" s="158" t="s">
        <v>259</v>
      </c>
      <c r="B67" s="186"/>
      <c r="C67" s="187"/>
      <c r="D67" s="187"/>
      <c r="E67" s="187"/>
      <c r="F67" s="193">
        <v>6.1999999999999998E-3</v>
      </c>
      <c r="G67" s="188"/>
      <c r="H67" s="190">
        <v>2.2905100000000002E-5</v>
      </c>
      <c r="I67" s="191">
        <v>2.2905100000000002E-5</v>
      </c>
      <c r="J67" s="192"/>
      <c r="K67" s="190">
        <v>2.0529779359600801E-4</v>
      </c>
      <c r="L67" s="191">
        <v>3.0078026766706701E-4</v>
      </c>
      <c r="M67" s="187">
        <v>1E-3</v>
      </c>
      <c r="N67" s="191">
        <v>2.0529779359600801E-4</v>
      </c>
      <c r="O67" s="192">
        <v>2.9821317072756796E-4</v>
      </c>
      <c r="P67" s="186"/>
      <c r="Q67" s="187"/>
      <c r="R67" s="187"/>
      <c r="S67" s="187"/>
      <c r="T67" s="187"/>
      <c r="U67" s="187"/>
      <c r="V67" s="187"/>
      <c r="W67" s="188"/>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row>
    <row r="68" spans="1:85" ht="14.4">
      <c r="A68" s="158" t="s">
        <v>260</v>
      </c>
      <c r="B68" s="186"/>
      <c r="C68" s="187"/>
      <c r="D68" s="187"/>
      <c r="E68" s="187"/>
      <c r="F68" s="187"/>
      <c r="G68" s="192">
        <v>2.2000000000000001E-4</v>
      </c>
      <c r="H68" s="190">
        <v>2.5453699999999999E-4</v>
      </c>
      <c r="I68" s="191">
        <v>2.5453699999999999E-4</v>
      </c>
      <c r="J68" s="188"/>
      <c r="K68" s="194">
        <v>1.5E-3</v>
      </c>
      <c r="L68" s="187">
        <v>4.4999999999999998E-2</v>
      </c>
      <c r="M68" s="187">
        <v>0.23200000000000001</v>
      </c>
      <c r="N68" s="193">
        <v>1.5E-3</v>
      </c>
      <c r="O68" s="188">
        <v>3.7999999999999999E-2</v>
      </c>
      <c r="P68" s="186"/>
      <c r="Q68" s="187"/>
      <c r="R68" s="187"/>
      <c r="S68" s="187"/>
      <c r="T68" s="187"/>
      <c r="U68" s="187"/>
      <c r="V68" s="187"/>
      <c r="W68" s="18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row>
    <row r="69" spans="1:85" ht="14.4">
      <c r="A69" s="158" t="s">
        <v>261</v>
      </c>
      <c r="B69" s="186"/>
      <c r="C69" s="187"/>
      <c r="D69" s="187"/>
      <c r="E69" s="187"/>
      <c r="F69" s="187"/>
      <c r="G69" s="188"/>
      <c r="H69" s="194">
        <v>6.4999999999999997E-3</v>
      </c>
      <c r="I69" s="193">
        <v>6.4999999999999997E-3</v>
      </c>
      <c r="J69" s="188"/>
      <c r="K69" s="195">
        <v>0.02</v>
      </c>
      <c r="L69" s="196">
        <v>0.01</v>
      </c>
      <c r="M69" s="187">
        <v>0.01</v>
      </c>
      <c r="N69" s="187">
        <v>1.4E-2</v>
      </c>
      <c r="O69" s="189">
        <v>6.7999999999999996E-3</v>
      </c>
      <c r="P69" s="186"/>
      <c r="Q69" s="187"/>
      <c r="R69" s="187"/>
      <c r="S69" s="187"/>
      <c r="T69" s="187"/>
      <c r="U69" s="187"/>
      <c r="V69" s="187"/>
      <c r="W69" s="188"/>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row>
    <row r="70" spans="1:85" ht="14.4">
      <c r="A70" s="158" t="s">
        <v>262</v>
      </c>
      <c r="B70" s="186"/>
      <c r="C70" s="187"/>
      <c r="D70" s="187"/>
      <c r="E70" s="187"/>
      <c r="F70" s="187"/>
      <c r="G70" s="188"/>
      <c r="H70" s="190">
        <v>1.44127E-4</v>
      </c>
      <c r="I70" s="191">
        <v>1.44127E-4</v>
      </c>
      <c r="J70" s="188">
        <v>1.7999999999999999E-2</v>
      </c>
      <c r="K70" s="194">
        <v>5.9999999999999995E-4</v>
      </c>
      <c r="L70" s="193">
        <v>1.4E-3</v>
      </c>
      <c r="M70" s="193">
        <v>1.5E-3</v>
      </c>
      <c r="N70" s="193">
        <v>5.9999999999999995E-4</v>
      </c>
      <c r="O70" s="188">
        <v>1.1000000000000001E-3</v>
      </c>
      <c r="P70" s="186"/>
      <c r="Q70" s="187"/>
      <c r="R70" s="187"/>
      <c r="S70" s="187"/>
      <c r="T70" s="187"/>
      <c r="U70" s="187"/>
      <c r="V70" s="187"/>
      <c r="W70" s="188"/>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row>
    <row r="71" spans="1:85" ht="14.4">
      <c r="A71" s="158" t="s">
        <v>263</v>
      </c>
      <c r="B71" s="186"/>
      <c r="C71" s="187"/>
      <c r="D71" s="187"/>
      <c r="E71" s="187"/>
      <c r="F71" s="187"/>
      <c r="G71" s="188"/>
      <c r="H71" s="186">
        <v>4.8000000000000001E-2</v>
      </c>
      <c r="I71" s="187">
        <v>4.8000000000000001E-2</v>
      </c>
      <c r="J71" s="188"/>
      <c r="K71" s="186"/>
      <c r="L71" s="187"/>
      <c r="M71" s="187"/>
      <c r="N71" s="187"/>
      <c r="O71" s="188"/>
      <c r="P71" s="186"/>
      <c r="Q71" s="187"/>
      <c r="R71" s="187"/>
      <c r="S71" s="187"/>
      <c r="T71" s="187"/>
      <c r="U71" s="187"/>
      <c r="V71" s="187"/>
      <c r="W71" s="188"/>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row>
    <row r="72" spans="1:85" ht="14.4">
      <c r="A72" s="158" t="s">
        <v>264</v>
      </c>
      <c r="B72" s="186"/>
      <c r="C72" s="187"/>
      <c r="D72" s="187"/>
      <c r="E72" s="187"/>
      <c r="F72" s="187"/>
      <c r="G72" s="188"/>
      <c r="H72" s="190">
        <v>8.9428400000000013E-6</v>
      </c>
      <c r="I72" s="191">
        <v>8.9428400000000013E-6</v>
      </c>
      <c r="J72" s="188"/>
      <c r="K72" s="186"/>
      <c r="L72" s="191">
        <v>2.0670357234907E-4</v>
      </c>
      <c r="M72" s="191">
        <v>4.4763710787400202E-4</v>
      </c>
      <c r="N72" s="187"/>
      <c r="O72" s="192">
        <v>1.7471522896216602E-4</v>
      </c>
      <c r="P72" s="186"/>
      <c r="Q72" s="187"/>
      <c r="R72" s="187"/>
      <c r="S72" s="187"/>
      <c r="T72" s="187"/>
      <c r="U72" s="187"/>
      <c r="V72" s="187"/>
      <c r="W72" s="188"/>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row>
    <row r="73" spans="1:85" ht="14.4">
      <c r="A73" s="158" t="s">
        <v>265</v>
      </c>
      <c r="B73" s="186"/>
      <c r="C73" s="187"/>
      <c r="D73" s="187"/>
      <c r="E73" s="187"/>
      <c r="F73" s="187"/>
      <c r="G73" s="188"/>
      <c r="H73" s="190">
        <v>1.3698999999999999E-5</v>
      </c>
      <c r="I73" s="191">
        <v>1.3698999999999999E-5</v>
      </c>
      <c r="J73" s="188"/>
      <c r="K73" s="190">
        <v>2.3691672845731801E-4</v>
      </c>
      <c r="L73" s="193">
        <v>7.9886731096053996E-4</v>
      </c>
      <c r="M73" s="191">
        <v>3.9837812841490101E-4</v>
      </c>
      <c r="N73" s="191">
        <v>2.3691672845731801E-4</v>
      </c>
      <c r="O73" s="189">
        <v>8.0000000000000004E-4</v>
      </c>
      <c r="P73" s="186"/>
      <c r="Q73" s="187"/>
      <c r="R73" s="187"/>
      <c r="S73" s="187"/>
      <c r="T73" s="187"/>
      <c r="U73" s="187"/>
      <c r="V73" s="187"/>
      <c r="W73" s="188"/>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row>
    <row r="74" spans="1:85" ht="14.4">
      <c r="A74" s="158" t="s">
        <v>266</v>
      </c>
      <c r="B74" s="186"/>
      <c r="C74" s="187"/>
      <c r="D74" s="187"/>
      <c r="E74" s="187"/>
      <c r="F74" s="187"/>
      <c r="G74" s="188"/>
      <c r="H74" s="194">
        <v>3.8E-3</v>
      </c>
      <c r="I74" s="193">
        <v>3.8E-3</v>
      </c>
      <c r="J74" s="188">
        <v>5.2999999999999999E-2</v>
      </c>
      <c r="K74" s="190">
        <v>1.5052775672484E-5</v>
      </c>
      <c r="L74" s="193">
        <v>6.9999999999999999E-4</v>
      </c>
      <c r="M74" s="193">
        <v>8.0000000000000004E-4</v>
      </c>
      <c r="N74" s="191">
        <v>1.5052775672484E-5</v>
      </c>
      <c r="O74" s="189">
        <v>5.0000000000000001E-4</v>
      </c>
      <c r="P74" s="186"/>
      <c r="Q74" s="187"/>
      <c r="R74" s="187"/>
      <c r="S74" s="187"/>
      <c r="T74" s="187"/>
      <c r="U74" s="187"/>
      <c r="V74" s="187"/>
      <c r="W74" s="188"/>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row>
    <row r="75" spans="1:85" ht="14.4">
      <c r="A75" s="158" t="s">
        <v>267</v>
      </c>
      <c r="B75" s="186"/>
      <c r="C75" s="187"/>
      <c r="D75" s="187"/>
      <c r="E75" s="187"/>
      <c r="F75" s="187"/>
      <c r="G75" s="188"/>
      <c r="H75" s="186">
        <v>1.4999999999999999E-2</v>
      </c>
      <c r="I75" s="187">
        <v>1.4999999999999999E-2</v>
      </c>
      <c r="J75" s="188">
        <v>0.158</v>
      </c>
      <c r="K75" s="190">
        <v>4.4649242975532E-5</v>
      </c>
      <c r="L75" s="187">
        <v>2E-3</v>
      </c>
      <c r="M75" s="193">
        <v>2.0999999999999999E-3</v>
      </c>
      <c r="N75" s="191">
        <v>4.4649242975532E-5</v>
      </c>
      <c r="O75" s="189">
        <v>1.5E-3</v>
      </c>
      <c r="P75" s="186"/>
      <c r="Q75" s="187"/>
      <c r="R75" s="187"/>
      <c r="S75" s="187"/>
      <c r="T75" s="187"/>
      <c r="U75" s="187"/>
      <c r="V75" s="187"/>
      <c r="W75" s="188"/>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row>
    <row r="76" spans="1:85" ht="14.4">
      <c r="A76" s="158" t="s">
        <v>244</v>
      </c>
      <c r="B76" s="186"/>
      <c r="C76" s="187"/>
      <c r="D76" s="187"/>
      <c r="E76" s="187"/>
      <c r="F76" s="187"/>
      <c r="G76" s="188"/>
      <c r="H76" s="186"/>
      <c r="I76" s="187"/>
      <c r="J76" s="189">
        <v>2.8E-3</v>
      </c>
      <c r="K76" s="186"/>
      <c r="L76" s="187"/>
      <c r="M76" s="187"/>
      <c r="N76" s="187"/>
      <c r="O76" s="188"/>
      <c r="P76" s="186"/>
      <c r="Q76" s="187"/>
      <c r="R76" s="187"/>
      <c r="S76" s="187"/>
      <c r="T76" s="187"/>
      <c r="U76" s="187"/>
      <c r="V76" s="187"/>
      <c r="W76" s="188"/>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row>
    <row r="77" spans="1:85" ht="14.4">
      <c r="A77" s="158" t="s">
        <v>268</v>
      </c>
      <c r="B77" s="186"/>
      <c r="C77" s="187"/>
      <c r="D77" s="187"/>
      <c r="E77" s="187"/>
      <c r="F77" s="187"/>
      <c r="G77" s="188"/>
      <c r="H77" s="186"/>
      <c r="I77" s="187"/>
      <c r="J77" s="188"/>
      <c r="K77" s="194">
        <v>5.1000000000000004E-3</v>
      </c>
      <c r="L77" s="193">
        <v>6.9999999999999999E-4</v>
      </c>
      <c r="M77" s="187">
        <v>3.0000000000000001E-3</v>
      </c>
      <c r="N77" s="193">
        <v>5.1000000000000004E-3</v>
      </c>
      <c r="O77" s="189">
        <v>6.9999999999999999E-4</v>
      </c>
      <c r="P77" s="186"/>
      <c r="Q77" s="187"/>
      <c r="R77" s="187"/>
      <c r="S77" s="187"/>
      <c r="T77" s="187"/>
      <c r="U77" s="187"/>
      <c r="V77" s="187"/>
      <c r="W77" s="188"/>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row>
    <row r="78" spans="1:85" ht="14.4">
      <c r="A78" s="158" t="s">
        <v>269</v>
      </c>
      <c r="B78" s="186"/>
      <c r="C78" s="187"/>
      <c r="D78" s="187"/>
      <c r="E78" s="187"/>
      <c r="F78" s="187"/>
      <c r="G78" s="188"/>
      <c r="H78" s="186"/>
      <c r="I78" s="187"/>
      <c r="J78" s="188"/>
      <c r="K78" s="190">
        <v>1.3613936280600002E-6</v>
      </c>
      <c r="L78" s="191">
        <v>8.3126425360478993E-5</v>
      </c>
      <c r="M78" s="191">
        <v>8.9505890560544204E-5</v>
      </c>
      <c r="N78" s="191">
        <v>1.3613936280600002E-6</v>
      </c>
      <c r="O78" s="192">
        <v>6.3198511578000895E-5</v>
      </c>
      <c r="P78" s="186"/>
      <c r="Q78" s="187"/>
      <c r="R78" s="187"/>
      <c r="S78" s="187"/>
      <c r="T78" s="187"/>
      <c r="U78" s="187"/>
      <c r="V78" s="187"/>
      <c r="W78" s="18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row>
    <row r="79" spans="1:85" ht="14.4">
      <c r="A79" s="158" t="s">
        <v>270</v>
      </c>
      <c r="B79" s="186"/>
      <c r="C79" s="187"/>
      <c r="D79" s="187"/>
      <c r="E79" s="187"/>
      <c r="F79" s="187"/>
      <c r="G79" s="188"/>
      <c r="H79" s="186"/>
      <c r="I79" s="187"/>
      <c r="J79" s="188"/>
      <c r="K79" s="190">
        <v>1.62891E-5</v>
      </c>
      <c r="L79" s="193">
        <v>4.7999999999999996E-3</v>
      </c>
      <c r="M79" s="193">
        <v>8.6999999999999994E-3</v>
      </c>
      <c r="N79" s="191">
        <v>1.62891E-5</v>
      </c>
      <c r="O79" s="189">
        <v>4.7999999999999996E-3</v>
      </c>
      <c r="P79" s="186"/>
      <c r="Q79" s="187"/>
      <c r="R79" s="187"/>
      <c r="S79" s="187"/>
      <c r="T79" s="187"/>
      <c r="U79" s="187"/>
      <c r="V79" s="187"/>
      <c r="W79" s="188"/>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row>
    <row r="80" spans="1:85" ht="14.4">
      <c r="A80" s="158" t="s">
        <v>271</v>
      </c>
      <c r="B80" s="186"/>
      <c r="C80" s="187"/>
      <c r="D80" s="187"/>
      <c r="E80" s="187"/>
      <c r="F80" s="187"/>
      <c r="G80" s="188"/>
      <c r="H80" s="186"/>
      <c r="I80" s="187"/>
      <c r="J80" s="188"/>
      <c r="K80" s="190">
        <v>1.6199899999999999E-4</v>
      </c>
      <c r="L80" s="191">
        <v>1.42752169944325E-4</v>
      </c>
      <c r="M80" s="191">
        <v>2.7833966269127401E-5</v>
      </c>
      <c r="N80" s="191">
        <v>1.6199899999999999E-4</v>
      </c>
      <c r="O80" s="192">
        <v>1.4291023244807999E-4</v>
      </c>
      <c r="P80" s="186"/>
      <c r="Q80" s="187"/>
      <c r="R80" s="187"/>
      <c r="S80" s="187"/>
      <c r="T80" s="187"/>
      <c r="U80" s="187"/>
      <c r="V80" s="187"/>
      <c r="W80" s="188"/>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row>
    <row r="81" spans="1:85" ht="14.4">
      <c r="A81" s="158" t="s">
        <v>272</v>
      </c>
      <c r="B81" s="186"/>
      <c r="C81" s="187"/>
      <c r="D81" s="187"/>
      <c r="E81" s="187"/>
      <c r="F81" s="187"/>
      <c r="G81" s="188"/>
      <c r="H81" s="186"/>
      <c r="I81" s="187"/>
      <c r="J81" s="188"/>
      <c r="K81" s="194">
        <v>6.9999999999999999E-4</v>
      </c>
      <c r="L81" s="187"/>
      <c r="M81" s="187"/>
      <c r="N81" s="193">
        <v>6.9999999999999999E-4</v>
      </c>
      <c r="O81" s="188"/>
      <c r="P81" s="186"/>
      <c r="Q81" s="187"/>
      <c r="R81" s="187"/>
      <c r="S81" s="187"/>
      <c r="T81" s="187"/>
      <c r="U81" s="187"/>
      <c r="V81" s="187"/>
      <c r="W81" s="188"/>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row>
    <row r="82" spans="1:85" ht="14.4">
      <c r="A82" s="158" t="s">
        <v>245</v>
      </c>
      <c r="B82" s="186"/>
      <c r="C82" s="187"/>
      <c r="D82" s="187"/>
      <c r="E82" s="187"/>
      <c r="F82" s="187"/>
      <c r="G82" s="188"/>
      <c r="H82" s="186"/>
      <c r="I82" s="187"/>
      <c r="J82" s="188"/>
      <c r="K82" s="194">
        <v>4.8999999999999998E-3</v>
      </c>
      <c r="L82" s="193">
        <v>1.9E-3</v>
      </c>
      <c r="M82" s="193">
        <v>3.5000000000000001E-3</v>
      </c>
      <c r="N82" s="193">
        <v>4.8999999999999998E-3</v>
      </c>
      <c r="O82" s="189">
        <v>1.9E-3</v>
      </c>
      <c r="P82" s="186"/>
      <c r="Q82" s="187"/>
      <c r="R82" s="187"/>
      <c r="S82" s="187"/>
      <c r="T82" s="187"/>
      <c r="U82" s="187"/>
      <c r="V82" s="187"/>
      <c r="W82" s="188"/>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row>
    <row r="83" spans="1:85" ht="14.4">
      <c r="A83" s="158" t="s">
        <v>273</v>
      </c>
      <c r="B83" s="186"/>
      <c r="C83" s="187"/>
      <c r="D83" s="187"/>
      <c r="E83" s="187"/>
      <c r="F83" s="187"/>
      <c r="G83" s="188"/>
      <c r="H83" s="186"/>
      <c r="I83" s="187"/>
      <c r="J83" s="188"/>
      <c r="K83" s="194">
        <v>6.9999999999999999E-4</v>
      </c>
      <c r="L83" s="191">
        <v>2.1282390424552699E-4</v>
      </c>
      <c r="M83" s="191">
        <v>6.86119900539285E-5</v>
      </c>
      <c r="N83" s="193">
        <v>6.9999999999999999E-4</v>
      </c>
      <c r="O83" s="192">
        <v>2.136142178648E-4</v>
      </c>
      <c r="P83" s="186"/>
      <c r="Q83" s="187"/>
      <c r="R83" s="187"/>
      <c r="S83" s="187"/>
      <c r="T83" s="187"/>
      <c r="U83" s="187"/>
      <c r="V83" s="187"/>
      <c r="W83" s="188"/>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row>
    <row r="84" spans="1:85" ht="14.4">
      <c r="A84" s="158" t="s">
        <v>274</v>
      </c>
      <c r="B84" s="186"/>
      <c r="C84" s="187"/>
      <c r="D84" s="187"/>
      <c r="E84" s="187"/>
      <c r="F84" s="187"/>
      <c r="G84" s="188"/>
      <c r="H84" s="186"/>
      <c r="I84" s="187"/>
      <c r="J84" s="188"/>
      <c r="K84" s="190">
        <v>3.7606099999999996E-4</v>
      </c>
      <c r="L84" s="191">
        <v>3.9798526049934706E-5</v>
      </c>
      <c r="M84" s="191">
        <v>4.2852829309679498E-5</v>
      </c>
      <c r="N84" s="191">
        <v>3.7606099999999996E-4</v>
      </c>
      <c r="O84" s="192">
        <v>3.02576178206501E-5</v>
      </c>
      <c r="P84" s="186"/>
      <c r="Q84" s="187"/>
      <c r="R84" s="187"/>
      <c r="S84" s="193">
        <v>2.8999999999999998E-3</v>
      </c>
      <c r="T84" s="187"/>
      <c r="U84" s="187"/>
      <c r="V84" s="187"/>
      <c r="W84" s="188"/>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row>
    <row r="85" spans="1:85" ht="14.4">
      <c r="A85" s="158" t="s">
        <v>275</v>
      </c>
      <c r="B85" s="186"/>
      <c r="C85" s="187"/>
      <c r="D85" s="187"/>
      <c r="E85" s="187"/>
      <c r="F85" s="187"/>
      <c r="G85" s="188"/>
      <c r="H85" s="186"/>
      <c r="I85" s="187"/>
      <c r="J85" s="188"/>
      <c r="K85" s="190">
        <v>3.8073528969168003E-4</v>
      </c>
      <c r="L85" s="193">
        <v>8.0000000000000004E-4</v>
      </c>
      <c r="M85" s="193">
        <v>8.0000000000000004E-4</v>
      </c>
      <c r="N85" s="191">
        <v>3.8073528969168003E-4</v>
      </c>
      <c r="O85" s="189">
        <v>5.9999999999999995E-4</v>
      </c>
      <c r="P85" s="186"/>
      <c r="Q85" s="187"/>
      <c r="R85" s="187"/>
      <c r="S85" s="187"/>
      <c r="T85" s="187"/>
      <c r="U85" s="187"/>
      <c r="V85" s="187"/>
      <c r="W85" s="188"/>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row>
    <row r="86" spans="1:85" ht="14.4">
      <c r="A86" s="158" t="s">
        <v>276</v>
      </c>
      <c r="B86" s="186"/>
      <c r="C86" s="187"/>
      <c r="D86" s="187"/>
      <c r="E86" s="187"/>
      <c r="F86" s="187"/>
      <c r="G86" s="188"/>
      <c r="H86" s="186"/>
      <c r="I86" s="187"/>
      <c r="J86" s="188"/>
      <c r="K86" s="186">
        <v>1.2500000000000001E-2</v>
      </c>
      <c r="L86" s="193">
        <v>4.1000000000000003E-3</v>
      </c>
      <c r="M86" s="193">
        <v>1.2E-2</v>
      </c>
      <c r="N86" s="187">
        <v>1.2999999999999999E-2</v>
      </c>
      <c r="O86" s="189">
        <v>4.1000000000000003E-3</v>
      </c>
      <c r="P86" s="186"/>
      <c r="Q86" s="187"/>
      <c r="R86" s="187"/>
      <c r="S86" s="187"/>
      <c r="T86" s="187"/>
      <c r="U86" s="187"/>
      <c r="V86" s="187"/>
      <c r="W86" s="188"/>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row>
    <row r="87" spans="1:85" ht="14.4">
      <c r="A87" s="158" t="s">
        <v>277</v>
      </c>
      <c r="B87" s="186"/>
      <c r="C87" s="187"/>
      <c r="D87" s="187"/>
      <c r="E87" s="187"/>
      <c r="F87" s="187"/>
      <c r="G87" s="188"/>
      <c r="H87" s="186"/>
      <c r="I87" s="187"/>
      <c r="J87" s="188"/>
      <c r="K87" s="186"/>
      <c r="L87" s="193">
        <v>4.0000000000000002E-4</v>
      </c>
      <c r="M87" s="191">
        <v>9.4349618643861508E-5</v>
      </c>
      <c r="N87" s="187"/>
      <c r="O87" s="192">
        <v>4.3882543904720002E-4</v>
      </c>
      <c r="P87" s="186"/>
      <c r="Q87" s="187"/>
      <c r="R87" s="187"/>
      <c r="S87" s="187"/>
      <c r="T87" s="187"/>
      <c r="U87" s="187"/>
      <c r="V87" s="187"/>
      <c r="W87" s="188"/>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row>
    <row r="88" spans="1:85" ht="14.4">
      <c r="A88" s="158" t="s">
        <v>278</v>
      </c>
      <c r="B88" s="186"/>
      <c r="C88" s="187"/>
      <c r="D88" s="187"/>
      <c r="E88" s="187"/>
      <c r="F88" s="187"/>
      <c r="G88" s="188"/>
      <c r="H88" s="186"/>
      <c r="I88" s="187"/>
      <c r="J88" s="188"/>
      <c r="K88" s="186"/>
      <c r="L88" s="187"/>
      <c r="M88" s="187"/>
      <c r="N88" s="187"/>
      <c r="O88" s="188"/>
      <c r="P88" s="186"/>
      <c r="Q88" s="187"/>
      <c r="R88" s="187"/>
      <c r="S88" s="187"/>
      <c r="T88" s="187"/>
      <c r="U88" s="187"/>
      <c r="V88" s="187"/>
      <c r="W88" s="1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row>
    <row r="89" spans="1:85" ht="14.4">
      <c r="A89" s="158" t="s">
        <v>243</v>
      </c>
      <c r="B89" s="186"/>
      <c r="C89" s="187"/>
      <c r="D89" s="187"/>
      <c r="E89" s="187"/>
      <c r="F89" s="187"/>
      <c r="G89" s="188"/>
      <c r="H89" s="186"/>
      <c r="I89" s="187"/>
      <c r="J89" s="188"/>
      <c r="K89" s="186"/>
      <c r="L89" s="187"/>
      <c r="M89" s="187"/>
      <c r="N89" s="187"/>
      <c r="O89" s="188"/>
      <c r="P89" s="186"/>
      <c r="Q89" s="187">
        <v>1</v>
      </c>
      <c r="R89" s="187">
        <v>0.57199999999999995</v>
      </c>
      <c r="S89" s="187"/>
      <c r="T89" s="187"/>
      <c r="U89" s="187"/>
      <c r="V89" s="187"/>
      <c r="W89" s="188"/>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row>
    <row r="90" spans="1:85" ht="14.4">
      <c r="A90" s="158" t="s">
        <v>242</v>
      </c>
      <c r="B90" s="186"/>
      <c r="C90" s="187"/>
      <c r="D90" s="187"/>
      <c r="E90" s="187"/>
      <c r="F90" s="187"/>
      <c r="G90" s="188"/>
      <c r="H90" s="186"/>
      <c r="I90" s="187"/>
      <c r="J90" s="188"/>
      <c r="K90" s="186"/>
      <c r="L90" s="187"/>
      <c r="M90" s="187"/>
      <c r="N90" s="187"/>
      <c r="O90" s="188"/>
      <c r="P90" s="186"/>
      <c r="Q90" s="187"/>
      <c r="R90" s="187">
        <v>0.372</v>
      </c>
      <c r="S90" s="187"/>
      <c r="T90" s="187"/>
      <c r="U90" s="187"/>
      <c r="V90" s="187"/>
      <c r="W90" s="188"/>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row>
    <row r="91" spans="1:85" ht="14.4">
      <c r="A91" s="158" t="s">
        <v>279</v>
      </c>
      <c r="B91" s="186"/>
      <c r="C91" s="187"/>
      <c r="D91" s="187"/>
      <c r="E91" s="187"/>
      <c r="F91" s="187"/>
      <c r="G91" s="188"/>
      <c r="H91" s="186"/>
      <c r="I91" s="187"/>
      <c r="J91" s="188"/>
      <c r="K91" s="186"/>
      <c r="L91" s="187"/>
      <c r="M91" s="187"/>
      <c r="N91" s="187"/>
      <c r="O91" s="188"/>
      <c r="P91" s="186"/>
      <c r="Q91" s="187"/>
      <c r="R91" s="187"/>
      <c r="S91" s="187">
        <v>1.6E-2</v>
      </c>
      <c r="T91" s="187"/>
      <c r="U91" s="187"/>
      <c r="V91" s="187"/>
      <c r="W91" s="188"/>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row>
    <row r="92" spans="1:85" ht="14.4">
      <c r="A92" s="158" t="s">
        <v>280</v>
      </c>
      <c r="B92" s="186"/>
      <c r="C92" s="187"/>
      <c r="D92" s="187"/>
      <c r="E92" s="187"/>
      <c r="F92" s="187"/>
      <c r="G92" s="188"/>
      <c r="H92" s="186"/>
      <c r="I92" s="187"/>
      <c r="J92" s="188"/>
      <c r="K92" s="186"/>
      <c r="L92" s="187"/>
      <c r="M92" s="187"/>
      <c r="N92" s="187"/>
      <c r="O92" s="188"/>
      <c r="P92" s="186"/>
      <c r="Q92" s="187"/>
      <c r="R92" s="187"/>
      <c r="S92" s="193">
        <v>7.3000000000000001E-3</v>
      </c>
      <c r="T92" s="187"/>
      <c r="U92" s="187"/>
      <c r="V92" s="187"/>
      <c r="W92" s="188"/>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row>
    <row r="93" spans="1:85" ht="14.4">
      <c r="A93" s="158" t="s">
        <v>281</v>
      </c>
      <c r="B93" s="186"/>
      <c r="C93" s="187"/>
      <c r="D93" s="187"/>
      <c r="E93" s="187"/>
      <c r="F93" s="187"/>
      <c r="G93" s="188"/>
      <c r="H93" s="186"/>
      <c r="I93" s="187"/>
      <c r="J93" s="188"/>
      <c r="K93" s="186"/>
      <c r="L93" s="187"/>
      <c r="M93" s="187"/>
      <c r="N93" s="187"/>
      <c r="O93" s="188"/>
      <c r="P93" s="186"/>
      <c r="Q93" s="187"/>
      <c r="R93" s="187"/>
      <c r="S93" s="193">
        <v>4.1000000000000003E-3</v>
      </c>
      <c r="T93" s="187"/>
      <c r="U93" s="187"/>
      <c r="V93" s="187"/>
      <c r="W93" s="188"/>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row>
    <row r="94" spans="1:85" ht="14.4">
      <c r="A94" s="158" t="s">
        <v>282</v>
      </c>
      <c r="B94" s="186"/>
      <c r="C94" s="187"/>
      <c r="D94" s="187"/>
      <c r="E94" s="187"/>
      <c r="F94" s="187"/>
      <c r="G94" s="188"/>
      <c r="H94" s="186"/>
      <c r="I94" s="187"/>
      <c r="J94" s="188"/>
      <c r="K94" s="186"/>
      <c r="L94" s="187"/>
      <c r="M94" s="187"/>
      <c r="N94" s="187"/>
      <c r="O94" s="188"/>
      <c r="P94" s="186"/>
      <c r="Q94" s="187"/>
      <c r="R94" s="187"/>
      <c r="S94" s="193">
        <v>6.1000000000000004E-3</v>
      </c>
      <c r="T94" s="187"/>
      <c r="U94" s="187"/>
      <c r="V94" s="187"/>
      <c r="W94" s="188"/>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row>
    <row r="95" spans="1:85" ht="14.4">
      <c r="A95" s="158" t="s">
        <v>283</v>
      </c>
      <c r="B95" s="186"/>
      <c r="C95" s="187"/>
      <c r="D95" s="187"/>
      <c r="E95" s="187"/>
      <c r="F95" s="187"/>
      <c r="G95" s="188"/>
      <c r="H95" s="186"/>
      <c r="I95" s="187"/>
      <c r="J95" s="188"/>
      <c r="K95" s="186"/>
      <c r="L95" s="187"/>
      <c r="M95" s="187"/>
      <c r="N95" s="187"/>
      <c r="O95" s="188"/>
      <c r="P95" s="186"/>
      <c r="Q95" s="187"/>
      <c r="R95" s="187"/>
      <c r="S95" s="193">
        <v>5.8999999999999999E-3</v>
      </c>
      <c r="T95" s="187"/>
      <c r="U95" s="187"/>
      <c r="V95" s="187"/>
      <c r="W95" s="188"/>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row>
    <row r="96" spans="1:85" ht="14.4">
      <c r="A96" s="158" t="s">
        <v>284</v>
      </c>
      <c r="B96" s="186"/>
      <c r="C96" s="187"/>
      <c r="D96" s="187"/>
      <c r="E96" s="187"/>
      <c r="F96" s="187"/>
      <c r="G96" s="188"/>
      <c r="H96" s="186"/>
      <c r="I96" s="187"/>
      <c r="J96" s="188"/>
      <c r="K96" s="186"/>
      <c r="L96" s="187"/>
      <c r="M96" s="187"/>
      <c r="N96" s="187"/>
      <c r="O96" s="188"/>
      <c r="P96" s="186"/>
      <c r="Q96" s="187"/>
      <c r="R96" s="187"/>
      <c r="S96" s="193">
        <v>5.4999999999999997E-3</v>
      </c>
      <c r="T96" s="187"/>
      <c r="U96" s="187"/>
      <c r="V96" s="187"/>
      <c r="W96" s="188"/>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row>
    <row r="97" spans="1:85" ht="14.4">
      <c r="A97" s="158" t="s">
        <v>285</v>
      </c>
      <c r="B97" s="186"/>
      <c r="C97" s="187"/>
      <c r="D97" s="187"/>
      <c r="E97" s="187"/>
      <c r="F97" s="187"/>
      <c r="G97" s="188"/>
      <c r="H97" s="186"/>
      <c r="I97" s="187"/>
      <c r="J97" s="188"/>
      <c r="K97" s="186"/>
      <c r="L97" s="187"/>
      <c r="M97" s="187"/>
      <c r="N97" s="187"/>
      <c r="O97" s="188"/>
      <c r="P97" s="186"/>
      <c r="Q97" s="187"/>
      <c r="R97" s="187"/>
      <c r="S97" s="193">
        <v>2.0999999999999999E-3</v>
      </c>
      <c r="T97" s="187"/>
      <c r="U97" s="187"/>
      <c r="V97" s="187"/>
      <c r="W97" s="188"/>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row>
    <row r="98" spans="1:85" ht="14.4">
      <c r="A98" s="158" t="s">
        <v>286</v>
      </c>
      <c r="B98" s="186"/>
      <c r="C98" s="187"/>
      <c r="D98" s="187"/>
      <c r="E98" s="187"/>
      <c r="F98" s="187"/>
      <c r="G98" s="188"/>
      <c r="H98" s="186"/>
      <c r="I98" s="187"/>
      <c r="J98" s="188"/>
      <c r="K98" s="186"/>
      <c r="L98" s="187"/>
      <c r="M98" s="187"/>
      <c r="N98" s="187"/>
      <c r="O98" s="188"/>
      <c r="P98" s="186"/>
      <c r="Q98" s="187"/>
      <c r="R98" s="187"/>
      <c r="S98" s="191">
        <v>3.6600000000000001E-4</v>
      </c>
      <c r="T98" s="187"/>
      <c r="U98" s="187"/>
      <c r="V98" s="187"/>
      <c r="W98" s="18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row>
    <row r="99" spans="1:85" ht="14.4">
      <c r="A99" s="158" t="s">
        <v>287</v>
      </c>
      <c r="B99" s="186"/>
      <c r="C99" s="187"/>
      <c r="D99" s="187"/>
      <c r="E99" s="187"/>
      <c r="F99" s="187"/>
      <c r="G99" s="188"/>
      <c r="H99" s="186"/>
      <c r="I99" s="187"/>
      <c r="J99" s="188"/>
      <c r="K99" s="186"/>
      <c r="L99" s="187"/>
      <c r="M99" s="187"/>
      <c r="N99" s="187"/>
      <c r="O99" s="188"/>
      <c r="P99" s="186"/>
      <c r="Q99" s="187"/>
      <c r="R99" s="187"/>
      <c r="S99" s="187">
        <v>1.7000000000000001E-2</v>
      </c>
      <c r="T99" s="187"/>
      <c r="U99" s="187"/>
      <c r="V99" s="187"/>
      <c r="W99" s="188"/>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row>
    <row r="100" spans="1:85" ht="14.4">
      <c r="A100" s="158" t="s">
        <v>288</v>
      </c>
      <c r="B100" s="186"/>
      <c r="C100" s="187"/>
      <c r="D100" s="187"/>
      <c r="E100" s="187"/>
      <c r="F100" s="187"/>
      <c r="G100" s="188"/>
      <c r="H100" s="186"/>
      <c r="I100" s="187"/>
      <c r="J100" s="188"/>
      <c r="K100" s="186"/>
      <c r="L100" s="187"/>
      <c r="M100" s="187"/>
      <c r="N100" s="187"/>
      <c r="O100" s="188"/>
      <c r="P100" s="186"/>
      <c r="Q100" s="187"/>
      <c r="R100" s="187"/>
      <c r="S100" s="187">
        <v>1.7000000000000001E-2</v>
      </c>
      <c r="T100" s="187"/>
      <c r="U100" s="187"/>
      <c r="V100" s="187"/>
      <c r="W100" s="188"/>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row>
    <row r="101" spans="1:85" ht="14.4">
      <c r="A101" s="158" t="s">
        <v>289</v>
      </c>
      <c r="B101" s="186"/>
      <c r="C101" s="187"/>
      <c r="D101" s="187"/>
      <c r="E101" s="187"/>
      <c r="F101" s="187"/>
      <c r="G101" s="188"/>
      <c r="H101" s="186"/>
      <c r="I101" s="187"/>
      <c r="J101" s="188"/>
      <c r="K101" s="186"/>
      <c r="L101" s="187"/>
      <c r="M101" s="187"/>
      <c r="N101" s="187"/>
      <c r="O101" s="188"/>
      <c r="P101" s="186"/>
      <c r="Q101" s="187"/>
      <c r="R101" s="187"/>
      <c r="S101" s="187">
        <v>5.8000000000000003E-2</v>
      </c>
      <c r="T101" s="187"/>
      <c r="U101" s="187"/>
      <c r="V101" s="187"/>
      <c r="W101" s="188"/>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row>
    <row r="102" spans="1:85" ht="14.4">
      <c r="A102" s="158" t="s">
        <v>290</v>
      </c>
      <c r="B102" s="186"/>
      <c r="C102" s="187"/>
      <c r="D102" s="187"/>
      <c r="E102" s="187"/>
      <c r="F102" s="187"/>
      <c r="G102" s="188"/>
      <c r="H102" s="186"/>
      <c r="I102" s="187"/>
      <c r="J102" s="188"/>
      <c r="K102" s="186"/>
      <c r="L102" s="187"/>
      <c r="M102" s="187"/>
      <c r="N102" s="187"/>
      <c r="O102" s="188"/>
      <c r="P102" s="186"/>
      <c r="Q102" s="187"/>
      <c r="R102" s="187"/>
      <c r="S102" s="187">
        <v>7.1999999999999995E-2</v>
      </c>
      <c r="T102" s="187"/>
      <c r="U102" s="187"/>
      <c r="V102" s="187"/>
      <c r="W102" s="188"/>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row>
    <row r="103" spans="1:85" ht="14.4">
      <c r="A103" s="158" t="s">
        <v>291</v>
      </c>
      <c r="B103" s="186"/>
      <c r="C103" s="187"/>
      <c r="D103" s="187"/>
      <c r="E103" s="187"/>
      <c r="F103" s="187"/>
      <c r="G103" s="188"/>
      <c r="H103" s="186"/>
      <c r="I103" s="187"/>
      <c r="J103" s="188"/>
      <c r="K103" s="186"/>
      <c r="L103" s="187"/>
      <c r="M103" s="187"/>
      <c r="N103" s="187"/>
      <c r="O103" s="188"/>
      <c r="P103" s="186"/>
      <c r="Q103" s="187"/>
      <c r="R103" s="187"/>
      <c r="S103" s="187">
        <v>4.0000000000000001E-3</v>
      </c>
      <c r="T103" s="187"/>
      <c r="U103" s="187"/>
      <c r="V103" s="187"/>
      <c r="W103" s="188"/>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row>
    <row r="104" spans="1:85" ht="14.4">
      <c r="A104" s="158" t="s">
        <v>86</v>
      </c>
      <c r="B104" s="186"/>
      <c r="C104" s="187"/>
      <c r="D104" s="187"/>
      <c r="E104" s="187"/>
      <c r="F104" s="187"/>
      <c r="G104" s="188"/>
      <c r="H104" s="186"/>
      <c r="I104" s="187"/>
      <c r="J104" s="188"/>
      <c r="K104" s="186"/>
      <c r="L104" s="187"/>
      <c r="M104" s="187"/>
      <c r="N104" s="187"/>
      <c r="O104" s="188"/>
      <c r="P104" s="186"/>
      <c r="Q104" s="187"/>
      <c r="R104" s="187"/>
      <c r="S104" s="187">
        <v>0.35599999999999998</v>
      </c>
      <c r="T104" s="187"/>
      <c r="U104" s="187"/>
      <c r="V104" s="187"/>
      <c r="W104" s="188"/>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row>
    <row r="105" spans="1:85" ht="14.4">
      <c r="A105" s="158" t="s">
        <v>292</v>
      </c>
      <c r="B105" s="186"/>
      <c r="C105" s="187"/>
      <c r="D105" s="187"/>
      <c r="E105" s="187"/>
      <c r="F105" s="187"/>
      <c r="G105" s="188"/>
      <c r="H105" s="186"/>
      <c r="I105" s="187"/>
      <c r="J105" s="188"/>
      <c r="K105" s="186"/>
      <c r="L105" s="187"/>
      <c r="M105" s="187"/>
      <c r="N105" s="187"/>
      <c r="O105" s="188"/>
      <c r="P105" s="186"/>
      <c r="Q105" s="187"/>
      <c r="R105" s="187"/>
      <c r="S105" s="187">
        <v>1.7999999999999999E-2</v>
      </c>
      <c r="T105" s="187"/>
      <c r="U105" s="187"/>
      <c r="V105" s="187"/>
      <c r="W105" s="188">
        <v>2.1000000000000001E-2</v>
      </c>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row>
    <row r="106" spans="1:85" ht="14.4">
      <c r="A106" s="158" t="s">
        <v>293</v>
      </c>
      <c r="B106" s="186"/>
      <c r="C106" s="187"/>
      <c r="D106" s="187"/>
      <c r="E106" s="187"/>
      <c r="F106" s="187"/>
      <c r="G106" s="188"/>
      <c r="H106" s="186"/>
      <c r="I106" s="187"/>
      <c r="J106" s="188"/>
      <c r="K106" s="186"/>
      <c r="L106" s="187"/>
      <c r="M106" s="187"/>
      <c r="N106" s="187"/>
      <c r="O106" s="188"/>
      <c r="P106" s="186"/>
      <c r="Q106" s="187"/>
      <c r="R106" s="187"/>
      <c r="S106" s="187">
        <v>1.6E-2</v>
      </c>
      <c r="T106" s="187"/>
      <c r="U106" s="187"/>
      <c r="V106" s="187"/>
      <c r="W106" s="188"/>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row>
    <row r="107" spans="1:85" ht="14.4">
      <c r="A107" s="158" t="s">
        <v>294</v>
      </c>
      <c r="B107" s="186"/>
      <c r="C107" s="187"/>
      <c r="D107" s="187"/>
      <c r="E107" s="187"/>
      <c r="F107" s="187"/>
      <c r="G107" s="188"/>
      <c r="H107" s="186"/>
      <c r="I107" s="187"/>
      <c r="J107" s="188"/>
      <c r="K107" s="186"/>
      <c r="L107" s="187"/>
      <c r="M107" s="187"/>
      <c r="N107" s="187"/>
      <c r="O107" s="188"/>
      <c r="P107" s="186"/>
      <c r="Q107" s="187"/>
      <c r="R107" s="187"/>
      <c r="S107" s="193">
        <v>2.3999999999999998E-3</v>
      </c>
      <c r="T107" s="187"/>
      <c r="U107" s="187"/>
      <c r="V107" s="187"/>
      <c r="W107" s="188"/>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row>
    <row r="108" spans="1:85" ht="14.4">
      <c r="A108" s="158" t="s">
        <v>295</v>
      </c>
      <c r="B108" s="186"/>
      <c r="C108" s="187"/>
      <c r="D108" s="187"/>
      <c r="E108" s="187"/>
      <c r="F108" s="187"/>
      <c r="G108" s="188"/>
      <c r="H108" s="186"/>
      <c r="I108" s="187"/>
      <c r="J108" s="188"/>
      <c r="K108" s="186"/>
      <c r="L108" s="187"/>
      <c r="M108" s="187"/>
      <c r="N108" s="187"/>
      <c r="O108" s="188"/>
      <c r="P108" s="186"/>
      <c r="Q108" s="187"/>
      <c r="R108" s="187"/>
      <c r="S108" s="196">
        <v>0.21</v>
      </c>
      <c r="T108" s="187"/>
      <c r="U108" s="187"/>
      <c r="V108" s="187"/>
      <c r="W108" s="18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row>
    <row r="109" spans="1:85" ht="14.4">
      <c r="A109" s="158" t="s">
        <v>246</v>
      </c>
      <c r="B109" s="186"/>
      <c r="C109" s="187"/>
      <c r="D109" s="187"/>
      <c r="E109" s="187"/>
      <c r="F109" s="187"/>
      <c r="G109" s="188"/>
      <c r="H109" s="186"/>
      <c r="I109" s="187"/>
      <c r="J109" s="188"/>
      <c r="K109" s="186"/>
      <c r="L109" s="187"/>
      <c r="M109" s="187"/>
      <c r="N109" s="187"/>
      <c r="O109" s="188"/>
      <c r="P109" s="186"/>
      <c r="Q109" s="187"/>
      <c r="R109" s="187"/>
      <c r="S109" s="187"/>
      <c r="T109" s="187"/>
      <c r="U109" s="197">
        <v>2</v>
      </c>
      <c r="V109" s="197">
        <v>3</v>
      </c>
      <c r="W109" s="188"/>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row>
    <row r="110" spans="1:85" ht="14.4">
      <c r="A110" s="158" t="s">
        <v>296</v>
      </c>
      <c r="B110" s="186"/>
      <c r="C110" s="187"/>
      <c r="D110" s="187"/>
      <c r="E110" s="187"/>
      <c r="F110" s="187"/>
      <c r="G110" s="188"/>
      <c r="H110" s="186"/>
      <c r="I110" s="187"/>
      <c r="J110" s="188"/>
      <c r="K110" s="186"/>
      <c r="L110" s="187"/>
      <c r="M110" s="187"/>
      <c r="N110" s="187"/>
      <c r="O110" s="188"/>
      <c r="P110" s="186"/>
      <c r="Q110" s="187"/>
      <c r="R110" s="187"/>
      <c r="S110" s="187"/>
      <c r="T110" s="187"/>
      <c r="U110" s="187"/>
      <c r="V110" s="187">
        <v>3.7999999999999999E-2</v>
      </c>
      <c r="W110" s="188">
        <v>0.123</v>
      </c>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row>
    <row r="111" spans="1:85" ht="14.4">
      <c r="A111" s="158" t="s">
        <v>297</v>
      </c>
      <c r="B111" s="186"/>
      <c r="C111" s="187"/>
      <c r="D111" s="187"/>
      <c r="E111" s="187"/>
      <c r="F111" s="187"/>
      <c r="G111" s="188"/>
      <c r="H111" s="186"/>
      <c r="I111" s="187"/>
      <c r="J111" s="188"/>
      <c r="K111" s="186"/>
      <c r="L111" s="187"/>
      <c r="M111" s="187"/>
      <c r="N111" s="187"/>
      <c r="O111" s="188"/>
      <c r="P111" s="186"/>
      <c r="Q111" s="187"/>
      <c r="R111" s="187"/>
      <c r="S111" s="187"/>
      <c r="T111" s="187"/>
      <c r="U111" s="187"/>
      <c r="V111" s="187"/>
      <c r="W111" s="188">
        <v>0.215</v>
      </c>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row>
    <row r="112" spans="1:85" ht="14.4">
      <c r="A112" s="158" t="s">
        <v>298</v>
      </c>
      <c r="B112" s="186"/>
      <c r="C112" s="187"/>
      <c r="D112" s="187"/>
      <c r="E112" s="187"/>
      <c r="F112" s="187"/>
      <c r="G112" s="188"/>
      <c r="H112" s="186"/>
      <c r="I112" s="187"/>
      <c r="J112" s="188"/>
      <c r="K112" s="186"/>
      <c r="L112" s="187"/>
      <c r="M112" s="187"/>
      <c r="N112" s="187"/>
      <c r="O112" s="188"/>
      <c r="P112" s="186"/>
      <c r="Q112" s="187"/>
      <c r="R112" s="187"/>
      <c r="S112" s="187"/>
      <c r="T112" s="187"/>
      <c r="U112" s="187"/>
      <c r="V112" s="187"/>
      <c r="W112" s="188">
        <v>0.61499999999999999</v>
      </c>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row>
    <row r="113" spans="1:85" ht="14.4">
      <c r="A113" s="162" t="s">
        <v>299</v>
      </c>
      <c r="B113" s="198"/>
      <c r="C113" s="199"/>
      <c r="D113" s="199"/>
      <c r="E113" s="199"/>
      <c r="F113" s="199"/>
      <c r="G113" s="200"/>
      <c r="H113" s="198"/>
      <c r="I113" s="199"/>
      <c r="J113" s="200"/>
      <c r="K113" s="198"/>
      <c r="L113" s="199"/>
      <c r="M113" s="199"/>
      <c r="N113" s="199"/>
      <c r="O113" s="200"/>
      <c r="P113" s="198"/>
      <c r="Q113" s="199"/>
      <c r="R113" s="199"/>
      <c r="S113" s="199"/>
      <c r="T113" s="199"/>
      <c r="U113" s="199"/>
      <c r="V113" s="199"/>
      <c r="W113" s="200">
        <v>5.0999999999999997E-2</v>
      </c>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row>
    <row r="114" spans="1:85" ht="14.4" customHeigh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row>
    <row r="115" spans="1:85" ht="14.4">
      <c r="A115" s="143" t="s">
        <v>300</v>
      </c>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row>
    <row r="116" spans="1:85" ht="14.4">
      <c r="A116" s="201"/>
      <c r="B116" s="202" t="s">
        <v>301</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row>
    <row r="117" spans="1:85" ht="14.4">
      <c r="A117" s="153" t="s">
        <v>302</v>
      </c>
      <c r="B117" s="69">
        <v>0.46</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row>
    <row r="118" spans="1:85" ht="14.4">
      <c r="A118" s="162" t="s">
        <v>303</v>
      </c>
      <c r="B118" s="70">
        <v>0.54</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row>
    <row r="119" spans="1:85" ht="14.4" customHeight="1">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row>
    <row r="120" spans="1:85" ht="14.4">
      <c r="A120" s="143" t="s">
        <v>304</v>
      </c>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row>
    <row r="121" spans="1:85" ht="28.8">
      <c r="A121" s="145"/>
      <c r="B121" s="203" t="s">
        <v>305</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row>
    <row r="122" spans="1:85" ht="14.4">
      <c r="A122" s="169" t="s">
        <v>20</v>
      </c>
      <c r="B122" s="69">
        <v>7.6300000000000007E-2</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row>
    <row r="123" spans="1:85" ht="14.4">
      <c r="A123" s="170" t="s">
        <v>209</v>
      </c>
      <c r="B123" s="51">
        <v>0.70020000000000004</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row>
    <row r="124" spans="1:85" ht="14.4">
      <c r="A124" s="170" t="s">
        <v>11</v>
      </c>
      <c r="B124" s="51">
        <v>2.4899999999999999E-2</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row>
    <row r="125" spans="1:85" ht="14.4">
      <c r="A125" s="170" t="s">
        <v>306</v>
      </c>
      <c r="B125" s="51">
        <v>1.7100000000000001E-2</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row>
    <row r="126" spans="1:85" ht="14.4">
      <c r="A126" s="170" t="s">
        <v>307</v>
      </c>
      <c r="B126" s="51">
        <v>1.4E-2</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row>
    <row r="127" spans="1:85" ht="14.4">
      <c r="A127" s="170" t="s">
        <v>14</v>
      </c>
      <c r="B127" s="51">
        <v>6.1999999999999998E-3</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row>
    <row r="128" spans="1:85" ht="14.4">
      <c r="A128" s="170" t="s">
        <v>308</v>
      </c>
      <c r="B128" s="51">
        <v>0.14099999999999999</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row>
    <row r="129" spans="1:85" ht="14.4">
      <c r="A129" s="171" t="s">
        <v>212</v>
      </c>
      <c r="B129" s="70">
        <v>2.0299999999999874E-2</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row>
    <row r="130" spans="1:85" ht="14.4" customHeigh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row>
    <row r="131" spans="1:85" ht="14.4">
      <c r="A131" s="143" t="s">
        <v>309</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row>
    <row r="132" spans="1:85" ht="14.4">
      <c r="A132" s="167"/>
      <c r="B132" s="204" t="s">
        <v>206</v>
      </c>
      <c r="C132" s="204" t="s">
        <v>20</v>
      </c>
      <c r="D132" s="204" t="s">
        <v>209</v>
      </c>
      <c r="E132" s="204" t="s">
        <v>11</v>
      </c>
      <c r="F132" s="204" t="s">
        <v>306</v>
      </c>
      <c r="G132" s="204" t="s">
        <v>307</v>
      </c>
      <c r="H132" s="204" t="s">
        <v>14</v>
      </c>
      <c r="I132" s="204" t="s">
        <v>308</v>
      </c>
      <c r="J132" s="204" t="s">
        <v>212</v>
      </c>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row>
    <row r="133" spans="1:85" ht="14.4">
      <c r="A133" s="169" t="s">
        <v>213</v>
      </c>
      <c r="B133" s="71">
        <v>0.1175948626446657</v>
      </c>
      <c r="C133" s="72">
        <v>1.700367300454789E-2</v>
      </c>
      <c r="D133" s="73">
        <v>2.8557019295519688E-2</v>
      </c>
      <c r="E133" s="71">
        <v>1.5734815902653939E-4</v>
      </c>
      <c r="F133" s="71">
        <v>9.8904091579253804E-3</v>
      </c>
      <c r="G133" s="71">
        <v>8.4313439118892768E-3</v>
      </c>
      <c r="H133" s="71">
        <v>3.0553058782049054E-3</v>
      </c>
      <c r="I133" s="71">
        <v>0.67681551646368965</v>
      </c>
      <c r="J133" s="71">
        <v>2.7627782529260445E-2</v>
      </c>
      <c r="K133" s="49"/>
      <c r="L133" s="49"/>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row>
    <row r="134" spans="1:85" ht="14.4">
      <c r="A134" s="170" t="s">
        <v>214</v>
      </c>
      <c r="B134" s="71">
        <v>0.10275155709795629</v>
      </c>
      <c r="C134" s="71">
        <v>0.20822240155669022</v>
      </c>
      <c r="D134" s="73">
        <v>6.8156707955211282E-2</v>
      </c>
      <c r="E134" s="71">
        <v>3.3108675128500999E-2</v>
      </c>
      <c r="F134" s="71">
        <v>6.6116990806389511E-2</v>
      </c>
      <c r="G134" s="71">
        <v>0.17107363465321868</v>
      </c>
      <c r="H134" s="71">
        <v>4.2389420522319497E-2</v>
      </c>
      <c r="I134" s="71">
        <v>0.21109607577807848</v>
      </c>
      <c r="J134" s="71">
        <v>0.23465332110150092</v>
      </c>
      <c r="K134" s="49"/>
      <c r="L134" s="49"/>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row>
    <row r="135" spans="1:85" ht="14.4">
      <c r="A135" s="170" t="s">
        <v>85</v>
      </c>
      <c r="B135" s="71">
        <v>8.7106962735454499E-2</v>
      </c>
      <c r="C135" s="71">
        <v>0.54877101418669727</v>
      </c>
      <c r="D135" s="73">
        <v>2.0649616800715972E-2</v>
      </c>
      <c r="E135" s="71">
        <v>0.60704919752438902</v>
      </c>
      <c r="F135" s="71">
        <v>9.5166546151173384E-3</v>
      </c>
      <c r="G135" s="71">
        <v>0.25457950669679291</v>
      </c>
      <c r="H135" s="71">
        <v>0.72459415705339891</v>
      </c>
      <c r="I135" s="71">
        <v>0</v>
      </c>
      <c r="J135" s="71">
        <v>0.36660177287617046</v>
      </c>
      <c r="K135" s="49"/>
      <c r="L135" s="49"/>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row>
    <row r="136" spans="1:85" ht="14.4">
      <c r="A136" s="170" t="s">
        <v>215</v>
      </c>
      <c r="B136" s="71">
        <v>6.8681394230748774E-2</v>
      </c>
      <c r="C136" s="71">
        <v>1.2640565959468735E-2</v>
      </c>
      <c r="D136" s="73">
        <v>9.1639871382636656E-2</v>
      </c>
      <c r="E136" s="71">
        <v>1.7767229623413407E-2</v>
      </c>
      <c r="F136" s="71">
        <v>2.0579037816822708E-2</v>
      </c>
      <c r="G136" s="71">
        <v>9.8188128763992813E-2</v>
      </c>
      <c r="H136" s="71">
        <v>2.0428711184828002E-2</v>
      </c>
      <c r="I136" s="71">
        <v>5.4127198917456026E-3</v>
      </c>
      <c r="J136" s="71">
        <v>2.4231045559138579E-2</v>
      </c>
      <c r="K136" s="49"/>
      <c r="L136" s="49"/>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row>
    <row r="137" spans="1:85" ht="14.4">
      <c r="A137" s="170" t="s">
        <v>216</v>
      </c>
      <c r="B137" s="71">
        <v>3.212800664280089E-2</v>
      </c>
      <c r="C137" s="71">
        <v>0</v>
      </c>
      <c r="D137" s="73">
        <v>2.2508038585209004E-2</v>
      </c>
      <c r="E137" s="71">
        <v>4.8017413196265603E-2</v>
      </c>
      <c r="F137" s="71">
        <v>0.66455623691154786</v>
      </c>
      <c r="G137" s="71">
        <v>0.11062294349607814</v>
      </c>
      <c r="H137" s="71">
        <v>2.6710027759707208E-2</v>
      </c>
      <c r="I137" s="71">
        <v>0</v>
      </c>
      <c r="J137" s="71">
        <v>0.10315317264077793</v>
      </c>
      <c r="K137" s="49"/>
      <c r="L137" s="49"/>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row>
    <row r="138" spans="1:85" ht="14.4">
      <c r="A138" s="170" t="s">
        <v>29</v>
      </c>
      <c r="B138" s="71">
        <v>0.48189283861189353</v>
      </c>
      <c r="C138" s="71">
        <v>5.7131436242825573E-2</v>
      </c>
      <c r="D138" s="73">
        <v>0.65916398713826363</v>
      </c>
      <c r="E138" s="71">
        <v>0.1777116332738907</v>
      </c>
      <c r="F138" s="71">
        <v>0.1252885328725572</v>
      </c>
      <c r="G138" s="71">
        <v>4.2744353473827094E-2</v>
      </c>
      <c r="H138" s="71">
        <v>0.10368238226954228</v>
      </c>
      <c r="I138" s="71">
        <v>3.4957149300857013E-2</v>
      </c>
      <c r="J138" s="71">
        <v>0.16007009268903968</v>
      </c>
      <c r="K138" s="49"/>
      <c r="L138" s="49"/>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row>
    <row r="139" spans="1:85" ht="14.4">
      <c r="A139" s="171" t="s">
        <v>217</v>
      </c>
      <c r="B139" s="71">
        <v>0.10984437803648021</v>
      </c>
      <c r="C139" s="71">
        <v>0.15623090904977033</v>
      </c>
      <c r="D139" s="73">
        <v>0.10932475884244375</v>
      </c>
      <c r="E139" s="71">
        <v>0.11618850309451378</v>
      </c>
      <c r="F139" s="71">
        <v>0.10405213781963996</v>
      </c>
      <c r="G139" s="71">
        <v>0.31436008900420109</v>
      </c>
      <c r="H139" s="71">
        <v>7.9139995331999113E-2</v>
      </c>
      <c r="I139" s="71">
        <v>7.1718538565629153E-2</v>
      </c>
      <c r="J139" s="71">
        <v>8.3662812604111902E-2</v>
      </c>
      <c r="K139" s="49"/>
      <c r="L139" s="4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row>
    <row r="140" spans="1:85" ht="14.4">
      <c r="A140" s="170" t="s">
        <v>218</v>
      </c>
      <c r="B140" s="74">
        <v>2107093.0200383952</v>
      </c>
      <c r="C140" s="74">
        <v>2566382.8293534489</v>
      </c>
      <c r="D140" s="75">
        <v>1862142.0927687497</v>
      </c>
      <c r="E140" s="76">
        <v>2434857.0641762749</v>
      </c>
      <c r="F140" s="76">
        <v>1240169.4246818933</v>
      </c>
      <c r="G140" s="76">
        <v>2155455.8851983538</v>
      </c>
      <c r="H140" s="74">
        <v>2609925.9351684023</v>
      </c>
      <c r="I140" s="75">
        <v>3077255.6419309294</v>
      </c>
      <c r="J140" s="74">
        <v>2232527.5881240033</v>
      </c>
      <c r="K140" s="139"/>
      <c r="L140" s="139"/>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row>
    <row r="141" spans="1:85" ht="14.4">
      <c r="A141" s="170" t="s">
        <v>219</v>
      </c>
      <c r="B141" s="77">
        <v>986018.50202097266</v>
      </c>
      <c r="C141" s="77">
        <v>2278417.4785940843</v>
      </c>
      <c r="D141" s="78">
        <v>397652.43833790382</v>
      </c>
      <c r="E141" s="79">
        <v>1984036.2808672395</v>
      </c>
      <c r="F141" s="79">
        <v>229492.27400162243</v>
      </c>
      <c r="G141" s="79">
        <v>1214211.4723292189</v>
      </c>
      <c r="H141" s="77">
        <v>2297904.3403224368</v>
      </c>
      <c r="I141" s="78">
        <v>2931819.6161829308</v>
      </c>
      <c r="J141" s="77">
        <v>1762544.6500798315</v>
      </c>
      <c r="K141" s="139"/>
      <c r="L141" s="139"/>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row>
    <row r="142" spans="1:85" ht="14.4">
      <c r="A142" s="170" t="s">
        <v>85</v>
      </c>
      <c r="B142" s="77">
        <v>274128.47779245453</v>
      </c>
      <c r="C142" s="77">
        <v>1675831.171826398</v>
      </c>
      <c r="D142" s="78">
        <v>73204.599433309006</v>
      </c>
      <c r="E142" s="79">
        <v>1864940.0260165182</v>
      </c>
      <c r="F142" s="79">
        <v>30030.932154587037</v>
      </c>
      <c r="G142" s="79">
        <v>754094.96308023238</v>
      </c>
      <c r="H142" s="77">
        <v>2144278.1017751172</v>
      </c>
      <c r="I142" s="78">
        <v>15291.77218036747</v>
      </c>
      <c r="J142" s="77">
        <v>1086018.2108217727</v>
      </c>
      <c r="K142" s="139"/>
      <c r="L142" s="139"/>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row>
    <row r="143" spans="1:85" ht="14.4">
      <c r="A143" s="170" t="s">
        <v>84</v>
      </c>
      <c r="B143" s="77">
        <v>296036.09017241595</v>
      </c>
      <c r="C143" s="77">
        <v>517088.9816280721</v>
      </c>
      <c r="D143" s="78">
        <v>199963.55885985959</v>
      </c>
      <c r="E143" s="79">
        <v>87991.967169423253</v>
      </c>
      <c r="F143" s="79">
        <v>162274.38430703725</v>
      </c>
      <c r="G143" s="79">
        <v>410098.71639871155</v>
      </c>
      <c r="H143" s="77">
        <v>108480.44339243654</v>
      </c>
      <c r="I143" s="78">
        <v>664657.13005297584</v>
      </c>
      <c r="J143" s="77">
        <v>565084.18178654124</v>
      </c>
      <c r="K143" s="139"/>
      <c r="L143" s="139"/>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row>
    <row r="144" spans="1:85" ht="14.4">
      <c r="A144" s="170" t="s">
        <v>213</v>
      </c>
      <c r="B144" s="77">
        <v>415853.93405610218</v>
      </c>
      <c r="C144" s="77">
        <v>85497.325139614186</v>
      </c>
      <c r="D144" s="78">
        <v>124484.28004473523</v>
      </c>
      <c r="E144" s="79">
        <v>31104.28768129797</v>
      </c>
      <c r="F144" s="79">
        <v>37186.957539998148</v>
      </c>
      <c r="G144" s="79">
        <v>50017.792850274949</v>
      </c>
      <c r="H144" s="77">
        <v>45145.795154882995</v>
      </c>
      <c r="I144" s="78">
        <v>2251870.7139495877</v>
      </c>
      <c r="J144" s="77">
        <v>111442.25747151757</v>
      </c>
      <c r="K144" s="139"/>
      <c r="L144" s="139"/>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row>
    <row r="145" spans="1:85" ht="14.4">
      <c r="A145" s="170" t="s">
        <v>220</v>
      </c>
      <c r="B145" s="77">
        <v>798.32337626423976</v>
      </c>
      <c r="C145" s="77">
        <v>168.53206655319894</v>
      </c>
      <c r="D145" s="78">
        <v>1056.5362701030169</v>
      </c>
      <c r="E145" s="79">
        <v>337.03492563445496</v>
      </c>
      <c r="F145" s="79">
        <v>262.44543165689981</v>
      </c>
      <c r="G145" s="79">
        <v>127.4950656202825</v>
      </c>
      <c r="H145" s="77">
        <v>241.0281614335089</v>
      </c>
      <c r="I145" s="78">
        <v>167.10799537007964</v>
      </c>
      <c r="J145" s="77">
        <v>293.40708688248174</v>
      </c>
      <c r="K145" s="139"/>
      <c r="L145" s="139"/>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row>
    <row r="146" spans="1:85" ht="14.4">
      <c r="A146" s="170" t="s">
        <v>221</v>
      </c>
      <c r="B146" s="80">
        <v>11.500743496515044</v>
      </c>
      <c r="C146" s="80">
        <v>20.39451757798636</v>
      </c>
      <c r="D146" s="81">
        <v>5.3232018397814773</v>
      </c>
      <c r="E146" s="82">
        <v>17.247872506572286</v>
      </c>
      <c r="F146" s="82">
        <v>2.5292485930749207</v>
      </c>
      <c r="G146" s="82">
        <v>12.003768413164618</v>
      </c>
      <c r="H146" s="80">
        <v>20.016013602268703</v>
      </c>
      <c r="I146" s="81">
        <v>36.320380572110118</v>
      </c>
      <c r="J146" s="80">
        <v>16.31960581076692</v>
      </c>
      <c r="K146" s="137"/>
      <c r="L146" s="137"/>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row>
    <row r="147" spans="1:85" ht="14.4">
      <c r="A147" s="170" t="s">
        <v>222</v>
      </c>
      <c r="B147" s="80">
        <v>69.716755007482504</v>
      </c>
      <c r="C147" s="80">
        <v>77.835039846304426</v>
      </c>
      <c r="D147" s="81">
        <v>55.145252831551844</v>
      </c>
      <c r="E147" s="82">
        <v>68.966995034121581</v>
      </c>
      <c r="F147" s="82">
        <v>15.878779524980228</v>
      </c>
      <c r="G147" s="82">
        <v>75.328130451242387</v>
      </c>
      <c r="H147" s="80">
        <v>79.737722930914728</v>
      </c>
      <c r="I147" s="81">
        <v>143.78877649913079</v>
      </c>
      <c r="J147" s="80">
        <v>66.662311993279829</v>
      </c>
      <c r="K147" s="137"/>
      <c r="L147" s="13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row>
    <row r="148" spans="1:85" ht="14.4">
      <c r="A148" s="170" t="s">
        <v>223</v>
      </c>
      <c r="B148" s="80">
        <v>191.83496756433547</v>
      </c>
      <c r="C148" s="80">
        <v>173.90935020961814</v>
      </c>
      <c r="D148" s="81">
        <v>77.613288996246382</v>
      </c>
      <c r="E148" s="82">
        <v>151.56429851269905</v>
      </c>
      <c r="F148" s="82">
        <v>25.684239698369549</v>
      </c>
      <c r="G148" s="82">
        <v>107.40009373828028</v>
      </c>
      <c r="H148" s="80">
        <v>177.68755471563952</v>
      </c>
      <c r="I148" s="81">
        <v>811.79112164728815</v>
      </c>
      <c r="J148" s="80">
        <v>144.82243115867374</v>
      </c>
      <c r="K148" s="137"/>
      <c r="L148" s="137"/>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row>
    <row r="149" spans="1:85" ht="14.4">
      <c r="A149" s="170" t="s">
        <v>224</v>
      </c>
      <c r="B149" s="80">
        <v>16.426682819533067</v>
      </c>
      <c r="C149" s="80">
        <v>30.369210088230858</v>
      </c>
      <c r="D149" s="81">
        <v>6.8939406232206801</v>
      </c>
      <c r="E149" s="82">
        <v>30.967306136190601</v>
      </c>
      <c r="F149" s="82">
        <v>2.2451428351707694</v>
      </c>
      <c r="G149" s="82">
        <v>16.415278700113948</v>
      </c>
      <c r="H149" s="80">
        <v>35.825037048748946</v>
      </c>
      <c r="I149" s="81">
        <v>53.721982237834965</v>
      </c>
      <c r="J149" s="80">
        <v>21.978737591665066</v>
      </c>
      <c r="K149" s="137"/>
      <c r="L149" s="137"/>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row>
    <row r="150" spans="1:85" ht="14.4">
      <c r="A150" s="170" t="s">
        <v>225</v>
      </c>
      <c r="B150" s="80">
        <v>12.796167116642268</v>
      </c>
      <c r="C150" s="80">
        <v>15.036767239143815</v>
      </c>
      <c r="D150" s="81">
        <v>5.7529858500383</v>
      </c>
      <c r="E150" s="82">
        <v>14.094286360830761</v>
      </c>
      <c r="F150" s="82">
        <v>1.8297954583882696</v>
      </c>
      <c r="G150" s="82">
        <v>9.3350068929209868</v>
      </c>
      <c r="H150" s="80">
        <v>16.402673604849493</v>
      </c>
      <c r="I150" s="81">
        <v>47.980214403858866</v>
      </c>
      <c r="J150" s="80">
        <v>11.861425989191849</v>
      </c>
      <c r="K150" s="137"/>
      <c r="L150" s="137"/>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row>
    <row r="151" spans="1:85" ht="14.4">
      <c r="A151" s="170" t="s">
        <v>226</v>
      </c>
      <c r="B151" s="80">
        <v>131.98831439135171</v>
      </c>
      <c r="C151" s="80">
        <v>191.35434229561301</v>
      </c>
      <c r="D151" s="81">
        <v>54.717771018324356</v>
      </c>
      <c r="E151" s="82">
        <v>194.86726841732096</v>
      </c>
      <c r="F151" s="82">
        <v>16.042518652252035</v>
      </c>
      <c r="G151" s="82">
        <v>106.74869494201714</v>
      </c>
      <c r="H151" s="80">
        <v>225.97826596838479</v>
      </c>
      <c r="I151" s="81">
        <v>483.60994402221422</v>
      </c>
      <c r="J151" s="80">
        <v>141.06027927569181</v>
      </c>
      <c r="K151" s="137"/>
      <c r="L151" s="137"/>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row>
    <row r="152" spans="1:85" ht="14.4">
      <c r="A152" s="170" t="s">
        <v>227</v>
      </c>
      <c r="B152" s="80">
        <v>1.2483599179273306</v>
      </c>
      <c r="C152" s="80">
        <v>0.75961084800701006</v>
      </c>
      <c r="D152" s="81">
        <v>0.68611443258951299</v>
      </c>
      <c r="E152" s="82">
        <v>0.63475081231463171</v>
      </c>
      <c r="F152" s="82">
        <v>0.19096593538855883</v>
      </c>
      <c r="G152" s="82">
        <v>0.72170094799945905</v>
      </c>
      <c r="H152" s="80">
        <v>0.74725151013677926</v>
      </c>
      <c r="I152" s="81">
        <v>4.6939465469055506</v>
      </c>
      <c r="J152" s="80">
        <v>0.7059229583702934</v>
      </c>
      <c r="K152" s="137"/>
      <c r="L152" s="137"/>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row>
    <row r="153" spans="1:85" ht="14.4">
      <c r="A153" s="170" t="s">
        <v>228</v>
      </c>
      <c r="B153" s="80">
        <v>2.6961447946321928</v>
      </c>
      <c r="C153" s="80">
        <v>2.1679968585555036</v>
      </c>
      <c r="D153" s="81">
        <v>1.5568476158232267</v>
      </c>
      <c r="E153" s="82">
        <v>1.333167785907545</v>
      </c>
      <c r="F153" s="82">
        <v>0.57411691351868466</v>
      </c>
      <c r="G153" s="82">
        <v>1.9431740956396035</v>
      </c>
      <c r="H153" s="80">
        <v>1.5747003859512028</v>
      </c>
      <c r="I153" s="81">
        <v>9.3442735862710098</v>
      </c>
      <c r="J153" s="80">
        <v>2.1230788787514112</v>
      </c>
      <c r="K153" s="137"/>
      <c r="L153" s="137"/>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row>
    <row r="154" spans="1:85" ht="14.4">
      <c r="A154" s="170" t="s">
        <v>229</v>
      </c>
      <c r="B154" s="80">
        <v>130.3282325546221</v>
      </c>
      <c r="C154" s="80">
        <v>361.08153592220646</v>
      </c>
      <c r="D154" s="81">
        <v>58.175904182968836</v>
      </c>
      <c r="E154" s="82">
        <v>318.68328507685993</v>
      </c>
      <c r="F154" s="82">
        <v>34.689593329986693</v>
      </c>
      <c r="G154" s="82">
        <v>194.89054468460856</v>
      </c>
      <c r="H154" s="80">
        <v>368.36911816331497</v>
      </c>
      <c r="I154" s="81">
        <v>304.24050658064436</v>
      </c>
      <c r="J154" s="80">
        <v>276.07240514376855</v>
      </c>
      <c r="K154" s="137"/>
      <c r="L154" s="137"/>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row>
    <row r="155" spans="1:85" ht="14.4">
      <c r="A155" s="170" t="s">
        <v>230</v>
      </c>
      <c r="B155" s="80">
        <v>2.8575449609650958</v>
      </c>
      <c r="C155" s="80">
        <v>4.711716933692669</v>
      </c>
      <c r="D155" s="81">
        <v>2.4486316785668047</v>
      </c>
      <c r="E155" s="82">
        <v>4.7944035035370405</v>
      </c>
      <c r="F155" s="82">
        <v>0.66360415392875494</v>
      </c>
      <c r="G155" s="82">
        <v>3.9585095941226607</v>
      </c>
      <c r="H155" s="80">
        <v>5.5151640984802306</v>
      </c>
      <c r="I155" s="81">
        <v>3.4730354061463213</v>
      </c>
      <c r="J155" s="80">
        <v>3.6191938584575825</v>
      </c>
      <c r="K155" s="137"/>
      <c r="L155" s="137"/>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row>
    <row r="156" spans="1:85" ht="14.4">
      <c r="A156" s="170" t="s">
        <v>3</v>
      </c>
      <c r="B156" s="83">
        <v>80579.591652325835</v>
      </c>
      <c r="C156" s="83">
        <v>205399.86928156618</v>
      </c>
      <c r="D156" s="84">
        <v>29740.686123343439</v>
      </c>
      <c r="E156" s="85">
        <v>194086.54647886415</v>
      </c>
      <c r="F156" s="85">
        <v>15789.136229124628</v>
      </c>
      <c r="G156" s="85">
        <v>103835.65417586977</v>
      </c>
      <c r="H156" s="83">
        <v>224400.23704702681</v>
      </c>
      <c r="I156" s="84">
        <v>234457.61539121042</v>
      </c>
      <c r="J156" s="83">
        <v>151571.4072621245</v>
      </c>
      <c r="K156" s="139"/>
      <c r="L156" s="139"/>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row>
    <row r="157" spans="1:85" ht="14.4">
      <c r="A157" s="169" t="s">
        <v>231</v>
      </c>
      <c r="B157" s="86">
        <v>1.1677121181115582</v>
      </c>
      <c r="C157" s="87">
        <v>1.4151756069838008</v>
      </c>
      <c r="D157" s="88">
        <v>0.43367536985948352</v>
      </c>
      <c r="E157" s="86">
        <v>1.1380812222235028</v>
      </c>
      <c r="F157" s="86">
        <v>0.19819330409782554</v>
      </c>
      <c r="G157" s="86">
        <v>0.79248616962702068</v>
      </c>
      <c r="H157" s="87">
        <v>1.3313446722500231</v>
      </c>
      <c r="I157" s="88">
        <v>4.830474348230049</v>
      </c>
      <c r="J157" s="87">
        <v>1.1774074357872317</v>
      </c>
      <c r="K157" s="138"/>
      <c r="L157" s="138"/>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row>
    <row r="158" spans="1:85" ht="14.4">
      <c r="A158" s="170" t="s">
        <v>232</v>
      </c>
      <c r="B158" s="82">
        <v>5.3603273440404227</v>
      </c>
      <c r="C158" s="80">
        <v>21.538267777008912</v>
      </c>
      <c r="D158" s="81">
        <v>2.4037106038045231</v>
      </c>
      <c r="E158" s="82">
        <v>21.862309695614005</v>
      </c>
      <c r="F158" s="82">
        <v>1.1773957504674484</v>
      </c>
      <c r="G158" s="82">
        <v>10.926120196235708</v>
      </c>
      <c r="H158" s="80">
        <v>25.176407321689869</v>
      </c>
      <c r="I158" s="81">
        <v>6.058445039573761</v>
      </c>
      <c r="J158" s="80">
        <v>15.077547310111223</v>
      </c>
      <c r="K158" s="138"/>
      <c r="L158" s="13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row>
    <row r="159" spans="1:85" ht="14.4">
      <c r="A159" s="170" t="s">
        <v>233</v>
      </c>
      <c r="B159" s="82">
        <v>11.603034310550589</v>
      </c>
      <c r="C159" s="80">
        <v>49.736477472176638</v>
      </c>
      <c r="D159" s="81">
        <v>4.1551661766418269</v>
      </c>
      <c r="E159" s="82">
        <v>51.99532568960074</v>
      </c>
      <c r="F159" s="82">
        <v>2.0687342388406833</v>
      </c>
      <c r="G159" s="82">
        <v>23.796180068356318</v>
      </c>
      <c r="H159" s="80">
        <v>59.872559427617553</v>
      </c>
      <c r="I159" s="81">
        <v>15.421292658500033</v>
      </c>
      <c r="J159" s="80">
        <v>33.98404448901227</v>
      </c>
      <c r="K159" s="138"/>
      <c r="L159" s="138"/>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row>
    <row r="160" spans="1:85" ht="14.4">
      <c r="A160" s="170" t="s">
        <v>234</v>
      </c>
      <c r="B160" s="82">
        <v>1.295993501779876</v>
      </c>
      <c r="C160" s="80">
        <v>5.4130203362257356</v>
      </c>
      <c r="D160" s="81">
        <v>0.47904560387307993</v>
      </c>
      <c r="E160" s="82">
        <v>5.5841646070212372</v>
      </c>
      <c r="F160" s="82">
        <v>0.24808658892180804</v>
      </c>
      <c r="G160" s="82">
        <v>2.6163200047742716</v>
      </c>
      <c r="H160" s="80">
        <v>6.4314602979884601</v>
      </c>
      <c r="I160" s="81">
        <v>1.7869885881518233</v>
      </c>
      <c r="J160" s="80">
        <v>3.733764239643111</v>
      </c>
      <c r="K160" s="138"/>
      <c r="L160" s="138"/>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row>
    <row r="161" spans="1:85" ht="14.4">
      <c r="A161" s="170" t="s">
        <v>235</v>
      </c>
      <c r="B161" s="82">
        <v>1.0809837642563616</v>
      </c>
      <c r="C161" s="80">
        <v>4.3017084049149776</v>
      </c>
      <c r="D161" s="81">
        <v>0.41528700805896274</v>
      </c>
      <c r="E161" s="82">
        <v>4.361873548615173</v>
      </c>
      <c r="F161" s="82">
        <v>0.22196818219722736</v>
      </c>
      <c r="G161" s="82">
        <v>2.1086487443207433</v>
      </c>
      <c r="H161" s="80">
        <v>5.0253476964364872</v>
      </c>
      <c r="I161" s="81">
        <v>1.6163344815095844</v>
      </c>
      <c r="J161" s="80">
        <v>3.0045193404495096</v>
      </c>
      <c r="K161" s="138"/>
      <c r="L161" s="138"/>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row>
    <row r="162" spans="1:85" ht="14.4">
      <c r="A162" s="170" t="s">
        <v>236</v>
      </c>
      <c r="B162" s="82">
        <v>11.352735566319915</v>
      </c>
      <c r="C162" s="80">
        <v>61.108224022124631</v>
      </c>
      <c r="D162" s="81">
        <v>3.3200287464383176</v>
      </c>
      <c r="E162" s="82">
        <v>67.650415589739382</v>
      </c>
      <c r="F162" s="82">
        <v>1.2949959725610387</v>
      </c>
      <c r="G162" s="82">
        <v>27.81522711642652</v>
      </c>
      <c r="H162" s="80">
        <v>77.809995858172201</v>
      </c>
      <c r="I162" s="81">
        <v>6.9324792806970503</v>
      </c>
      <c r="J162" s="80">
        <v>39.878789819284343</v>
      </c>
      <c r="K162" s="138"/>
      <c r="L162" s="138"/>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row>
    <row r="163" spans="1:85" ht="14.4">
      <c r="A163" s="170" t="s">
        <v>237</v>
      </c>
      <c r="B163" s="82">
        <v>6.3781513363343437E-2</v>
      </c>
      <c r="C163" s="80">
        <v>0.19192868541518118</v>
      </c>
      <c r="D163" s="81">
        <v>2.5952843105642175E-2</v>
      </c>
      <c r="E163" s="82">
        <v>0.19003012378390358</v>
      </c>
      <c r="F163" s="82">
        <v>1.2376818173465583E-2</v>
      </c>
      <c r="G163" s="82">
        <v>9.7748405490530238E-2</v>
      </c>
      <c r="H163" s="80">
        <v>0.21925594316031374</v>
      </c>
      <c r="I163" s="81">
        <v>0.14541505231336493</v>
      </c>
      <c r="J163" s="80">
        <v>0.13745780049079753</v>
      </c>
      <c r="K163" s="138"/>
      <c r="L163" s="138"/>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row>
    <row r="164" spans="1:85" ht="14.4">
      <c r="A164" s="171" t="s">
        <v>238</v>
      </c>
      <c r="B164" s="89">
        <v>0.23327773939984328</v>
      </c>
      <c r="C164" s="90">
        <v>0.59115824639544656</v>
      </c>
      <c r="D164" s="91">
        <v>0.13322393280449671</v>
      </c>
      <c r="E164" s="89">
        <v>0.40088108775681075</v>
      </c>
      <c r="F164" s="89">
        <v>9.3117783661552031E-2</v>
      </c>
      <c r="G164" s="89">
        <v>0.36666711104986538</v>
      </c>
      <c r="H164" s="90">
        <v>0.46516702841832008</v>
      </c>
      <c r="I164" s="91">
        <v>0.46103505117802213</v>
      </c>
      <c r="J164" s="90">
        <v>0.50696536538976611</v>
      </c>
      <c r="K164" s="138"/>
      <c r="L164" s="138"/>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row>
    <row r="165" spans="1:85" ht="14.4" customHeigh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row>
    <row r="166" spans="1:85" ht="14.4">
      <c r="A166" s="143" t="s">
        <v>310</v>
      </c>
      <c r="B166"/>
      <c r="C166" s="49"/>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row>
    <row r="167" spans="1:85" ht="28.8">
      <c r="A167" s="201"/>
      <c r="B167" s="168" t="s">
        <v>311</v>
      </c>
      <c r="C167" s="168" t="s">
        <v>312</v>
      </c>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row>
    <row r="168" spans="1:85" ht="14.4">
      <c r="A168" s="153" t="s">
        <v>313</v>
      </c>
      <c r="B168" s="51">
        <v>0.81240000000000001</v>
      </c>
      <c r="C168" s="71"/>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row>
    <row r="169" spans="1:85" ht="14.4">
      <c r="A169" s="158" t="s">
        <v>207</v>
      </c>
      <c r="B169" s="51">
        <v>3.0000000000000001E-3</v>
      </c>
      <c r="C169" s="71">
        <v>1.5991471215351803E-2</v>
      </c>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row>
    <row r="170" spans="1:85" ht="14.4">
      <c r="A170" s="158" t="s">
        <v>208</v>
      </c>
      <c r="B170" s="51">
        <v>3.5499999999999997E-2</v>
      </c>
      <c r="C170" s="71">
        <v>0.189232409381663</v>
      </c>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row>
    <row r="171" spans="1:85" ht="14.4">
      <c r="A171" s="158" t="s">
        <v>209</v>
      </c>
      <c r="B171" s="51">
        <v>2.8999999999999998E-3</v>
      </c>
      <c r="C171" s="71">
        <v>1.5458422174840076E-2</v>
      </c>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row>
    <row r="172" spans="1:85" ht="14.4">
      <c r="A172" s="158" t="s">
        <v>210</v>
      </c>
      <c r="B172" s="51">
        <v>1.9400000000000001E-2</v>
      </c>
      <c r="C172" s="71">
        <v>0.10341151385927499</v>
      </c>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row>
    <row r="173" spans="1:85" ht="14.4">
      <c r="A173" s="158" t="s">
        <v>211</v>
      </c>
      <c r="B173" s="51">
        <v>7.4000000000000003E-3</v>
      </c>
      <c r="C173" s="71">
        <v>3.9445628997867785E-2</v>
      </c>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row>
    <row r="174" spans="1:85" ht="14.4">
      <c r="A174" s="158" t="s">
        <v>16</v>
      </c>
      <c r="B174" s="51">
        <v>0.1041</v>
      </c>
      <c r="C174" s="71">
        <v>0.55490405117270758</v>
      </c>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row>
    <row r="175" spans="1:85" ht="14.4">
      <c r="A175" s="162" t="s">
        <v>212</v>
      </c>
      <c r="B175" s="70">
        <v>1.5300000000000091E-2</v>
      </c>
      <c r="C175" s="92">
        <v>8.1556503198294689E-2</v>
      </c>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row>
    <row r="176" spans="1:85" ht="14.4" customHeigh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row>
    <row r="177" spans="1:85" ht="14.4">
      <c r="A177" s="143" t="s">
        <v>314</v>
      </c>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row>
    <row r="178" spans="1:85" ht="28.8">
      <c r="A178" s="167"/>
      <c r="B178" s="205" t="s">
        <v>191</v>
      </c>
      <c r="C178" s="206" t="s">
        <v>192</v>
      </c>
      <c r="D178" s="206" t="s">
        <v>193</v>
      </c>
      <c r="E178" s="206" t="s">
        <v>194</v>
      </c>
      <c r="F178" s="207" t="s">
        <v>195</v>
      </c>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row>
    <row r="179" spans="1:85" ht="14.4">
      <c r="A179" s="170" t="s">
        <v>315</v>
      </c>
      <c r="B179" s="93">
        <v>0.39019999999999999</v>
      </c>
      <c r="C179" s="49">
        <v>0.20300000000000001</v>
      </c>
      <c r="D179" s="49">
        <v>0.20300000000000001</v>
      </c>
      <c r="E179" s="49">
        <v>0.26829999999999998</v>
      </c>
      <c r="F179" s="94">
        <v>0.50419999999999998</v>
      </c>
      <c r="G179"/>
      <c r="H179"/>
      <c r="I179"/>
      <c r="J179"/>
      <c r="K179" s="140"/>
      <c r="L179" s="140"/>
      <c r="M179" s="140"/>
      <c r="N179" s="140"/>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row>
    <row r="180" spans="1:85" ht="14.4">
      <c r="A180" s="170" t="s">
        <v>316</v>
      </c>
      <c r="B180" s="93">
        <v>0.2989</v>
      </c>
      <c r="C180" s="49">
        <v>0.2319</v>
      </c>
      <c r="D180" s="49">
        <v>0.2319</v>
      </c>
      <c r="E180" s="49">
        <v>0.16200000000000001</v>
      </c>
      <c r="F180" s="94">
        <v>0</v>
      </c>
      <c r="G180"/>
      <c r="H180"/>
      <c r="I180"/>
      <c r="J180"/>
      <c r="K180" s="140"/>
      <c r="L180" s="140"/>
      <c r="M180" s="140"/>
      <c r="N180" s="14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row>
    <row r="181" spans="1:85" ht="14.4">
      <c r="A181" s="171" t="s">
        <v>203</v>
      </c>
      <c r="B181" s="208">
        <v>0.31089999999999995</v>
      </c>
      <c r="C181" s="209">
        <v>0.56509999999999994</v>
      </c>
      <c r="D181" s="209">
        <v>0.56509999999999994</v>
      </c>
      <c r="E181" s="209">
        <v>0.56969999999999998</v>
      </c>
      <c r="F181" s="210">
        <v>0.49580000000000002</v>
      </c>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row>
    <row r="182" spans="1:85" ht="14.4">
      <c r="A182"/>
      <c r="B182" s="140"/>
      <c r="C182" s="140"/>
      <c r="D182" s="140"/>
      <c r="E182" s="140"/>
      <c r="F182" s="140"/>
      <c r="G182" s="211"/>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row>
    <row r="183" spans="1:85" ht="14.4">
      <c r="A183" s="144" t="s">
        <v>317</v>
      </c>
      <c r="B183"/>
      <c r="C183"/>
      <c r="D183" s="140"/>
      <c r="E183" s="140"/>
      <c r="F183" s="140"/>
      <c r="G183" s="140"/>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row>
    <row r="184" spans="1:85" ht="14.4">
      <c r="A184" s="169" t="s">
        <v>318</v>
      </c>
      <c r="B184" s="95">
        <v>1</v>
      </c>
      <c r="C184"/>
      <c r="D184" s="140"/>
      <c r="E184" s="140"/>
      <c r="F184" s="140"/>
      <c r="G184" s="140"/>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row>
    <row r="185" spans="1:85" ht="14.4">
      <c r="A185" s="170" t="s">
        <v>319</v>
      </c>
      <c r="B185" s="94">
        <v>1</v>
      </c>
      <c r="C185"/>
      <c r="D185" s="140"/>
      <c r="E185" s="140"/>
      <c r="F185" s="140"/>
      <c r="G185" s="140"/>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row>
    <row r="186" spans="1:85" ht="14.4">
      <c r="A186" s="170" t="s">
        <v>320</v>
      </c>
      <c r="B186" s="212">
        <v>0</v>
      </c>
      <c r="C186"/>
      <c r="D186" s="140"/>
      <c r="E186" s="140"/>
      <c r="F186" s="140"/>
      <c r="G186" s="140"/>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row>
    <row r="187" spans="1:85" ht="14.4">
      <c r="A187" s="170" t="s">
        <v>321</v>
      </c>
      <c r="B187" s="94">
        <v>1</v>
      </c>
      <c r="C187"/>
      <c r="D187" s="140"/>
      <c r="E187" s="140"/>
      <c r="F187" s="140"/>
      <c r="G187" s="140"/>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row>
    <row r="188" spans="1:85" ht="14.4">
      <c r="A188" s="170" t="s">
        <v>322</v>
      </c>
      <c r="B188" s="212">
        <v>1</v>
      </c>
      <c r="C188"/>
      <c r="D188" s="140"/>
      <c r="E188" s="140"/>
      <c r="F188" s="140"/>
      <c r="G188" s="140"/>
      <c r="H188"/>
      <c r="I188"/>
      <c r="J188"/>
      <c r="K188"/>
      <c r="L188"/>
      <c r="M188"/>
      <c r="N188"/>
      <c r="O188"/>
      <c r="P188"/>
      <c r="Q188"/>
      <c r="R188"/>
      <c r="S188"/>
      <c r="T188"/>
      <c r="U188"/>
      <c r="V188"/>
      <c r="W188"/>
      <c r="X188"/>
      <c r="Y188"/>
      <c r="Z188"/>
      <c r="AA188"/>
      <c r="AB188"/>
      <c r="AC188"/>
      <c r="AD188"/>
      <c r="AE188" s="213"/>
      <c r="AF188" s="213"/>
      <c r="AG188" s="213"/>
      <c r="AH188" s="213"/>
      <c r="AI188" s="213"/>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row>
    <row r="189" spans="1:85" ht="14.4">
      <c r="A189" s="170" t="s">
        <v>323</v>
      </c>
      <c r="B189" s="212">
        <v>0</v>
      </c>
      <c r="C189"/>
      <c r="D189" s="140"/>
      <c r="E189" s="140"/>
      <c r="F189" s="140"/>
      <c r="G189" s="140"/>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row>
    <row r="190" spans="1:85" ht="14.4">
      <c r="A190" s="170" t="s">
        <v>324</v>
      </c>
      <c r="B190" s="212">
        <v>0</v>
      </c>
      <c r="C190"/>
      <c r="D190" s="140"/>
      <c r="E190" s="140"/>
      <c r="F190" s="140"/>
      <c r="G190" s="14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row>
    <row r="191" spans="1:85" ht="14.4">
      <c r="A191" s="171" t="s">
        <v>325</v>
      </c>
      <c r="B191" s="214">
        <v>1</v>
      </c>
      <c r="C191"/>
      <c r="D191" s="140"/>
      <c r="E191" s="140"/>
      <c r="F191" s="140"/>
      <c r="G191" s="140"/>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row>
    <row r="192" spans="1:85" ht="14.4">
      <c r="A192"/>
      <c r="B192" s="140"/>
      <c r="C192" s="140"/>
      <c r="D192" s="140"/>
      <c r="E192" s="140"/>
      <c r="F192" s="140"/>
      <c r="G192" s="140"/>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row>
    <row r="193" spans="1:121" ht="14.4">
      <c r="A193" s="144" t="s">
        <v>326</v>
      </c>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row>
    <row r="194" spans="1:121" ht="13.2" customHeight="1">
      <c r="A194" s="1239"/>
      <c r="B194" s="1242" t="s">
        <v>327</v>
      </c>
      <c r="C194" s="1243"/>
      <c r="D194" s="1243"/>
      <c r="E194" s="1243"/>
      <c r="F194" s="1243"/>
      <c r="G194" s="1243"/>
      <c r="H194" s="1243"/>
      <c r="I194" s="1243"/>
      <c r="J194" s="1243"/>
      <c r="K194" s="1243"/>
      <c r="L194" s="1243"/>
      <c r="M194" s="1244"/>
      <c r="N194" s="1245" t="s">
        <v>328</v>
      </c>
      <c r="O194" s="1246"/>
      <c r="P194" s="1246"/>
      <c r="Q194" s="1246"/>
      <c r="R194" s="1246"/>
      <c r="S194" s="1246"/>
      <c r="T194" s="1246"/>
      <c r="U194" s="1246"/>
      <c r="V194" s="1246"/>
      <c r="W194" s="1246"/>
      <c r="X194" s="1243" t="s">
        <v>329</v>
      </c>
      <c r="Y194" s="1243"/>
      <c r="Z194" s="1243"/>
      <c r="AA194" s="1243"/>
      <c r="AB194" s="1243"/>
      <c r="AC194" s="1244"/>
      <c r="AD194" s="1242" t="s">
        <v>330</v>
      </c>
      <c r="AE194" s="1243"/>
      <c r="AF194" s="1243"/>
      <c r="AG194" s="1243"/>
      <c r="AH194" s="1243"/>
      <c r="AI194" s="1243"/>
      <c r="AJ194" s="1243"/>
      <c r="AK194" s="1243"/>
      <c r="AL194" s="1243"/>
      <c r="AM194" s="1243"/>
      <c r="AN194" s="1243"/>
      <c r="AO194" s="1244"/>
      <c r="AP194" s="1242" t="s">
        <v>331</v>
      </c>
      <c r="AQ194" s="1243"/>
      <c r="AR194" s="1243"/>
      <c r="AS194" s="1243"/>
      <c r="AT194" s="1243"/>
      <c r="AU194" s="1243"/>
      <c r="AV194" s="1243"/>
      <c r="AW194" s="1243"/>
      <c r="AX194" s="1243"/>
      <c r="AY194" s="1243"/>
      <c r="AZ194" s="1243"/>
      <c r="BA194" s="1243"/>
      <c r="BB194" s="1243"/>
      <c r="BC194" s="1244"/>
      <c r="BD194" s="218"/>
      <c r="BE194" s="218"/>
      <c r="BF194" s="218"/>
      <c r="BG194" s="218"/>
      <c r="BH194" s="218"/>
      <c r="BI194" s="218"/>
      <c r="BJ194" s="218"/>
      <c r="BK194" s="218"/>
      <c r="BL194" s="218"/>
      <c r="BM194" s="218"/>
      <c r="BN194" s="218"/>
      <c r="BO194" s="218"/>
      <c r="BP194"/>
      <c r="BQ194"/>
      <c r="BR194"/>
      <c r="BS194"/>
      <c r="BT194"/>
      <c r="BU194"/>
      <c r="BV194"/>
      <c r="BW194"/>
      <c r="BX194"/>
      <c r="BY194"/>
      <c r="BZ194"/>
      <c r="CA194"/>
      <c r="CB194"/>
      <c r="CC194"/>
      <c r="CD194"/>
      <c r="CE194"/>
      <c r="CF194"/>
      <c r="CG194"/>
      <c r="CR194" s="1248"/>
      <c r="CS194" s="1248"/>
      <c r="CT194" s="1248"/>
      <c r="CU194" s="1248"/>
      <c r="CV194" s="1248"/>
      <c r="CW194" s="1248"/>
      <c r="CX194" s="1248"/>
      <c r="CY194" s="1248"/>
      <c r="CZ194" s="1248"/>
      <c r="DA194" s="1248"/>
      <c r="DB194" s="1248"/>
      <c r="DC194" s="1248"/>
      <c r="DD194" s="1248"/>
      <c r="DE194" s="1248"/>
      <c r="DF194" s="1248"/>
      <c r="DG194" s="1248"/>
      <c r="DH194" s="1248"/>
      <c r="DI194" s="1248"/>
      <c r="DJ194" s="1248"/>
      <c r="DK194" s="1248"/>
      <c r="DL194" s="1248"/>
      <c r="DM194" s="1248"/>
      <c r="DN194" s="1248"/>
      <c r="DO194" s="1248"/>
    </row>
    <row r="195" spans="1:121" ht="69" customHeight="1">
      <c r="A195" s="1240"/>
      <c r="B195" s="1242" t="s">
        <v>182</v>
      </c>
      <c r="C195" s="1244"/>
      <c r="D195" s="1242" t="s">
        <v>332</v>
      </c>
      <c r="E195" s="1244"/>
      <c r="F195" s="1242" t="s">
        <v>333</v>
      </c>
      <c r="G195" s="1244"/>
      <c r="H195" s="1242" t="s">
        <v>334</v>
      </c>
      <c r="I195" s="1244"/>
      <c r="J195" s="1242" t="s">
        <v>335</v>
      </c>
      <c r="K195" s="1244"/>
      <c r="L195" s="1242" t="s">
        <v>336</v>
      </c>
      <c r="M195" s="1244"/>
      <c r="N195" s="1242" t="s">
        <v>182</v>
      </c>
      <c r="O195" s="1244"/>
      <c r="P195" s="1242" t="s">
        <v>333</v>
      </c>
      <c r="Q195" s="1244"/>
      <c r="R195" s="1242" t="s">
        <v>334</v>
      </c>
      <c r="S195" s="1244"/>
      <c r="T195" s="1242" t="s">
        <v>337</v>
      </c>
      <c r="U195" s="1244"/>
      <c r="V195" s="1242" t="s">
        <v>336</v>
      </c>
      <c r="W195" s="1244"/>
      <c r="X195" s="1242" t="s">
        <v>338</v>
      </c>
      <c r="Y195" s="1244"/>
      <c r="Z195" s="1242" t="s">
        <v>339</v>
      </c>
      <c r="AA195" s="1244"/>
      <c r="AB195" s="1242" t="s">
        <v>190</v>
      </c>
      <c r="AC195" s="1244"/>
      <c r="AD195" s="1242" t="s">
        <v>340</v>
      </c>
      <c r="AE195" s="1244"/>
      <c r="AF195" s="1242" t="s">
        <v>341</v>
      </c>
      <c r="AG195" s="1244"/>
      <c r="AH195" s="1242" t="s">
        <v>342</v>
      </c>
      <c r="AI195" s="1244"/>
      <c r="AJ195" s="1247" t="s">
        <v>343</v>
      </c>
      <c r="AK195" s="1247"/>
      <c r="AL195" s="1247" t="s">
        <v>344</v>
      </c>
      <c r="AM195" s="1247"/>
      <c r="AN195" s="1247" t="s">
        <v>196</v>
      </c>
      <c r="AO195" s="1247"/>
      <c r="AP195" s="1242" t="s">
        <v>345</v>
      </c>
      <c r="AQ195" s="1244"/>
      <c r="AR195" s="1242" t="s">
        <v>346</v>
      </c>
      <c r="AS195" s="1244"/>
      <c r="AT195" s="1242" t="s">
        <v>347</v>
      </c>
      <c r="AU195" s="1244"/>
      <c r="AV195" s="1242" t="s">
        <v>348</v>
      </c>
      <c r="AW195" s="1244"/>
      <c r="AX195" s="1242" t="s">
        <v>349</v>
      </c>
      <c r="AY195" s="1244"/>
      <c r="AZ195" s="1242" t="s">
        <v>350</v>
      </c>
      <c r="BA195" s="1244"/>
      <c r="BB195" s="1242" t="s">
        <v>351</v>
      </c>
      <c r="BC195" s="1244"/>
      <c r="BD195" s="1249"/>
      <c r="BE195" s="1250"/>
      <c r="BF195" s="1250"/>
      <c r="BG195" s="1250"/>
      <c r="BH195" s="1250"/>
      <c r="BI195" s="1250"/>
      <c r="BJ195" s="1250"/>
      <c r="BK195" s="1250"/>
      <c r="BL195" s="1250"/>
      <c r="BM195" s="1250"/>
      <c r="BN195" s="1250"/>
      <c r="BO195" s="1250"/>
      <c r="BP195"/>
      <c r="BQ195"/>
      <c r="BR195"/>
      <c r="BS195"/>
      <c r="BT195"/>
      <c r="BU195"/>
      <c r="BV195"/>
      <c r="BW195"/>
      <c r="BX195"/>
      <c r="BY195"/>
      <c r="BZ195"/>
      <c r="CA195"/>
      <c r="CB195"/>
      <c r="CC195"/>
      <c r="CD195"/>
      <c r="CE195"/>
      <c r="CF195"/>
      <c r="CG195"/>
      <c r="CR195" s="1248"/>
      <c r="CS195" s="1248"/>
      <c r="CT195" s="1248"/>
      <c r="CU195" s="1248"/>
      <c r="CV195" s="1248"/>
      <c r="CW195" s="1248"/>
      <c r="CX195" s="1248"/>
      <c r="CY195" s="1248"/>
      <c r="CZ195" s="1248"/>
      <c r="DA195" s="1248"/>
      <c r="DB195" s="1248"/>
      <c r="DC195" s="1248"/>
      <c r="DD195" s="1248"/>
      <c r="DE195" s="1248"/>
      <c r="DF195" s="1248"/>
      <c r="DG195" s="1248"/>
      <c r="DH195" s="1248"/>
      <c r="DI195" s="1248"/>
      <c r="DJ195" s="1248"/>
      <c r="DK195" s="1248"/>
      <c r="DL195" s="1248"/>
      <c r="DM195" s="1248"/>
      <c r="DN195" s="1248"/>
      <c r="DO195" s="1248"/>
      <c r="DP195" s="1248"/>
      <c r="DQ195" s="1248"/>
    </row>
    <row r="196" spans="1:121" ht="84.75" customHeight="1">
      <c r="A196" s="1241"/>
      <c r="B196" s="219" t="s">
        <v>352</v>
      </c>
      <c r="C196" s="220" t="s">
        <v>353</v>
      </c>
      <c r="D196" s="221" t="s">
        <v>352</v>
      </c>
      <c r="E196" s="222" t="s">
        <v>353</v>
      </c>
      <c r="F196" s="223" t="s">
        <v>352</v>
      </c>
      <c r="G196" s="223" t="s">
        <v>353</v>
      </c>
      <c r="H196" s="221" t="s">
        <v>352</v>
      </c>
      <c r="I196" s="222" t="s">
        <v>353</v>
      </c>
      <c r="J196" s="223" t="s">
        <v>352</v>
      </c>
      <c r="K196" s="223" t="s">
        <v>353</v>
      </c>
      <c r="L196" s="221" t="s">
        <v>352</v>
      </c>
      <c r="M196" s="222" t="s">
        <v>353</v>
      </c>
      <c r="N196" s="223" t="s">
        <v>352</v>
      </c>
      <c r="O196" s="223" t="s">
        <v>353</v>
      </c>
      <c r="P196" s="221" t="s">
        <v>352</v>
      </c>
      <c r="Q196" s="222" t="s">
        <v>353</v>
      </c>
      <c r="R196" s="223" t="s">
        <v>352</v>
      </c>
      <c r="S196" s="223" t="s">
        <v>353</v>
      </c>
      <c r="T196" s="221" t="s">
        <v>352</v>
      </c>
      <c r="U196" s="222" t="s">
        <v>353</v>
      </c>
      <c r="V196" s="223" t="s">
        <v>352</v>
      </c>
      <c r="W196" s="223" t="s">
        <v>353</v>
      </c>
      <c r="X196" s="221" t="s">
        <v>352</v>
      </c>
      <c r="Y196" s="222" t="s">
        <v>353</v>
      </c>
      <c r="Z196" s="223" t="s">
        <v>352</v>
      </c>
      <c r="AA196" s="223" t="s">
        <v>353</v>
      </c>
      <c r="AB196" s="221" t="s">
        <v>352</v>
      </c>
      <c r="AC196" s="222" t="s">
        <v>353</v>
      </c>
      <c r="AD196" s="223" t="s">
        <v>352</v>
      </c>
      <c r="AE196" s="223" t="s">
        <v>353</v>
      </c>
      <c r="AF196" s="221" t="s">
        <v>352</v>
      </c>
      <c r="AG196" s="222" t="s">
        <v>353</v>
      </c>
      <c r="AH196" s="223" t="s">
        <v>352</v>
      </c>
      <c r="AI196" s="223" t="s">
        <v>353</v>
      </c>
      <c r="AJ196" s="265" t="s">
        <v>352</v>
      </c>
      <c r="AK196" s="265" t="s">
        <v>353</v>
      </c>
      <c r="AL196" s="265" t="s">
        <v>352</v>
      </c>
      <c r="AM196" s="265" t="s">
        <v>353</v>
      </c>
      <c r="AN196" s="265" t="s">
        <v>352</v>
      </c>
      <c r="AO196" s="265" t="s">
        <v>353</v>
      </c>
      <c r="AP196" s="221" t="s">
        <v>352</v>
      </c>
      <c r="AQ196" s="222" t="s">
        <v>353</v>
      </c>
      <c r="AR196" s="223" t="s">
        <v>352</v>
      </c>
      <c r="AS196" s="223" t="s">
        <v>353</v>
      </c>
      <c r="AT196" s="221" t="s">
        <v>352</v>
      </c>
      <c r="AU196" s="222" t="s">
        <v>353</v>
      </c>
      <c r="AV196" s="223" t="s">
        <v>352</v>
      </c>
      <c r="AW196" s="223" t="s">
        <v>353</v>
      </c>
      <c r="AX196" s="221" t="s">
        <v>352</v>
      </c>
      <c r="AY196" s="222" t="s">
        <v>353</v>
      </c>
      <c r="AZ196" s="223" t="s">
        <v>352</v>
      </c>
      <c r="BA196" s="223" t="s">
        <v>353</v>
      </c>
      <c r="BB196" s="221" t="s">
        <v>352</v>
      </c>
      <c r="BC196" s="222" t="s">
        <v>353</v>
      </c>
      <c r="BD196" s="223"/>
      <c r="BE196" s="223"/>
      <c r="BF196" s="223"/>
      <c r="BG196" s="223"/>
      <c r="BH196" s="223"/>
      <c r="BI196" s="223"/>
      <c r="BJ196" s="223"/>
      <c r="BK196" s="223"/>
      <c r="BL196" s="223"/>
      <c r="BM196" s="223"/>
      <c r="BN196" s="223"/>
      <c r="BO196" s="223"/>
      <c r="BP196"/>
      <c r="BQ196"/>
      <c r="BR196"/>
      <c r="BS196"/>
      <c r="BT196"/>
      <c r="BU196"/>
      <c r="BV196"/>
      <c r="BW196"/>
      <c r="BX196"/>
      <c r="BY196"/>
      <c r="BZ196"/>
      <c r="CA196"/>
      <c r="CB196"/>
      <c r="CC196"/>
      <c r="CD196"/>
      <c r="CE196"/>
      <c r="CF196"/>
      <c r="CG196"/>
      <c r="CR196" s="96"/>
      <c r="CS196" s="96"/>
      <c r="CT196" s="96"/>
      <c r="CU196" s="96"/>
      <c r="CV196" s="96"/>
      <c r="CW196" s="96"/>
      <c r="CX196" s="96"/>
      <c r="CY196" s="96"/>
      <c r="CZ196" s="96"/>
      <c r="DA196" s="96"/>
      <c r="DB196" s="96"/>
      <c r="DC196" s="96"/>
      <c r="DD196" s="96"/>
      <c r="DE196" s="96"/>
      <c r="DF196" s="96"/>
      <c r="DG196" s="96"/>
      <c r="DH196" s="96"/>
      <c r="DI196" s="96"/>
      <c r="DJ196" s="96"/>
      <c r="DK196" s="96"/>
      <c r="DL196" s="96"/>
      <c r="DM196" s="96"/>
      <c r="DN196" s="96"/>
      <c r="DO196" s="96"/>
      <c r="DP196" s="96"/>
      <c r="DQ196" s="96"/>
    </row>
    <row r="197" spans="1:121" ht="27">
      <c r="A197" s="218" t="s">
        <v>354</v>
      </c>
      <c r="B197" s="156">
        <v>8.2000000000000003E-2</v>
      </c>
      <c r="C197" s="155"/>
      <c r="D197" s="137">
        <v>7.5869999999999997</v>
      </c>
      <c r="E197" s="137"/>
      <c r="F197" s="156">
        <v>10.6</v>
      </c>
      <c r="G197" s="155"/>
      <c r="H197" s="137">
        <v>2.78</v>
      </c>
      <c r="I197" s="137"/>
      <c r="J197" s="156">
        <v>46.953000000000003</v>
      </c>
      <c r="K197" s="155"/>
      <c r="L197" s="137">
        <v>1.016</v>
      </c>
      <c r="M197" s="137"/>
      <c r="N197" s="156">
        <v>8.2000000000000003E-2</v>
      </c>
      <c r="O197" s="155"/>
      <c r="P197" s="137">
        <v>10.6</v>
      </c>
      <c r="Q197" s="137"/>
      <c r="R197" s="156">
        <v>2.78</v>
      </c>
      <c r="S197" s="155"/>
      <c r="T197" s="137">
        <v>46.953000000000003</v>
      </c>
      <c r="U197" s="137"/>
      <c r="V197" s="156">
        <v>1.016</v>
      </c>
      <c r="W197" s="155"/>
      <c r="X197" s="137">
        <v>4.9829999999999997</v>
      </c>
      <c r="Y197" s="137"/>
      <c r="Z197" s="156">
        <v>4.9829999999999997</v>
      </c>
      <c r="AA197" s="155"/>
      <c r="AB197" s="137">
        <v>5.7450000000000001</v>
      </c>
      <c r="AC197" s="137"/>
      <c r="AD197" s="156">
        <v>12.016999999999999</v>
      </c>
      <c r="AE197" s="155"/>
      <c r="AF197" s="137">
        <v>11.009</v>
      </c>
      <c r="AG197" s="137"/>
      <c r="AH197" s="156">
        <v>14.504</v>
      </c>
      <c r="AI197" s="155"/>
      <c r="AJ197" s="204">
        <v>12.016999999999999</v>
      </c>
      <c r="AK197" s="204"/>
      <c r="AL197" s="204">
        <v>9.5760000000000005</v>
      </c>
      <c r="AM197" s="204"/>
      <c r="AN197" s="204">
        <v>0.86</v>
      </c>
      <c r="AO197" s="204"/>
      <c r="AP197" s="186">
        <v>2.7493831346987885</v>
      </c>
      <c r="AQ197" s="187"/>
      <c r="AR197" s="185">
        <v>1.6919016465152674</v>
      </c>
      <c r="AS197" s="224"/>
      <c r="AT197" s="187">
        <v>2.0004276715659512E-2</v>
      </c>
      <c r="AU197" s="187"/>
      <c r="AV197" s="185">
        <v>6.2518039157437704</v>
      </c>
      <c r="AW197" s="224"/>
      <c r="AX197" s="187">
        <v>9.2791680796084126</v>
      </c>
      <c r="AY197" s="187"/>
      <c r="AZ197" s="185">
        <v>1.5465280132680688</v>
      </c>
      <c r="BA197" s="226"/>
      <c r="BB197" s="227">
        <v>60.493989716264075</v>
      </c>
      <c r="BC197" s="226"/>
      <c r="BD197"/>
      <c r="BE197"/>
      <c r="BF197"/>
      <c r="BG197"/>
      <c r="BH197"/>
      <c r="BI197"/>
      <c r="BJ197"/>
      <c r="BK197"/>
      <c r="BL197"/>
      <c r="BM197"/>
      <c r="BN197"/>
      <c r="BO197"/>
      <c r="BP197"/>
      <c r="BQ197"/>
      <c r="BR197"/>
      <c r="BS197"/>
      <c r="BT197"/>
      <c r="BU197"/>
      <c r="BV197"/>
      <c r="BW197"/>
      <c r="BX197"/>
      <c r="BY197"/>
      <c r="BZ197"/>
      <c r="CA197"/>
      <c r="CB197"/>
      <c r="CC197"/>
      <c r="CD197"/>
      <c r="CE197"/>
      <c r="CF197"/>
      <c r="CG197"/>
    </row>
    <row r="198" spans="1:121" ht="14.4">
      <c r="A198" s="143" t="s">
        <v>355</v>
      </c>
      <c r="B198" s="97">
        <v>0</v>
      </c>
      <c r="C198" s="98"/>
      <c r="D198" s="99">
        <v>0</v>
      </c>
      <c r="E198" s="99"/>
      <c r="F198" s="97">
        <v>0</v>
      </c>
      <c r="G198" s="98"/>
      <c r="H198" s="99">
        <v>0</v>
      </c>
      <c r="I198" s="99"/>
      <c r="J198" s="97">
        <v>0</v>
      </c>
      <c r="K198" s="98"/>
      <c r="L198" s="99">
        <v>0</v>
      </c>
      <c r="M198" s="99"/>
      <c r="N198" s="97">
        <v>0</v>
      </c>
      <c r="O198" s="98"/>
      <c r="P198" s="99">
        <v>0</v>
      </c>
      <c r="Q198" s="99"/>
      <c r="R198" s="97">
        <v>0</v>
      </c>
      <c r="S198" s="98"/>
      <c r="T198" s="99">
        <v>0</v>
      </c>
      <c r="U198" s="99"/>
      <c r="V198" s="97">
        <v>0</v>
      </c>
      <c r="W198" s="98"/>
      <c r="X198" s="99">
        <v>0</v>
      </c>
      <c r="Y198" s="99"/>
      <c r="Z198" s="97">
        <v>0</v>
      </c>
      <c r="AA198" s="98"/>
      <c r="AB198" s="99">
        <v>0</v>
      </c>
      <c r="AC198" s="99"/>
      <c r="AD198" s="97">
        <v>0</v>
      </c>
      <c r="AE198" s="98"/>
      <c r="AF198" s="99">
        <v>0</v>
      </c>
      <c r="AG198" s="99"/>
      <c r="AH198" s="97">
        <v>0</v>
      </c>
      <c r="AI198" s="98"/>
      <c r="AJ198">
        <v>0</v>
      </c>
      <c r="AK198"/>
      <c r="AL198">
        <v>0</v>
      </c>
      <c r="AM198"/>
      <c r="AN198">
        <v>0</v>
      </c>
      <c r="AO198"/>
      <c r="AP198" s="97">
        <v>0</v>
      </c>
      <c r="AQ198" s="100"/>
      <c r="AR198" s="97">
        <v>0</v>
      </c>
      <c r="AS198" s="98"/>
      <c r="AT198" s="100">
        <v>0</v>
      </c>
      <c r="AU198" s="100"/>
      <c r="AV198" s="97">
        <v>0</v>
      </c>
      <c r="AW198" s="98"/>
      <c r="AX198" s="100">
        <v>0</v>
      </c>
      <c r="AY198" s="100"/>
      <c r="AZ198" s="97">
        <v>0</v>
      </c>
      <c r="BA198" s="228"/>
      <c r="BB198" s="97">
        <v>0</v>
      </c>
      <c r="BC198" s="228"/>
      <c r="BD198"/>
      <c r="BE198"/>
      <c r="BF198"/>
      <c r="BG198"/>
      <c r="BH198"/>
      <c r="BI198"/>
      <c r="BJ198"/>
      <c r="BK198"/>
      <c r="BL198"/>
      <c r="BM198"/>
      <c r="BN198"/>
      <c r="BO198"/>
      <c r="BP198"/>
      <c r="BQ198"/>
      <c r="BR198"/>
      <c r="BS198"/>
      <c r="BT198"/>
      <c r="BU198"/>
      <c r="BV198"/>
      <c r="BW198"/>
      <c r="BX198"/>
      <c r="BY198"/>
      <c r="BZ198"/>
      <c r="CA198"/>
      <c r="CB198"/>
      <c r="CC198"/>
      <c r="CD198"/>
      <c r="CE198"/>
      <c r="CF198"/>
      <c r="CG198"/>
    </row>
    <row r="199" spans="1:121" ht="14.4">
      <c r="A199" s="143" t="s">
        <v>356</v>
      </c>
      <c r="B199" s="229"/>
      <c r="C199" s="230"/>
      <c r="D199" s="231"/>
      <c r="E199" s="232"/>
      <c r="F199" s="233"/>
      <c r="G199" s="233"/>
      <c r="H199" s="231"/>
      <c r="I199" s="232"/>
      <c r="J199" s="233"/>
      <c r="K199" s="233"/>
      <c r="L199" s="231"/>
      <c r="M199" s="232"/>
      <c r="N199" s="233"/>
      <c r="O199" s="233"/>
      <c r="P199" s="231"/>
      <c r="Q199" s="232"/>
      <c r="R199" s="233"/>
      <c r="S199" s="233"/>
      <c r="T199" s="231"/>
      <c r="U199" s="232"/>
      <c r="V199" s="233"/>
      <c r="W199" s="233"/>
      <c r="X199" s="231"/>
      <c r="Y199" s="232"/>
      <c r="Z199" s="233"/>
      <c r="AA199" s="233"/>
      <c r="AB199" s="231"/>
      <c r="AC199" s="232"/>
      <c r="AD199" s="233"/>
      <c r="AE199" s="233"/>
      <c r="AF199" s="231"/>
      <c r="AG199" s="232"/>
      <c r="AH199" s="233"/>
      <c r="AI199" s="233"/>
      <c r="AJ199" s="231"/>
      <c r="AK199" s="232"/>
      <c r="AL199" s="233"/>
      <c r="AM199" s="233"/>
      <c r="AN199" s="169"/>
      <c r="AO199" s="226"/>
      <c r="AP199" s="231"/>
      <c r="AQ199" s="232"/>
      <c r="AR199" s="233"/>
      <c r="AS199" s="233"/>
      <c r="AT199" s="231"/>
      <c r="AU199" s="232"/>
      <c r="AV199" s="233"/>
      <c r="AW199" s="233"/>
      <c r="AX199" s="231"/>
      <c r="AY199" s="232"/>
      <c r="AZ199" s="233"/>
      <c r="BA199"/>
      <c r="BB199" s="169"/>
      <c r="BC199" s="226"/>
      <c r="BD199"/>
      <c r="BE199"/>
      <c r="BF199"/>
      <c r="BG199"/>
      <c r="BH199"/>
      <c r="BI199"/>
      <c r="BJ199"/>
      <c r="BK199"/>
      <c r="BL199"/>
      <c r="BM199"/>
      <c r="BN199"/>
      <c r="BO199"/>
      <c r="BP199"/>
      <c r="BQ199"/>
      <c r="BR199"/>
      <c r="BS199"/>
      <c r="BT199"/>
      <c r="BU199"/>
      <c r="BV199"/>
      <c r="BW199"/>
      <c r="BX199"/>
      <c r="BY199"/>
      <c r="BZ199"/>
      <c r="CA199"/>
      <c r="CB199"/>
      <c r="CC199"/>
      <c r="CD199"/>
      <c r="CE199"/>
      <c r="CF199"/>
      <c r="CG199"/>
    </row>
    <row r="200" spans="1:121" ht="14.4">
      <c r="A200" t="s">
        <v>357</v>
      </c>
      <c r="B200" s="101">
        <v>0.2089</v>
      </c>
      <c r="C200" s="102"/>
      <c r="D200" s="101">
        <v>0</v>
      </c>
      <c r="E200" s="102"/>
      <c r="F200" s="99">
        <v>8.3299999999999999E-2</v>
      </c>
      <c r="G200" s="99"/>
      <c r="H200" s="101">
        <v>0.21249999999999999</v>
      </c>
      <c r="I200" s="102"/>
      <c r="J200" s="99">
        <v>0</v>
      </c>
      <c r="K200" s="99"/>
      <c r="L200" s="101">
        <v>0</v>
      </c>
      <c r="M200" s="102"/>
      <c r="N200" s="99">
        <v>0.2089</v>
      </c>
      <c r="O200" s="99"/>
      <c r="P200" s="101">
        <v>8.3299999999999999E-2</v>
      </c>
      <c r="Q200" s="102"/>
      <c r="R200" s="99">
        <v>0.21249999999999999</v>
      </c>
      <c r="S200" s="99"/>
      <c r="T200" s="101">
        <v>0</v>
      </c>
      <c r="U200" s="102"/>
      <c r="V200" s="99">
        <v>0</v>
      </c>
      <c r="W200" s="99"/>
      <c r="X200" s="101">
        <v>0</v>
      </c>
      <c r="Y200" s="102"/>
      <c r="Z200" s="99">
        <v>0</v>
      </c>
      <c r="AA200" s="99"/>
      <c r="AB200" s="101">
        <v>0</v>
      </c>
      <c r="AC200" s="102"/>
      <c r="AD200" s="99">
        <v>0</v>
      </c>
      <c r="AE200" s="99"/>
      <c r="AF200" s="101">
        <v>0</v>
      </c>
      <c r="AG200" s="102"/>
      <c r="AH200" s="99">
        <v>0</v>
      </c>
      <c r="AI200" s="99"/>
      <c r="AJ200" s="101">
        <v>0</v>
      </c>
      <c r="AK200" s="102"/>
      <c r="AL200" s="99">
        <v>0</v>
      </c>
      <c r="AM200" s="99"/>
      <c r="AN200" s="234">
        <v>0</v>
      </c>
      <c r="AO200" s="235"/>
      <c r="AP200" s="101">
        <v>0</v>
      </c>
      <c r="AQ200" s="102"/>
      <c r="AR200" s="99">
        <v>0</v>
      </c>
      <c r="AS200" s="99"/>
      <c r="AT200" s="101">
        <v>0</v>
      </c>
      <c r="AU200" s="102"/>
      <c r="AV200" s="99">
        <v>0</v>
      </c>
      <c r="AW200" s="99"/>
      <c r="AX200" s="101">
        <v>0</v>
      </c>
      <c r="AY200" s="102"/>
      <c r="AZ200" s="99">
        <v>0</v>
      </c>
      <c r="BA200"/>
      <c r="BB200" s="101">
        <v>0</v>
      </c>
      <c r="BC200" s="235"/>
      <c r="BD200"/>
      <c r="BE200"/>
      <c r="BF200"/>
      <c r="BG200"/>
      <c r="BH200"/>
      <c r="BI200"/>
      <c r="BJ200"/>
      <c r="BK200"/>
      <c r="BL200"/>
      <c r="BM200"/>
      <c r="BN200"/>
      <c r="BO200"/>
      <c r="BP200"/>
      <c r="BQ200"/>
      <c r="BR200"/>
      <c r="BS200"/>
      <c r="BT200"/>
      <c r="BU200"/>
      <c r="BV200"/>
      <c r="BW200"/>
      <c r="BX200"/>
      <c r="BY200"/>
      <c r="BZ200"/>
      <c r="CA200"/>
      <c r="CB200"/>
      <c r="CC200"/>
      <c r="CD200"/>
      <c r="CE200"/>
      <c r="CF200"/>
      <c r="CG200"/>
    </row>
    <row r="201" spans="1:121" ht="14.4">
      <c r="A201" t="s">
        <v>358</v>
      </c>
      <c r="B201" s="101">
        <v>0.73519999999999996</v>
      </c>
      <c r="C201" s="102"/>
      <c r="D201" s="101">
        <v>0</v>
      </c>
      <c r="E201" s="102"/>
      <c r="F201" s="99">
        <v>3.3999999999999998E-3</v>
      </c>
      <c r="G201" s="99"/>
      <c r="H201" s="101">
        <v>6.7999999999999996E-3</v>
      </c>
      <c r="I201" s="102"/>
      <c r="J201" s="99">
        <v>0</v>
      </c>
      <c r="K201" s="99"/>
      <c r="L201" s="101">
        <v>0.109</v>
      </c>
      <c r="M201" s="102"/>
      <c r="N201" s="99">
        <v>0.73519999999999996</v>
      </c>
      <c r="O201" s="99"/>
      <c r="P201" s="101">
        <v>3.3999999999999998E-3</v>
      </c>
      <c r="Q201" s="102"/>
      <c r="R201" s="99">
        <v>6.7999999999999996E-3</v>
      </c>
      <c r="S201" s="99"/>
      <c r="T201" s="101">
        <v>0</v>
      </c>
      <c r="U201" s="102"/>
      <c r="V201" s="99">
        <v>0.109</v>
      </c>
      <c r="W201" s="99"/>
      <c r="X201" s="101">
        <v>1.8E-3</v>
      </c>
      <c r="Y201" s="102"/>
      <c r="Z201" s="99">
        <v>1.8E-3</v>
      </c>
      <c r="AA201" s="99"/>
      <c r="AB201" s="101">
        <v>0</v>
      </c>
      <c r="AC201" s="102"/>
      <c r="AD201" s="99">
        <v>0</v>
      </c>
      <c r="AE201" s="99"/>
      <c r="AF201" s="101">
        <v>6.9999999999999999E-4</v>
      </c>
      <c r="AG201" s="102"/>
      <c r="AH201" s="99">
        <v>2.9999999999999997E-4</v>
      </c>
      <c r="AI201" s="99"/>
      <c r="AJ201" s="101">
        <v>0</v>
      </c>
      <c r="AK201" s="102"/>
      <c r="AL201" s="99">
        <v>8.0000000000000004E-4</v>
      </c>
      <c r="AM201" s="99"/>
      <c r="AN201" s="234">
        <v>0</v>
      </c>
      <c r="AO201" s="235"/>
      <c r="AP201" s="101">
        <v>0</v>
      </c>
      <c r="AQ201" s="102"/>
      <c r="AR201" s="99">
        <v>0</v>
      </c>
      <c r="AS201" s="99"/>
      <c r="AT201" s="101">
        <v>0.90700000000000003</v>
      </c>
      <c r="AU201" s="102"/>
      <c r="AV201" s="99">
        <v>0</v>
      </c>
      <c r="AW201" s="99"/>
      <c r="AX201" s="101">
        <v>0</v>
      </c>
      <c r="AY201" s="102"/>
      <c r="AZ201" s="99">
        <v>0</v>
      </c>
      <c r="BA201"/>
      <c r="BB201" s="101">
        <v>0</v>
      </c>
      <c r="BC201" s="235"/>
      <c r="BD201"/>
      <c r="BE201"/>
      <c r="BF201"/>
      <c r="BG201"/>
      <c r="BH201"/>
      <c r="BI201"/>
      <c r="BJ201"/>
      <c r="BK201"/>
      <c r="BL201"/>
      <c r="BM201"/>
      <c r="BN201"/>
      <c r="BO201"/>
      <c r="BP201"/>
      <c r="BQ201"/>
      <c r="BR201"/>
      <c r="BS201"/>
      <c r="BT201"/>
      <c r="BU201"/>
      <c r="BV201"/>
      <c r="BW201"/>
      <c r="BX201"/>
      <c r="BY201"/>
      <c r="BZ201"/>
      <c r="CA201"/>
      <c r="CB201"/>
      <c r="CC201"/>
      <c r="CD201"/>
      <c r="CE201"/>
      <c r="CF201"/>
      <c r="CG201"/>
    </row>
    <row r="202" spans="1:121" ht="14.4">
      <c r="A202" t="s">
        <v>359</v>
      </c>
      <c r="B202" s="101">
        <v>0</v>
      </c>
      <c r="C202" s="102"/>
      <c r="D202" s="101">
        <v>0</v>
      </c>
      <c r="E202" s="102"/>
      <c r="F202" s="99">
        <v>0</v>
      </c>
      <c r="G202" s="99"/>
      <c r="H202" s="101">
        <v>0</v>
      </c>
      <c r="I202" s="102"/>
      <c r="J202" s="99">
        <v>0</v>
      </c>
      <c r="K202" s="99"/>
      <c r="L202" s="101">
        <v>0</v>
      </c>
      <c r="M202" s="102"/>
      <c r="N202" s="99">
        <v>0</v>
      </c>
      <c r="O202" s="99"/>
      <c r="P202" s="101">
        <v>0</v>
      </c>
      <c r="Q202" s="102"/>
      <c r="R202" s="99">
        <v>0</v>
      </c>
      <c r="S202" s="99"/>
      <c r="T202" s="101">
        <v>0</v>
      </c>
      <c r="U202" s="102"/>
      <c r="V202" s="99">
        <v>0</v>
      </c>
      <c r="W202" s="99"/>
      <c r="X202" s="101">
        <v>0</v>
      </c>
      <c r="Y202" s="102"/>
      <c r="Z202" s="99">
        <v>0</v>
      </c>
      <c r="AA202" s="99"/>
      <c r="AB202" s="101">
        <v>0</v>
      </c>
      <c r="AC202" s="102"/>
      <c r="AD202" s="99">
        <v>0</v>
      </c>
      <c r="AE202" s="99"/>
      <c r="AF202" s="101">
        <v>0</v>
      </c>
      <c r="AG202" s="102"/>
      <c r="AH202" s="99">
        <v>0</v>
      </c>
      <c r="AI202" s="99"/>
      <c r="AJ202" s="101">
        <v>0</v>
      </c>
      <c r="AK202" s="102"/>
      <c r="AL202" s="99">
        <v>0</v>
      </c>
      <c r="AM202" s="99"/>
      <c r="AN202" s="234">
        <v>0</v>
      </c>
      <c r="AO202" s="235"/>
      <c r="AP202" s="101">
        <v>0</v>
      </c>
      <c r="AQ202" s="102"/>
      <c r="AR202" s="99">
        <v>0</v>
      </c>
      <c r="AS202" s="99"/>
      <c r="AT202" s="101">
        <v>0</v>
      </c>
      <c r="AU202" s="102"/>
      <c r="AV202" s="99">
        <v>0</v>
      </c>
      <c r="AW202" s="99"/>
      <c r="AX202" s="101">
        <v>0</v>
      </c>
      <c r="AY202" s="102"/>
      <c r="AZ202" s="99">
        <v>0</v>
      </c>
      <c r="BA202"/>
      <c r="BB202" s="101">
        <v>0</v>
      </c>
      <c r="BC202" s="235"/>
      <c r="BD202"/>
      <c r="BE202"/>
      <c r="BF202"/>
      <c r="BG202"/>
      <c r="BH202"/>
      <c r="BI202"/>
      <c r="BJ202"/>
      <c r="BK202"/>
      <c r="BL202"/>
      <c r="BM202"/>
      <c r="BN202"/>
      <c r="BO202"/>
      <c r="BP202"/>
      <c r="BQ202"/>
      <c r="BR202"/>
      <c r="BS202"/>
      <c r="BT202"/>
      <c r="BU202"/>
      <c r="BV202"/>
      <c r="BW202"/>
      <c r="BX202"/>
      <c r="BY202"/>
      <c r="BZ202"/>
      <c r="CA202"/>
      <c r="CB202"/>
      <c r="CC202"/>
      <c r="CD202"/>
      <c r="CE202"/>
      <c r="CF202"/>
      <c r="CG202"/>
    </row>
    <row r="203" spans="1:121" ht="14.4">
      <c r="A203" t="s">
        <v>360</v>
      </c>
      <c r="B203" s="101">
        <v>0</v>
      </c>
      <c r="C203" s="102"/>
      <c r="D203" s="101">
        <v>0.96960000000000002</v>
      </c>
      <c r="E203" s="102"/>
      <c r="F203" s="99">
        <v>0.18920000000000001</v>
      </c>
      <c r="G203" s="99"/>
      <c r="H203" s="101">
        <v>0.50480000000000003</v>
      </c>
      <c r="I203" s="102"/>
      <c r="J203" s="99">
        <v>0</v>
      </c>
      <c r="K203" s="99"/>
      <c r="L203" s="101">
        <v>0.72970000000000002</v>
      </c>
      <c r="M203" s="102"/>
      <c r="N203" s="99">
        <v>0</v>
      </c>
      <c r="O203" s="99"/>
      <c r="P203" s="101">
        <v>0.18920000000000001</v>
      </c>
      <c r="Q203" s="102"/>
      <c r="R203" s="99">
        <v>0.50480000000000003</v>
      </c>
      <c r="S203" s="99"/>
      <c r="T203" s="101">
        <v>0</v>
      </c>
      <c r="U203" s="102"/>
      <c r="V203" s="99">
        <v>0.72970000000000002</v>
      </c>
      <c r="W203" s="99"/>
      <c r="X203" s="101">
        <v>0.91390000000000005</v>
      </c>
      <c r="Y203" s="102"/>
      <c r="Z203" s="99">
        <v>0.91390000000000005</v>
      </c>
      <c r="AA203" s="99"/>
      <c r="AB203" s="101">
        <v>0.88680000000000003</v>
      </c>
      <c r="AC203" s="102"/>
      <c r="AD203" s="99">
        <v>0.77400000000000002</v>
      </c>
      <c r="AE203" s="99"/>
      <c r="AF203" s="101">
        <v>0.75180000000000002</v>
      </c>
      <c r="AG203" s="102"/>
      <c r="AH203" s="99">
        <v>0.71240000000000003</v>
      </c>
      <c r="AI203" s="99"/>
      <c r="AJ203" s="101">
        <v>0.77400000000000002</v>
      </c>
      <c r="AK203" s="102"/>
      <c r="AL203" s="99">
        <v>0.73089999999999999</v>
      </c>
      <c r="AM203" s="99"/>
      <c r="AN203" s="234">
        <v>0</v>
      </c>
      <c r="AO203" s="235"/>
      <c r="AP203" s="101">
        <v>0.625</v>
      </c>
      <c r="AQ203" s="102"/>
      <c r="AR203" s="99">
        <v>0</v>
      </c>
      <c r="AS203" s="99"/>
      <c r="AT203" s="101">
        <v>0</v>
      </c>
      <c r="AU203" s="102"/>
      <c r="AV203" s="99">
        <v>0</v>
      </c>
      <c r="AW203" s="99"/>
      <c r="AX203" s="101">
        <v>0</v>
      </c>
      <c r="AY203" s="102"/>
      <c r="AZ203" s="99">
        <v>1</v>
      </c>
      <c r="BA203"/>
      <c r="BB203" s="101">
        <v>0</v>
      </c>
      <c r="BC203" s="235"/>
      <c r="BD203"/>
      <c r="BE203"/>
      <c r="BF203"/>
      <c r="BG203"/>
      <c r="BH203"/>
      <c r="BI203"/>
      <c r="BJ203"/>
      <c r="BK203"/>
      <c r="BL203"/>
      <c r="BM203"/>
      <c r="BN203"/>
      <c r="BO203"/>
      <c r="BP203"/>
      <c r="BQ203"/>
      <c r="BR203"/>
      <c r="BS203"/>
      <c r="BT203"/>
      <c r="BU203"/>
      <c r="BV203"/>
      <c r="BW203"/>
      <c r="BX203"/>
      <c r="BY203"/>
      <c r="BZ203"/>
      <c r="CA203"/>
      <c r="CB203"/>
      <c r="CC203"/>
      <c r="CD203"/>
      <c r="CE203"/>
      <c r="CF203"/>
      <c r="CG203"/>
    </row>
    <row r="204" spans="1:121" ht="14.4">
      <c r="A204" t="s">
        <v>361</v>
      </c>
      <c r="B204" s="101">
        <v>0</v>
      </c>
      <c r="C204" s="102"/>
      <c r="D204" s="101">
        <v>0</v>
      </c>
      <c r="E204" s="102"/>
      <c r="F204" s="99">
        <v>0.66059999999999997</v>
      </c>
      <c r="G204" s="99"/>
      <c r="H204" s="101">
        <v>0</v>
      </c>
      <c r="I204" s="102"/>
      <c r="J204" s="99">
        <v>0</v>
      </c>
      <c r="K204" s="99"/>
      <c r="L204" s="101">
        <v>0</v>
      </c>
      <c r="M204" s="102"/>
      <c r="N204" s="99">
        <v>0</v>
      </c>
      <c r="O204" s="99"/>
      <c r="P204" s="101">
        <v>0.66059999999999997</v>
      </c>
      <c r="Q204" s="102"/>
      <c r="R204" s="99">
        <v>0</v>
      </c>
      <c r="S204" s="99"/>
      <c r="T204" s="101">
        <v>0</v>
      </c>
      <c r="U204" s="102"/>
      <c r="V204" s="99">
        <v>0</v>
      </c>
      <c r="W204" s="99"/>
      <c r="X204" s="101">
        <v>0</v>
      </c>
      <c r="Y204" s="102"/>
      <c r="Z204" s="99">
        <v>0</v>
      </c>
      <c r="AA204" s="99"/>
      <c r="AB204" s="101">
        <v>0</v>
      </c>
      <c r="AC204" s="102"/>
      <c r="AD204" s="99">
        <v>0</v>
      </c>
      <c r="AE204" s="99"/>
      <c r="AF204" s="101">
        <v>0</v>
      </c>
      <c r="AG204" s="102"/>
      <c r="AH204" s="99">
        <v>0</v>
      </c>
      <c r="AI204" s="99"/>
      <c r="AJ204" s="101">
        <v>0</v>
      </c>
      <c r="AK204" s="102"/>
      <c r="AL204" s="99">
        <v>0</v>
      </c>
      <c r="AM204" s="99"/>
      <c r="AN204" s="234">
        <v>0</v>
      </c>
      <c r="AO204" s="235"/>
      <c r="AP204" s="101">
        <v>0</v>
      </c>
      <c r="AQ204" s="102"/>
      <c r="AR204" s="99">
        <v>0</v>
      </c>
      <c r="AS204" s="99"/>
      <c r="AT204" s="101">
        <v>0</v>
      </c>
      <c r="AU204" s="102"/>
      <c r="AV204" s="99">
        <v>0.97770000000000001</v>
      </c>
      <c r="AW204" s="99"/>
      <c r="AX204" s="101">
        <v>0</v>
      </c>
      <c r="AY204" s="102"/>
      <c r="AZ204" s="99">
        <v>0</v>
      </c>
      <c r="BA204"/>
      <c r="BB204" s="101">
        <v>0</v>
      </c>
      <c r="BC204" s="235"/>
      <c r="BD204"/>
      <c r="BE204"/>
      <c r="BF204"/>
      <c r="BG204"/>
      <c r="BH204"/>
      <c r="BI204"/>
      <c r="BJ204"/>
      <c r="BK204"/>
      <c r="BL204"/>
      <c r="BM204"/>
      <c r="BN204"/>
      <c r="BO204"/>
      <c r="BP204"/>
      <c r="BQ204"/>
      <c r="BR204"/>
      <c r="BS204"/>
      <c r="BT204"/>
      <c r="BU204"/>
      <c r="BV204"/>
      <c r="BW204"/>
      <c r="BX204"/>
      <c r="BY204"/>
      <c r="BZ204"/>
      <c r="CA204"/>
      <c r="CB204"/>
      <c r="CC204"/>
      <c r="CD204"/>
      <c r="CE204"/>
      <c r="CF204"/>
      <c r="CG204"/>
    </row>
    <row r="205" spans="1:121" ht="14.4">
      <c r="A205" t="s">
        <v>362</v>
      </c>
      <c r="B205" s="101">
        <v>0</v>
      </c>
      <c r="C205" s="102"/>
      <c r="D205" s="101">
        <v>0</v>
      </c>
      <c r="E205" s="102"/>
      <c r="F205" s="99">
        <v>0</v>
      </c>
      <c r="G205" s="99"/>
      <c r="H205" s="101">
        <v>0</v>
      </c>
      <c r="I205" s="102"/>
      <c r="J205" s="99">
        <v>0</v>
      </c>
      <c r="K205" s="99"/>
      <c r="L205" s="101">
        <v>0</v>
      </c>
      <c r="M205" s="102"/>
      <c r="N205" s="99">
        <v>0</v>
      </c>
      <c r="O205" s="99"/>
      <c r="P205" s="101">
        <v>0</v>
      </c>
      <c r="Q205" s="102"/>
      <c r="R205" s="99">
        <v>0</v>
      </c>
      <c r="S205" s="99"/>
      <c r="T205" s="101">
        <v>0</v>
      </c>
      <c r="U205" s="102"/>
      <c r="V205" s="99">
        <v>0</v>
      </c>
      <c r="W205" s="99"/>
      <c r="X205" s="101">
        <v>0</v>
      </c>
      <c r="Y205" s="102"/>
      <c r="Z205" s="99">
        <v>0</v>
      </c>
      <c r="AA205" s="99"/>
      <c r="AB205" s="101">
        <v>0</v>
      </c>
      <c r="AC205" s="102"/>
      <c r="AD205" s="99">
        <v>0</v>
      </c>
      <c r="AE205" s="99"/>
      <c r="AF205" s="101">
        <v>4.0000000000000002E-4</v>
      </c>
      <c r="AG205" s="102"/>
      <c r="AH205" s="99">
        <v>2.9999999999999997E-4</v>
      </c>
      <c r="AI205" s="99"/>
      <c r="AJ205" s="101">
        <v>0</v>
      </c>
      <c r="AK205" s="102"/>
      <c r="AL205" s="99">
        <v>2.9999999999999997E-4</v>
      </c>
      <c r="AM205" s="99"/>
      <c r="AN205" s="234">
        <v>0</v>
      </c>
      <c r="AO205" s="235"/>
      <c r="AP205" s="101">
        <v>0</v>
      </c>
      <c r="AQ205" s="102"/>
      <c r="AR205" s="99">
        <v>0</v>
      </c>
      <c r="AS205" s="99"/>
      <c r="AT205" s="101">
        <v>0</v>
      </c>
      <c r="AU205" s="102"/>
      <c r="AV205" s="99">
        <v>0</v>
      </c>
      <c r="AW205" s="99"/>
      <c r="AX205" s="101">
        <v>0</v>
      </c>
      <c r="AY205" s="102"/>
      <c r="AZ205" s="99">
        <v>0</v>
      </c>
      <c r="BA205"/>
      <c r="BB205" s="101">
        <v>0</v>
      </c>
      <c r="BC205" s="235"/>
      <c r="BD205"/>
      <c r="BE205"/>
      <c r="BF205"/>
      <c r="BG205"/>
      <c r="BH205"/>
      <c r="BI205"/>
      <c r="BJ205"/>
      <c r="BK205"/>
      <c r="BL205"/>
      <c r="BM205"/>
      <c r="BN205"/>
      <c r="BO205"/>
      <c r="BP205"/>
      <c r="BQ205"/>
      <c r="BR205"/>
      <c r="BS205"/>
      <c r="BT205"/>
      <c r="BU205"/>
      <c r="BV205"/>
      <c r="BW205"/>
      <c r="BX205"/>
      <c r="BY205"/>
      <c r="BZ205"/>
      <c r="CA205"/>
      <c r="CB205"/>
      <c r="CC205"/>
      <c r="CD205"/>
      <c r="CE205"/>
      <c r="CF205"/>
      <c r="CG205"/>
    </row>
    <row r="206" spans="1:121" ht="14.4">
      <c r="A206" t="s">
        <v>363</v>
      </c>
      <c r="B206" s="101">
        <v>0</v>
      </c>
      <c r="C206" s="102"/>
      <c r="D206" s="101">
        <v>0</v>
      </c>
      <c r="E206" s="102"/>
      <c r="F206" s="99">
        <v>0</v>
      </c>
      <c r="G206" s="99"/>
      <c r="H206" s="101">
        <v>0</v>
      </c>
      <c r="I206" s="102"/>
      <c r="J206" s="99">
        <v>0</v>
      </c>
      <c r="K206" s="99"/>
      <c r="L206" s="101">
        <v>0</v>
      </c>
      <c r="M206" s="102"/>
      <c r="N206" s="99">
        <v>0</v>
      </c>
      <c r="O206" s="99"/>
      <c r="P206" s="101">
        <v>0</v>
      </c>
      <c r="Q206" s="102"/>
      <c r="R206" s="99">
        <v>0</v>
      </c>
      <c r="S206" s="99"/>
      <c r="T206" s="101">
        <v>0</v>
      </c>
      <c r="U206" s="102"/>
      <c r="V206" s="99">
        <v>0</v>
      </c>
      <c r="W206" s="99"/>
      <c r="X206" s="101">
        <v>4.0000000000000002E-4</v>
      </c>
      <c r="Y206" s="102"/>
      <c r="Z206" s="99">
        <v>4.0000000000000002E-4</v>
      </c>
      <c r="AA206" s="99"/>
      <c r="AB206" s="101">
        <v>0</v>
      </c>
      <c r="AC206" s="102"/>
      <c r="AD206" s="99">
        <v>0</v>
      </c>
      <c r="AE206" s="99"/>
      <c r="AF206" s="101">
        <v>6.9999999999999999E-4</v>
      </c>
      <c r="AG206" s="102"/>
      <c r="AH206" s="99">
        <v>1.2999999999999999E-3</v>
      </c>
      <c r="AI206" s="99"/>
      <c r="AJ206" s="101">
        <v>0</v>
      </c>
      <c r="AK206" s="102"/>
      <c r="AL206" s="99">
        <v>8.0000000000000004E-4</v>
      </c>
      <c r="AM206" s="99"/>
      <c r="AN206" s="234">
        <v>0</v>
      </c>
      <c r="AO206" s="235"/>
      <c r="AP206" s="101">
        <v>0</v>
      </c>
      <c r="AQ206" s="102"/>
      <c r="AR206" s="99">
        <v>0</v>
      </c>
      <c r="AS206" s="99"/>
      <c r="AT206" s="101">
        <v>0</v>
      </c>
      <c r="AU206" s="102"/>
      <c r="AV206" s="99">
        <v>0</v>
      </c>
      <c r="AW206" s="99"/>
      <c r="AX206" s="101">
        <v>0</v>
      </c>
      <c r="AY206" s="102"/>
      <c r="AZ206" s="99">
        <v>0</v>
      </c>
      <c r="BA206"/>
      <c r="BB206" s="101">
        <v>0</v>
      </c>
      <c r="BC206" s="235"/>
      <c r="BD206"/>
      <c r="BE206"/>
      <c r="BF206"/>
      <c r="BG206"/>
      <c r="BH206"/>
      <c r="BI206"/>
      <c r="BJ206"/>
      <c r="BK206"/>
      <c r="BL206"/>
      <c r="BM206"/>
      <c r="BN206"/>
      <c r="BO206"/>
      <c r="BP206"/>
      <c r="BQ206"/>
      <c r="BR206"/>
      <c r="BS206"/>
      <c r="BT206"/>
      <c r="BU206"/>
      <c r="BV206"/>
      <c r="BW206"/>
      <c r="BX206"/>
      <c r="BY206"/>
      <c r="BZ206"/>
      <c r="CA206"/>
      <c r="CB206"/>
      <c r="CC206"/>
      <c r="CD206"/>
      <c r="CE206"/>
      <c r="CF206"/>
      <c r="CG206"/>
    </row>
    <row r="207" spans="1:121" ht="14.4">
      <c r="A207" t="s">
        <v>364</v>
      </c>
      <c r="B207" s="101">
        <v>0</v>
      </c>
      <c r="C207" s="102"/>
      <c r="D207" s="101">
        <v>0</v>
      </c>
      <c r="E207" s="102"/>
      <c r="F207" s="99">
        <v>0</v>
      </c>
      <c r="G207" s="99"/>
      <c r="H207" s="101">
        <v>0</v>
      </c>
      <c r="I207" s="102"/>
      <c r="J207" s="99">
        <v>0</v>
      </c>
      <c r="K207" s="99"/>
      <c r="L207" s="101">
        <v>0</v>
      </c>
      <c r="M207" s="102"/>
      <c r="N207" s="99">
        <v>0</v>
      </c>
      <c r="O207" s="99"/>
      <c r="P207" s="101">
        <v>0</v>
      </c>
      <c r="Q207" s="102"/>
      <c r="R207" s="99">
        <v>0</v>
      </c>
      <c r="S207" s="99"/>
      <c r="T207" s="101">
        <v>0</v>
      </c>
      <c r="U207" s="102"/>
      <c r="V207" s="99">
        <v>0</v>
      </c>
      <c r="W207" s="99"/>
      <c r="X207" s="101">
        <v>0</v>
      </c>
      <c r="Y207" s="102"/>
      <c r="Z207" s="99">
        <v>0</v>
      </c>
      <c r="AA207" s="99"/>
      <c r="AB207" s="101">
        <v>0</v>
      </c>
      <c r="AC207" s="102"/>
      <c r="AD207" s="99">
        <v>0</v>
      </c>
      <c r="AE207" s="99"/>
      <c r="AF207" s="101">
        <v>5.9999999999999995E-4</v>
      </c>
      <c r="AG207" s="102"/>
      <c r="AH207" s="99">
        <v>5.0000000000000001E-4</v>
      </c>
      <c r="AI207" s="99"/>
      <c r="AJ207" s="101">
        <v>0</v>
      </c>
      <c r="AK207" s="102"/>
      <c r="AL207" s="99">
        <v>5.9999999999999995E-4</v>
      </c>
      <c r="AM207" s="99"/>
      <c r="AN207" s="234">
        <v>0</v>
      </c>
      <c r="AO207" s="235"/>
      <c r="AP207" s="101">
        <v>0</v>
      </c>
      <c r="AQ207" s="102"/>
      <c r="AR207" s="99">
        <v>0</v>
      </c>
      <c r="AS207" s="99"/>
      <c r="AT207" s="101">
        <v>0</v>
      </c>
      <c r="AU207" s="102"/>
      <c r="AV207" s="99">
        <v>0</v>
      </c>
      <c r="AW207" s="99"/>
      <c r="AX207" s="101">
        <v>0</v>
      </c>
      <c r="AY207" s="102"/>
      <c r="AZ207" s="99">
        <v>0</v>
      </c>
      <c r="BA207"/>
      <c r="BB207" s="101">
        <v>0</v>
      </c>
      <c r="BC207" s="235"/>
      <c r="BD207"/>
      <c r="BE207"/>
      <c r="BF207"/>
      <c r="BG207"/>
      <c r="BH207"/>
      <c r="BI207"/>
      <c r="BJ207"/>
      <c r="BK207"/>
      <c r="BL207"/>
      <c r="BM207"/>
      <c r="BN207"/>
      <c r="BO207"/>
      <c r="BP207"/>
      <c r="BQ207"/>
      <c r="BR207"/>
      <c r="BS207"/>
      <c r="BT207"/>
      <c r="BU207"/>
      <c r="BV207"/>
      <c r="BW207"/>
      <c r="BX207"/>
      <c r="BY207"/>
      <c r="BZ207"/>
      <c r="CA207"/>
      <c r="CB207"/>
      <c r="CC207"/>
      <c r="CD207"/>
      <c r="CE207"/>
      <c r="CF207"/>
      <c r="CG207"/>
    </row>
    <row r="208" spans="1:121" ht="14.4">
      <c r="A208" t="s">
        <v>365</v>
      </c>
      <c r="B208" s="103">
        <v>5.5900000000000061E-2</v>
      </c>
      <c r="C208" s="104"/>
      <c r="D208" s="103">
        <v>3.0399999999999983E-2</v>
      </c>
      <c r="E208" s="104"/>
      <c r="F208" s="49">
        <v>6.3500000000000001E-2</v>
      </c>
      <c r="G208" s="49"/>
      <c r="H208" s="103">
        <v>0.27590000000000003</v>
      </c>
      <c r="I208" s="104"/>
      <c r="J208" s="49">
        <v>1</v>
      </c>
      <c r="K208" s="49"/>
      <c r="L208" s="103">
        <v>0.1613</v>
      </c>
      <c r="M208" s="104"/>
      <c r="N208" s="49">
        <v>5.5900000000000061E-2</v>
      </c>
      <c r="O208" s="49"/>
      <c r="P208" s="103">
        <v>6.3500000000000001E-2</v>
      </c>
      <c r="Q208" s="104"/>
      <c r="R208" s="49">
        <v>0.27590000000000003</v>
      </c>
      <c r="S208" s="49"/>
      <c r="T208" s="103">
        <v>1</v>
      </c>
      <c r="U208" s="104"/>
      <c r="V208" s="49">
        <v>0.1613</v>
      </c>
      <c r="W208" s="49"/>
      <c r="X208" s="103">
        <v>8.3899999999999975E-2</v>
      </c>
      <c r="Y208" s="104"/>
      <c r="Z208" s="49">
        <v>8.3899999999999975E-2</v>
      </c>
      <c r="AA208" s="49"/>
      <c r="AB208" s="103">
        <v>0.11319999999999997</v>
      </c>
      <c r="AC208" s="104"/>
      <c r="AD208" s="49">
        <v>0.22599999999999998</v>
      </c>
      <c r="AE208" s="49"/>
      <c r="AF208" s="103">
        <v>0.24579999999999991</v>
      </c>
      <c r="AG208" s="104"/>
      <c r="AH208" s="49">
        <v>0.28520000000000012</v>
      </c>
      <c r="AI208" s="49"/>
      <c r="AJ208" s="103">
        <v>0.22599999999999998</v>
      </c>
      <c r="AK208" s="104"/>
      <c r="AL208" s="49">
        <v>0.26659999999999995</v>
      </c>
      <c r="AM208" s="49"/>
      <c r="AN208" s="103">
        <v>1</v>
      </c>
      <c r="AO208" s="228"/>
      <c r="AP208" s="103">
        <v>0.375</v>
      </c>
      <c r="AQ208" s="104"/>
      <c r="AR208" s="49">
        <v>1</v>
      </c>
      <c r="AS208" s="49"/>
      <c r="AT208" s="103">
        <v>9.2999999999999972E-2</v>
      </c>
      <c r="AU208" s="104"/>
      <c r="AV208" s="49">
        <v>2.2299999999999986E-2</v>
      </c>
      <c r="AW208" s="49"/>
      <c r="AX208" s="103">
        <v>1</v>
      </c>
      <c r="AY208" s="104"/>
      <c r="AZ208" s="49">
        <v>0</v>
      </c>
      <c r="BA208"/>
      <c r="BB208" s="103">
        <v>1</v>
      </c>
      <c r="BC208" s="228"/>
      <c r="BD208"/>
      <c r="BE208"/>
      <c r="BF208"/>
      <c r="BG208"/>
      <c r="BH208"/>
      <c r="BI208"/>
      <c r="BJ208"/>
      <c r="BK208"/>
      <c r="BL208"/>
      <c r="BM208"/>
      <c r="BN208"/>
      <c r="BO208"/>
      <c r="BP208"/>
      <c r="BQ208"/>
      <c r="BR208"/>
      <c r="BS208"/>
      <c r="BT208"/>
      <c r="BU208"/>
      <c r="BV208"/>
      <c r="BW208"/>
      <c r="BX208"/>
      <c r="BY208"/>
      <c r="BZ208"/>
      <c r="CA208"/>
      <c r="CB208"/>
      <c r="CC208"/>
      <c r="CD208"/>
      <c r="CE208"/>
      <c r="CF208"/>
      <c r="CG208"/>
    </row>
    <row r="209" spans="1:85" ht="14.4">
      <c r="A209" s="143" t="s">
        <v>366</v>
      </c>
      <c r="B209" s="169"/>
      <c r="C209" s="226"/>
      <c r="D209"/>
      <c r="E209"/>
      <c r="F209" s="169"/>
      <c r="G209" s="226"/>
      <c r="H209"/>
      <c r="I209"/>
      <c r="J209" s="169"/>
      <c r="K209" s="226"/>
      <c r="L209"/>
      <c r="M209"/>
      <c r="N209" s="169"/>
      <c r="O209" s="226"/>
      <c r="P209"/>
      <c r="Q209"/>
      <c r="R209" s="169"/>
      <c r="S209" s="226"/>
      <c r="T209"/>
      <c r="U209"/>
      <c r="V209" s="169"/>
      <c r="W209" s="226"/>
      <c r="X209"/>
      <c r="Y209"/>
      <c r="Z209" s="169"/>
      <c r="AA209" s="226"/>
      <c r="AB209"/>
      <c r="AC209"/>
      <c r="AD209" s="169"/>
      <c r="AE209" s="226"/>
      <c r="AF209"/>
      <c r="AG209"/>
      <c r="AH209" s="169"/>
      <c r="AI209" s="226"/>
      <c r="AJ209"/>
      <c r="AK209"/>
      <c r="AL209" s="169"/>
      <c r="AM209" s="226"/>
      <c r="AN209" s="169"/>
      <c r="AO209" s="226"/>
      <c r="AP209"/>
      <c r="AQ209"/>
      <c r="AR209" s="169"/>
      <c r="AS209" s="226"/>
      <c r="AT209"/>
      <c r="AU209"/>
      <c r="AV209" s="169"/>
      <c r="AW209" s="226"/>
      <c r="AX209"/>
      <c r="AY209"/>
      <c r="AZ209" s="169"/>
      <c r="BA209" s="226"/>
      <c r="BB209" s="169"/>
      <c r="BC209" s="226"/>
      <c r="BD209"/>
      <c r="BE209"/>
      <c r="BF209"/>
      <c r="BG209"/>
      <c r="BH209"/>
      <c r="BI209"/>
      <c r="BJ209"/>
      <c r="BK209"/>
      <c r="BL209"/>
      <c r="BM209"/>
      <c r="BN209"/>
      <c r="BO209"/>
      <c r="BP209"/>
      <c r="BQ209"/>
      <c r="BR209"/>
      <c r="BS209"/>
      <c r="BT209"/>
      <c r="BU209"/>
      <c r="BV209"/>
      <c r="BW209"/>
      <c r="BX209"/>
      <c r="BY209"/>
      <c r="BZ209"/>
      <c r="CA209"/>
      <c r="CB209"/>
      <c r="CC209"/>
      <c r="CD209"/>
      <c r="CE209"/>
      <c r="CF209"/>
      <c r="CG209"/>
    </row>
    <row r="210" spans="1:85" ht="14.4">
      <c r="A210" t="s">
        <v>357</v>
      </c>
      <c r="B210" s="105">
        <v>1.7129800000000001E-2</v>
      </c>
      <c r="C210" s="159"/>
      <c r="D210" s="106">
        <v>0</v>
      </c>
      <c r="E210" s="137"/>
      <c r="F210" s="105">
        <v>0.88297999999999999</v>
      </c>
      <c r="G210" s="235"/>
      <c r="H210" s="106">
        <v>0.59075</v>
      </c>
      <c r="I210" s="137"/>
      <c r="J210" s="105">
        <v>0</v>
      </c>
      <c r="K210" s="159"/>
      <c r="L210" s="106">
        <v>0</v>
      </c>
      <c r="M210" s="137"/>
      <c r="N210" s="105">
        <v>1.7129800000000001E-2</v>
      </c>
      <c r="O210" s="235"/>
      <c r="P210" s="106">
        <v>0.88297999999999999</v>
      </c>
      <c r="Q210"/>
      <c r="R210" s="105">
        <v>0.59075</v>
      </c>
      <c r="S210" s="235"/>
      <c r="T210" s="106">
        <v>0</v>
      </c>
      <c r="U210"/>
      <c r="V210" s="105">
        <v>0</v>
      </c>
      <c r="W210" s="235"/>
      <c r="X210" s="106">
        <v>0</v>
      </c>
      <c r="Y210"/>
      <c r="Z210" s="105">
        <v>0</v>
      </c>
      <c r="AA210" s="235"/>
      <c r="AB210" s="106">
        <v>0</v>
      </c>
      <c r="AC210"/>
      <c r="AD210" s="105">
        <v>0</v>
      </c>
      <c r="AE210" s="235"/>
      <c r="AF210" s="106">
        <v>0</v>
      </c>
      <c r="AG210"/>
      <c r="AH210" s="105">
        <v>0</v>
      </c>
      <c r="AI210" s="107"/>
      <c r="AJ210" s="106">
        <v>0</v>
      </c>
      <c r="AK210" s="106"/>
      <c r="AL210" s="105">
        <v>0</v>
      </c>
      <c r="AM210" s="107"/>
      <c r="AN210" s="105">
        <v>0</v>
      </c>
      <c r="AO210" s="235"/>
      <c r="AP210" s="106">
        <v>0</v>
      </c>
      <c r="AQ210" s="106"/>
      <c r="AR210" s="105">
        <v>0</v>
      </c>
      <c r="AS210" s="107"/>
      <c r="AT210" s="106">
        <v>0</v>
      </c>
      <c r="AU210" s="106"/>
      <c r="AV210" s="105">
        <v>0</v>
      </c>
      <c r="AW210" s="235"/>
      <c r="AX210" s="106">
        <v>0</v>
      </c>
      <c r="AY210"/>
      <c r="AZ210" s="105">
        <v>0</v>
      </c>
      <c r="BA210" s="235"/>
      <c r="BB210" s="105">
        <v>0</v>
      </c>
      <c r="BC210" s="235"/>
      <c r="BD210"/>
      <c r="BE210"/>
      <c r="BF210"/>
      <c r="BG210"/>
      <c r="BH210"/>
      <c r="BI210"/>
      <c r="BJ210"/>
      <c r="BK210"/>
      <c r="BL210"/>
      <c r="BM210"/>
      <c r="BN210"/>
      <c r="BO210"/>
      <c r="BP210"/>
      <c r="BQ210"/>
      <c r="BR210"/>
      <c r="BS210"/>
      <c r="BT210"/>
      <c r="BU210"/>
      <c r="BV210"/>
      <c r="BW210"/>
      <c r="BX210"/>
      <c r="BY210"/>
      <c r="BZ210"/>
      <c r="CA210"/>
      <c r="CB210"/>
      <c r="CC210"/>
      <c r="CD210"/>
      <c r="CE210"/>
      <c r="CF210"/>
      <c r="CG210"/>
    </row>
    <row r="211" spans="1:85" ht="14.4">
      <c r="A211" t="s">
        <v>358</v>
      </c>
      <c r="B211" s="105">
        <v>6.0286399999999997E-2</v>
      </c>
      <c r="C211" s="159"/>
      <c r="D211" s="106">
        <v>0</v>
      </c>
      <c r="E211" s="137"/>
      <c r="F211" s="105">
        <v>3.6039999999999996E-2</v>
      </c>
      <c r="G211" s="235"/>
      <c r="H211" s="106">
        <v>1.8903999999999997E-2</v>
      </c>
      <c r="I211" s="137"/>
      <c r="J211" s="105">
        <v>0</v>
      </c>
      <c r="K211" s="159"/>
      <c r="L211" s="106">
        <v>0.110744</v>
      </c>
      <c r="M211" s="137"/>
      <c r="N211" s="105">
        <v>6.0286399999999997E-2</v>
      </c>
      <c r="O211" s="235"/>
      <c r="P211" s="106">
        <v>3.6039999999999996E-2</v>
      </c>
      <c r="Q211"/>
      <c r="R211" s="105">
        <v>1.8903999999999997E-2</v>
      </c>
      <c r="S211" s="235"/>
      <c r="T211" s="106">
        <v>0</v>
      </c>
      <c r="U211"/>
      <c r="V211" s="105">
        <v>0.110744</v>
      </c>
      <c r="W211" s="235"/>
      <c r="X211" s="106">
        <v>8.9693999999999989E-3</v>
      </c>
      <c r="Y211"/>
      <c r="Z211" s="105">
        <v>8.9693999999999989E-3</v>
      </c>
      <c r="AA211" s="235"/>
      <c r="AB211" s="106">
        <v>0</v>
      </c>
      <c r="AC211"/>
      <c r="AD211" s="105">
        <v>0</v>
      </c>
      <c r="AE211" s="235"/>
      <c r="AF211" s="106">
        <v>7.7063000000000001E-3</v>
      </c>
      <c r="AG211"/>
      <c r="AH211" s="105">
        <v>4.3511999999999995E-3</v>
      </c>
      <c r="AI211" s="107"/>
      <c r="AJ211" s="106">
        <v>0</v>
      </c>
      <c r="AK211" s="106"/>
      <c r="AL211" s="105">
        <v>7.6608000000000006E-3</v>
      </c>
      <c r="AM211" s="107"/>
      <c r="AN211" s="105">
        <v>0</v>
      </c>
      <c r="AO211" s="235"/>
      <c r="AP211" s="106">
        <v>0</v>
      </c>
      <c r="AQ211" s="106"/>
      <c r="AR211" s="105">
        <v>0</v>
      </c>
      <c r="AS211" s="107"/>
      <c r="AT211" s="106">
        <v>1.8143878981103177E-2</v>
      </c>
      <c r="AU211" s="106"/>
      <c r="AV211" s="105">
        <v>0</v>
      </c>
      <c r="AW211" s="235"/>
      <c r="AX211" s="106">
        <v>0</v>
      </c>
      <c r="AY211"/>
      <c r="AZ211" s="105">
        <v>0</v>
      </c>
      <c r="BA211" s="235"/>
      <c r="BB211" s="105">
        <v>0</v>
      </c>
      <c r="BC211" s="235"/>
      <c r="BD211"/>
      <c r="BE211"/>
      <c r="BF211"/>
      <c r="BG211"/>
      <c r="BH211"/>
      <c r="BI211"/>
      <c r="BJ211"/>
      <c r="BK211"/>
      <c r="BL211"/>
      <c r="BM211"/>
      <c r="BN211"/>
      <c r="BO211"/>
      <c r="BP211"/>
      <c r="BQ211"/>
      <c r="BR211"/>
      <c r="BS211"/>
      <c r="BT211"/>
      <c r="BU211"/>
      <c r="BV211"/>
      <c r="BW211"/>
      <c r="BX211"/>
      <c r="BY211"/>
      <c r="BZ211"/>
      <c r="CA211"/>
      <c r="CB211"/>
      <c r="CC211"/>
      <c r="CD211"/>
      <c r="CE211"/>
      <c r="CF211"/>
      <c r="CG211"/>
    </row>
    <row r="212" spans="1:85" ht="14.4">
      <c r="A212" t="s">
        <v>359</v>
      </c>
      <c r="B212" s="105">
        <v>0</v>
      </c>
      <c r="C212" s="159"/>
      <c r="D212" s="106">
        <v>0</v>
      </c>
      <c r="E212" s="137"/>
      <c r="F212" s="105">
        <v>0</v>
      </c>
      <c r="G212" s="235"/>
      <c r="H212" s="106">
        <v>0</v>
      </c>
      <c r="I212" s="137"/>
      <c r="J212" s="105">
        <v>0</v>
      </c>
      <c r="K212" s="159"/>
      <c r="L212" s="106">
        <v>0</v>
      </c>
      <c r="M212" s="137"/>
      <c r="N212" s="105">
        <v>0</v>
      </c>
      <c r="O212" s="235"/>
      <c r="P212" s="106">
        <v>0</v>
      </c>
      <c r="Q212"/>
      <c r="R212" s="105">
        <v>0</v>
      </c>
      <c r="S212" s="235"/>
      <c r="T212" s="106">
        <v>0</v>
      </c>
      <c r="U212"/>
      <c r="V212" s="105">
        <v>0</v>
      </c>
      <c r="W212" s="235"/>
      <c r="X212" s="106">
        <v>0</v>
      </c>
      <c r="Y212"/>
      <c r="Z212" s="105">
        <v>0</v>
      </c>
      <c r="AA212" s="235"/>
      <c r="AB212" s="106">
        <v>0</v>
      </c>
      <c r="AC212"/>
      <c r="AD212" s="105">
        <v>0</v>
      </c>
      <c r="AE212" s="235"/>
      <c r="AF212" s="106">
        <v>0</v>
      </c>
      <c r="AG212"/>
      <c r="AH212" s="105">
        <v>0</v>
      </c>
      <c r="AI212" s="107"/>
      <c r="AJ212" s="106">
        <v>0</v>
      </c>
      <c r="AK212" s="106"/>
      <c r="AL212" s="105">
        <v>0</v>
      </c>
      <c r="AM212" s="107"/>
      <c r="AN212" s="105">
        <v>0</v>
      </c>
      <c r="AO212" s="235"/>
      <c r="AP212" s="106">
        <v>0</v>
      </c>
      <c r="AQ212" s="106"/>
      <c r="AR212" s="105">
        <v>0</v>
      </c>
      <c r="AS212" s="107"/>
      <c r="AT212" s="106">
        <v>0</v>
      </c>
      <c r="AU212" s="106"/>
      <c r="AV212" s="105">
        <v>0</v>
      </c>
      <c r="AW212" s="235"/>
      <c r="AX212" s="106">
        <v>0</v>
      </c>
      <c r="AY212"/>
      <c r="AZ212" s="105">
        <v>0</v>
      </c>
      <c r="BA212" s="235"/>
      <c r="BB212" s="105">
        <v>0</v>
      </c>
      <c r="BC212" s="235"/>
      <c r="BD212"/>
      <c r="BE212"/>
      <c r="BF212"/>
      <c r="BG212"/>
      <c r="BH212"/>
      <c r="BI212"/>
      <c r="BJ212"/>
      <c r="BK212"/>
      <c r="BL212"/>
      <c r="BM212"/>
      <c r="BN212"/>
      <c r="BO212"/>
      <c r="BP212"/>
      <c r="BQ212"/>
      <c r="BR212"/>
      <c r="BS212"/>
      <c r="BT212"/>
      <c r="BU212"/>
      <c r="BV212"/>
      <c r="BW212"/>
      <c r="BX212"/>
      <c r="BY212"/>
      <c r="BZ212"/>
      <c r="CA212"/>
      <c r="CB212"/>
      <c r="CC212"/>
      <c r="CD212"/>
      <c r="CE212"/>
      <c r="CF212"/>
      <c r="CG212"/>
    </row>
    <row r="213" spans="1:85" ht="14.4">
      <c r="A213" t="s">
        <v>367</v>
      </c>
      <c r="B213" s="105">
        <v>0</v>
      </c>
      <c r="C213" s="159"/>
      <c r="D213" s="106">
        <v>7.3563552000000003</v>
      </c>
      <c r="E213" s="137"/>
      <c r="F213" s="105">
        <v>2.0055200000000002</v>
      </c>
      <c r="G213" s="235"/>
      <c r="H213" s="106">
        <v>1.4033439999999999</v>
      </c>
      <c r="I213" s="137"/>
      <c r="J213" s="105">
        <v>0</v>
      </c>
      <c r="K213" s="159"/>
      <c r="L213" s="106">
        <v>0.74137520000000001</v>
      </c>
      <c r="M213" s="137"/>
      <c r="N213" s="105">
        <v>0</v>
      </c>
      <c r="O213" s="235"/>
      <c r="P213" s="106">
        <v>2.0055200000000002</v>
      </c>
      <c r="Q213"/>
      <c r="R213" s="105">
        <v>1.4033439999999999</v>
      </c>
      <c r="S213" s="235"/>
      <c r="T213" s="106">
        <v>0</v>
      </c>
      <c r="U213"/>
      <c r="V213" s="105">
        <v>0.74137520000000001</v>
      </c>
      <c r="W213" s="235"/>
      <c r="X213" s="106">
        <v>4.5539636999999997</v>
      </c>
      <c r="Y213"/>
      <c r="Z213" s="105">
        <v>4.5539636999999997</v>
      </c>
      <c r="AA213" s="235"/>
      <c r="AB213" s="106">
        <v>5.0946660000000001</v>
      </c>
      <c r="AC213"/>
      <c r="AD213" s="105">
        <v>9.3011579999999991</v>
      </c>
      <c r="AE213" s="235"/>
      <c r="AF213" s="106">
        <v>8.2765662000000013</v>
      </c>
      <c r="AG213"/>
      <c r="AH213" s="105">
        <v>10.3326496</v>
      </c>
      <c r="AI213" s="107"/>
      <c r="AJ213" s="106">
        <v>9.3011579999999991</v>
      </c>
      <c r="AK213" s="106"/>
      <c r="AL213" s="105">
        <v>6.9990984000000003</v>
      </c>
      <c r="AM213" s="107"/>
      <c r="AN213" s="105">
        <v>0</v>
      </c>
      <c r="AO213" s="235"/>
      <c r="AP213" s="106">
        <v>1.7183644591867429</v>
      </c>
      <c r="AQ213" s="106"/>
      <c r="AR213" s="105">
        <v>0</v>
      </c>
      <c r="AS213" s="107"/>
      <c r="AT213" s="106">
        <v>0</v>
      </c>
      <c r="AU213" s="106"/>
      <c r="AV213" s="105">
        <v>0</v>
      </c>
      <c r="AW213" s="235"/>
      <c r="AX213" s="106">
        <v>0</v>
      </c>
      <c r="AY213"/>
      <c r="AZ213" s="105">
        <v>1.5465280132680688</v>
      </c>
      <c r="BA213" s="235"/>
      <c r="BB213" s="105">
        <v>0</v>
      </c>
      <c r="BC213" s="235"/>
      <c r="BD213"/>
      <c r="BE213"/>
      <c r="BF213"/>
      <c r="BG213"/>
      <c r="BH213"/>
      <c r="BI213"/>
      <c r="BJ213"/>
      <c r="BK213"/>
      <c r="BL213"/>
      <c r="BM213"/>
      <c r="BN213"/>
      <c r="BO213"/>
      <c r="BP213"/>
      <c r="BQ213"/>
      <c r="BR213"/>
      <c r="BS213"/>
      <c r="BT213"/>
      <c r="BU213"/>
      <c r="BV213"/>
      <c r="BW213"/>
      <c r="BX213"/>
      <c r="BY213"/>
      <c r="BZ213"/>
      <c r="CA213"/>
      <c r="CB213"/>
      <c r="CC213"/>
      <c r="CD213"/>
      <c r="CE213"/>
      <c r="CF213"/>
      <c r="CG213"/>
    </row>
    <row r="214" spans="1:85" ht="14.4">
      <c r="A214" t="s">
        <v>361</v>
      </c>
      <c r="B214" s="105">
        <v>0</v>
      </c>
      <c r="C214" s="159"/>
      <c r="D214" s="106">
        <v>0</v>
      </c>
      <c r="E214" s="137"/>
      <c r="F214" s="105">
        <v>7.0023599999999995</v>
      </c>
      <c r="G214" s="235"/>
      <c r="H214" s="106">
        <v>0</v>
      </c>
      <c r="I214" s="137"/>
      <c r="J214" s="105">
        <v>0</v>
      </c>
      <c r="K214" s="159"/>
      <c r="L214" s="106">
        <v>0</v>
      </c>
      <c r="M214" s="137"/>
      <c r="N214" s="105">
        <v>0</v>
      </c>
      <c r="O214" s="235"/>
      <c r="P214" s="106">
        <v>7.0023599999999995</v>
      </c>
      <c r="Q214"/>
      <c r="R214" s="105">
        <v>0</v>
      </c>
      <c r="S214" s="235"/>
      <c r="T214" s="106">
        <v>0</v>
      </c>
      <c r="U214"/>
      <c r="V214" s="105">
        <v>0</v>
      </c>
      <c r="W214" s="235"/>
      <c r="X214" s="106">
        <v>0</v>
      </c>
      <c r="Y214"/>
      <c r="Z214" s="105">
        <v>0</v>
      </c>
      <c r="AA214" s="235"/>
      <c r="AB214" s="106">
        <v>0</v>
      </c>
      <c r="AC214"/>
      <c r="AD214" s="105">
        <v>0</v>
      </c>
      <c r="AE214" s="235"/>
      <c r="AF214" s="106">
        <v>0</v>
      </c>
      <c r="AG214"/>
      <c r="AH214" s="105">
        <v>0</v>
      </c>
      <c r="AI214" s="107"/>
      <c r="AJ214" s="106">
        <v>0</v>
      </c>
      <c r="AK214" s="106"/>
      <c r="AL214" s="105">
        <v>0</v>
      </c>
      <c r="AM214" s="107"/>
      <c r="AN214" s="105">
        <v>0</v>
      </c>
      <c r="AO214" s="235"/>
      <c r="AP214" s="106">
        <v>0</v>
      </c>
      <c r="AQ214" s="106"/>
      <c r="AR214" s="105">
        <v>0</v>
      </c>
      <c r="AS214" s="107"/>
      <c r="AT214" s="106">
        <v>0</v>
      </c>
      <c r="AU214" s="106"/>
      <c r="AV214" s="105">
        <v>6.1123886884226843</v>
      </c>
      <c r="AW214" s="235"/>
      <c r="AX214" s="106">
        <v>0</v>
      </c>
      <c r="AY214"/>
      <c r="AZ214" s="105">
        <v>0</v>
      </c>
      <c r="BA214" s="235"/>
      <c r="BB214" s="105">
        <v>0</v>
      </c>
      <c r="BC214" s="235"/>
      <c r="BD214"/>
      <c r="BE214"/>
      <c r="BF214"/>
      <c r="BG214"/>
      <c r="BH214"/>
      <c r="BI214"/>
      <c r="BJ214"/>
      <c r="BK214"/>
      <c r="BL214"/>
      <c r="BM214"/>
      <c r="BN214"/>
      <c r="BO214"/>
      <c r="BP214"/>
      <c r="BQ214"/>
      <c r="BR214"/>
      <c r="BS214"/>
      <c r="BT214"/>
      <c r="BU214"/>
      <c r="BV214"/>
      <c r="BW214"/>
      <c r="BX214"/>
      <c r="BY214"/>
      <c r="BZ214"/>
      <c r="CA214"/>
      <c r="CB214"/>
      <c r="CC214"/>
      <c r="CD214"/>
      <c r="CE214"/>
      <c r="CF214"/>
      <c r="CG214"/>
    </row>
    <row r="215" spans="1:85" ht="14.4">
      <c r="A215" t="s">
        <v>362</v>
      </c>
      <c r="B215" s="105">
        <v>0</v>
      </c>
      <c r="C215" s="159"/>
      <c r="D215" s="106">
        <v>0</v>
      </c>
      <c r="E215" s="137"/>
      <c r="F215" s="105">
        <v>0</v>
      </c>
      <c r="G215" s="235"/>
      <c r="H215" s="106">
        <v>0</v>
      </c>
      <c r="I215" s="137"/>
      <c r="J215" s="105">
        <v>0</v>
      </c>
      <c r="K215" s="159"/>
      <c r="L215" s="106">
        <v>0</v>
      </c>
      <c r="M215" s="137"/>
      <c r="N215" s="105">
        <v>0</v>
      </c>
      <c r="O215" s="235"/>
      <c r="P215" s="106">
        <v>0</v>
      </c>
      <c r="Q215"/>
      <c r="R215" s="105">
        <v>0</v>
      </c>
      <c r="S215" s="235"/>
      <c r="T215" s="106">
        <v>0</v>
      </c>
      <c r="U215"/>
      <c r="V215" s="105">
        <v>0</v>
      </c>
      <c r="W215" s="235"/>
      <c r="X215" s="106">
        <v>0</v>
      </c>
      <c r="Y215"/>
      <c r="Z215" s="105">
        <v>0</v>
      </c>
      <c r="AA215" s="235"/>
      <c r="AB215" s="106">
        <v>0</v>
      </c>
      <c r="AC215"/>
      <c r="AD215" s="105">
        <v>0</v>
      </c>
      <c r="AE215" s="235"/>
      <c r="AF215" s="106">
        <v>4.4036000000000006E-3</v>
      </c>
      <c r="AG215"/>
      <c r="AH215" s="105">
        <v>4.3511999999999995E-3</v>
      </c>
      <c r="AI215" s="107"/>
      <c r="AJ215" s="106">
        <v>0</v>
      </c>
      <c r="AK215" s="106"/>
      <c r="AL215" s="105">
        <v>2.8728E-3</v>
      </c>
      <c r="AM215" s="107"/>
      <c r="AN215" s="105">
        <v>0</v>
      </c>
      <c r="AO215" s="235"/>
      <c r="AP215" s="106">
        <v>0</v>
      </c>
      <c r="AQ215" s="106"/>
      <c r="AR215" s="105">
        <v>0</v>
      </c>
      <c r="AS215" s="107"/>
      <c r="AT215" s="106">
        <v>0</v>
      </c>
      <c r="AU215" s="106"/>
      <c r="AV215" s="105">
        <v>0</v>
      </c>
      <c r="AW215" s="235"/>
      <c r="AX215" s="106">
        <v>0</v>
      </c>
      <c r="AY215"/>
      <c r="AZ215" s="105">
        <v>0</v>
      </c>
      <c r="BA215" s="235"/>
      <c r="BB215" s="105">
        <v>0</v>
      </c>
      <c r="BC215" s="235"/>
      <c r="BD215"/>
      <c r="BE215"/>
      <c r="BF215"/>
      <c r="BG215"/>
      <c r="BH215"/>
      <c r="BI215"/>
      <c r="BJ215"/>
      <c r="BK215"/>
      <c r="BL215"/>
      <c r="BM215"/>
      <c r="BN215"/>
      <c r="BO215"/>
      <c r="BP215"/>
      <c r="BQ215"/>
      <c r="BR215"/>
      <c r="BS215"/>
      <c r="BT215"/>
      <c r="BU215"/>
      <c r="BV215"/>
      <c r="BW215"/>
      <c r="BX215"/>
      <c r="BY215"/>
      <c r="BZ215"/>
      <c r="CA215"/>
      <c r="CB215"/>
      <c r="CC215"/>
      <c r="CD215"/>
      <c r="CE215"/>
      <c r="CF215"/>
      <c r="CG215"/>
    </row>
    <row r="216" spans="1:85" ht="14.4">
      <c r="A216" t="s">
        <v>363</v>
      </c>
      <c r="B216" s="105">
        <v>0</v>
      </c>
      <c r="C216" s="159"/>
      <c r="D216" s="106">
        <v>0</v>
      </c>
      <c r="E216" s="137"/>
      <c r="F216" s="105">
        <v>0</v>
      </c>
      <c r="G216" s="235"/>
      <c r="H216" s="106">
        <v>0</v>
      </c>
      <c r="I216" s="137"/>
      <c r="J216" s="105">
        <v>0</v>
      </c>
      <c r="K216" s="159"/>
      <c r="L216" s="106">
        <v>0</v>
      </c>
      <c r="M216" s="137"/>
      <c r="N216" s="105">
        <v>0</v>
      </c>
      <c r="O216" s="235"/>
      <c r="P216" s="106">
        <v>0</v>
      </c>
      <c r="Q216"/>
      <c r="R216" s="105">
        <v>0</v>
      </c>
      <c r="S216" s="235"/>
      <c r="T216" s="106">
        <v>0</v>
      </c>
      <c r="U216"/>
      <c r="V216" s="105">
        <v>0</v>
      </c>
      <c r="W216" s="235"/>
      <c r="X216" s="106">
        <v>1.9932000000000001E-3</v>
      </c>
      <c r="Y216"/>
      <c r="Z216" s="105">
        <v>1.9932000000000001E-3</v>
      </c>
      <c r="AA216" s="235"/>
      <c r="AB216" s="106">
        <v>0</v>
      </c>
      <c r="AC216"/>
      <c r="AD216" s="105">
        <v>0</v>
      </c>
      <c r="AE216" s="235"/>
      <c r="AF216" s="106">
        <v>7.7063000000000001E-3</v>
      </c>
      <c r="AG216"/>
      <c r="AH216" s="105">
        <v>1.8855199999999999E-2</v>
      </c>
      <c r="AI216" s="107"/>
      <c r="AJ216" s="106">
        <v>0</v>
      </c>
      <c r="AK216" s="106"/>
      <c r="AL216" s="105">
        <v>7.6608000000000006E-3</v>
      </c>
      <c r="AM216" s="107"/>
      <c r="AN216" s="105">
        <v>0</v>
      </c>
      <c r="AO216" s="235"/>
      <c r="AP216" s="106">
        <v>0</v>
      </c>
      <c r="AQ216" s="106"/>
      <c r="AR216" s="105">
        <v>0</v>
      </c>
      <c r="AS216" s="107"/>
      <c r="AT216" s="106">
        <v>0</v>
      </c>
      <c r="AU216" s="106"/>
      <c r="AV216" s="105">
        <v>0</v>
      </c>
      <c r="AW216" s="235"/>
      <c r="AX216" s="106">
        <v>0</v>
      </c>
      <c r="AY216"/>
      <c r="AZ216" s="105">
        <v>0</v>
      </c>
      <c r="BA216" s="235"/>
      <c r="BB216" s="105">
        <v>0</v>
      </c>
      <c r="BC216" s="235"/>
      <c r="BD216"/>
      <c r="BE216"/>
      <c r="BF216"/>
      <c r="BG216"/>
      <c r="BH216"/>
      <c r="BI216"/>
      <c r="BJ216"/>
      <c r="BK216"/>
      <c r="BL216"/>
      <c r="BM216"/>
      <c r="BN216"/>
      <c r="BO216"/>
      <c r="BP216"/>
      <c r="BQ216"/>
      <c r="BR216"/>
      <c r="BS216"/>
      <c r="BT216"/>
      <c r="BU216"/>
      <c r="BV216"/>
      <c r="BW216"/>
      <c r="BX216"/>
      <c r="BY216"/>
      <c r="BZ216"/>
      <c r="CA216"/>
      <c r="CB216"/>
      <c r="CC216"/>
      <c r="CD216"/>
      <c r="CE216"/>
      <c r="CF216"/>
      <c r="CG216"/>
    </row>
    <row r="217" spans="1:85" ht="14.4">
      <c r="A217" t="s">
        <v>364</v>
      </c>
      <c r="B217" s="105">
        <v>0</v>
      </c>
      <c r="C217" s="159"/>
      <c r="D217" s="106">
        <v>0</v>
      </c>
      <c r="E217" s="137"/>
      <c r="F217" s="105">
        <v>0</v>
      </c>
      <c r="G217" s="235"/>
      <c r="H217" s="106">
        <v>0</v>
      </c>
      <c r="I217" s="137"/>
      <c r="J217" s="105">
        <v>0</v>
      </c>
      <c r="K217" s="159"/>
      <c r="L217" s="106">
        <v>0</v>
      </c>
      <c r="M217" s="137"/>
      <c r="N217" s="105">
        <v>0</v>
      </c>
      <c r="O217" s="235"/>
      <c r="P217" s="106">
        <v>0</v>
      </c>
      <c r="Q217"/>
      <c r="R217" s="105">
        <v>0</v>
      </c>
      <c r="S217" s="235"/>
      <c r="T217" s="106">
        <v>0</v>
      </c>
      <c r="U217"/>
      <c r="V217" s="105">
        <v>0</v>
      </c>
      <c r="W217" s="235"/>
      <c r="X217" s="106">
        <v>0</v>
      </c>
      <c r="Y217"/>
      <c r="Z217" s="105">
        <v>0</v>
      </c>
      <c r="AA217" s="235"/>
      <c r="AB217" s="106">
        <v>0</v>
      </c>
      <c r="AC217"/>
      <c r="AD217" s="105">
        <v>0</v>
      </c>
      <c r="AE217" s="235"/>
      <c r="AF217" s="106">
        <v>6.6054E-3</v>
      </c>
      <c r="AG217"/>
      <c r="AH217" s="105">
        <v>7.2519999999999998E-3</v>
      </c>
      <c r="AI217" s="107"/>
      <c r="AJ217" s="106">
        <v>0</v>
      </c>
      <c r="AK217" s="106"/>
      <c r="AL217" s="105">
        <v>5.7456E-3</v>
      </c>
      <c r="AM217" s="107"/>
      <c r="AN217" s="105">
        <v>0</v>
      </c>
      <c r="AO217" s="235"/>
      <c r="AP217" s="106">
        <v>0</v>
      </c>
      <c r="AQ217" s="106"/>
      <c r="AR217" s="105">
        <v>0</v>
      </c>
      <c r="AS217" s="107"/>
      <c r="AT217" s="106">
        <v>0</v>
      </c>
      <c r="AU217" s="106"/>
      <c r="AV217" s="105">
        <v>0</v>
      </c>
      <c r="AW217" s="235"/>
      <c r="AX217" s="106">
        <v>0</v>
      </c>
      <c r="AY217"/>
      <c r="AZ217" s="105">
        <v>0</v>
      </c>
      <c r="BA217" s="235"/>
      <c r="BB217" s="105">
        <v>0</v>
      </c>
      <c r="BC217" s="235"/>
      <c r="BD217"/>
      <c r="BE217"/>
      <c r="BF217"/>
      <c r="BG217"/>
      <c r="BH217"/>
      <c r="BI217"/>
      <c r="BJ217"/>
      <c r="BK217"/>
      <c r="BL217"/>
      <c r="BM217"/>
      <c r="BN217"/>
      <c r="BO217"/>
      <c r="BP217"/>
      <c r="BQ217"/>
      <c r="BR217"/>
      <c r="BS217"/>
      <c r="BT217"/>
      <c r="BU217"/>
      <c r="BV217"/>
      <c r="BW217"/>
      <c r="BX217"/>
      <c r="BY217"/>
      <c r="BZ217"/>
      <c r="CA217"/>
      <c r="CB217"/>
      <c r="CC217"/>
      <c r="CD217"/>
      <c r="CE217"/>
      <c r="CF217"/>
      <c r="CG217"/>
    </row>
    <row r="218" spans="1:85" ht="14.4">
      <c r="A218" t="s">
        <v>365</v>
      </c>
      <c r="B218" s="108">
        <v>4.5838000000000051E-3</v>
      </c>
      <c r="C218" s="164"/>
      <c r="D218" s="106">
        <v>0.23064479999999987</v>
      </c>
      <c r="E218" s="137"/>
      <c r="F218" s="108">
        <v>0.67310000000000003</v>
      </c>
      <c r="G218" s="228"/>
      <c r="H218" s="106">
        <v>0.76700200000000007</v>
      </c>
      <c r="I218" s="137"/>
      <c r="J218" s="108">
        <v>46.953000000000003</v>
      </c>
      <c r="K218" s="164"/>
      <c r="L218" s="106">
        <v>0.16388079999999999</v>
      </c>
      <c r="M218" s="137"/>
      <c r="N218" s="108">
        <v>4.5838000000000051E-3</v>
      </c>
      <c r="O218" s="228"/>
      <c r="P218" s="106">
        <v>0.67310000000000003</v>
      </c>
      <c r="Q218"/>
      <c r="R218" s="108">
        <v>0.76700200000000007</v>
      </c>
      <c r="S218" s="228"/>
      <c r="T218" s="106">
        <v>46.953000000000003</v>
      </c>
      <c r="U218"/>
      <c r="V218" s="108">
        <v>0.16388079999999999</v>
      </c>
      <c r="W218" s="228"/>
      <c r="X218" s="106">
        <v>0.41807369999999983</v>
      </c>
      <c r="Y218"/>
      <c r="Z218" s="108">
        <v>0.41807369999999983</v>
      </c>
      <c r="AA218" s="228"/>
      <c r="AB218" s="106">
        <v>0.65033399999999986</v>
      </c>
      <c r="AC218"/>
      <c r="AD218" s="108">
        <v>2.7158419999999994</v>
      </c>
      <c r="AE218" s="228"/>
      <c r="AF218" s="106">
        <v>2.7060121999999991</v>
      </c>
      <c r="AG218"/>
      <c r="AH218" s="108">
        <v>4.1365408000000015</v>
      </c>
      <c r="AI218" s="109"/>
      <c r="AJ218" s="106">
        <v>2.7158419999999994</v>
      </c>
      <c r="AK218" s="106"/>
      <c r="AL218" s="108">
        <v>2.5529615999999997</v>
      </c>
      <c r="AM218" s="109"/>
      <c r="AN218" s="108">
        <v>0.86</v>
      </c>
      <c r="AO218" s="228"/>
      <c r="AP218" s="106">
        <v>1.0310186755120456</v>
      </c>
      <c r="AQ218" s="106"/>
      <c r="AR218" s="108">
        <v>1.6919016465152674</v>
      </c>
      <c r="AS218" s="109"/>
      <c r="AT218" s="106">
        <v>1.8603977345563341E-3</v>
      </c>
      <c r="AU218" s="106"/>
      <c r="AV218" s="108">
        <v>0.13941522732108599</v>
      </c>
      <c r="AW218" s="228"/>
      <c r="AX218" s="106">
        <v>9.2791680796084126</v>
      </c>
      <c r="AY218"/>
      <c r="AZ218" s="108">
        <v>0</v>
      </c>
      <c r="BA218" s="228"/>
      <c r="BB218" s="108">
        <v>60.493989716264075</v>
      </c>
      <c r="BC218" s="228"/>
      <c r="BD218"/>
      <c r="BE218"/>
      <c r="BF218"/>
      <c r="BG218"/>
      <c r="BH218"/>
      <c r="BI218"/>
      <c r="BJ218"/>
      <c r="BK218"/>
      <c r="BL218"/>
      <c r="BM218"/>
      <c r="BN218"/>
      <c r="BO218"/>
      <c r="BP218"/>
      <c r="BQ218"/>
      <c r="BR218"/>
      <c r="BS218"/>
      <c r="BT218"/>
      <c r="BU218"/>
      <c r="BV218"/>
      <c r="BW218"/>
      <c r="BX218"/>
      <c r="BY218"/>
      <c r="BZ218"/>
      <c r="CA218"/>
      <c r="CB218"/>
      <c r="CC218"/>
      <c r="CD218"/>
      <c r="CE218"/>
      <c r="CF218"/>
      <c r="CG218"/>
    </row>
    <row r="219" spans="1:85" ht="14.4">
      <c r="A219" s="236" t="s">
        <v>368</v>
      </c>
      <c r="B219" s="156">
        <v>9.9816689259519392E-2</v>
      </c>
      <c r="C219" s="155"/>
      <c r="D219" s="156">
        <v>8.6482114065559035</v>
      </c>
      <c r="E219" s="154"/>
      <c r="F219" s="156">
        <v>11.840453451066534</v>
      </c>
      <c r="G219" s="155"/>
      <c r="H219" s="156">
        <v>3.8051091239579131</v>
      </c>
      <c r="I219" s="154"/>
      <c r="J219" s="156">
        <v>67.428144406996807</v>
      </c>
      <c r="K219" s="155"/>
      <c r="L219" s="156">
        <v>1.2874402812496173</v>
      </c>
      <c r="M219" s="154"/>
      <c r="N219" s="156">
        <v>0.1003854931251011</v>
      </c>
      <c r="O219" s="155"/>
      <c r="P219" s="156">
        <v>11.870318332595383</v>
      </c>
      <c r="Q219" s="154"/>
      <c r="R219" s="156">
        <v>3.9002864228166993</v>
      </c>
      <c r="S219" s="155"/>
      <c r="T219" s="156">
        <v>101.01760373465855</v>
      </c>
      <c r="U219" s="154"/>
      <c r="V219" s="156">
        <v>1.3077762541399318</v>
      </c>
      <c r="W219" s="155"/>
      <c r="X219" s="156">
        <v>5.924770365643087</v>
      </c>
      <c r="Y219" s="154"/>
      <c r="Z219" s="156">
        <v>5.924770365643087</v>
      </c>
      <c r="AA219" s="155"/>
      <c r="AB219" s="156">
        <v>6.9839741955840751</v>
      </c>
      <c r="AC219" s="154"/>
      <c r="AD219" s="156">
        <v>15.849342021590244</v>
      </c>
      <c r="AE219" s="155"/>
      <c r="AF219" s="156">
        <v>14.713418263023794</v>
      </c>
      <c r="AG219" s="154"/>
      <c r="AH219" s="156">
        <v>19.909330077515911</v>
      </c>
      <c r="AI219" s="155"/>
      <c r="AJ219" s="156">
        <v>15.849342021590244</v>
      </c>
      <c r="AK219" s="154"/>
      <c r="AL219" s="156">
        <v>12.980631474838994</v>
      </c>
      <c r="AM219" s="155"/>
      <c r="AN219" s="156">
        <v>1.743540051561161</v>
      </c>
      <c r="AO219" s="226"/>
      <c r="AP219" s="156">
        <v>4.0011596197785186</v>
      </c>
      <c r="AQ219" s="154"/>
      <c r="AR219" s="156">
        <v>3.43011428372284</v>
      </c>
      <c r="AS219" s="155"/>
      <c r="AT219" s="156">
        <v>2.5193184501235828E-2</v>
      </c>
      <c r="AU219" s="154"/>
      <c r="AV219" s="156">
        <v>6.5257677634385711</v>
      </c>
      <c r="AW219" s="155"/>
      <c r="AX219" s="156">
        <v>18.812326967401315</v>
      </c>
      <c r="AY219" s="154"/>
      <c r="AZ219" s="156">
        <v>1.7198109610605359</v>
      </c>
      <c r="BA219" s="226"/>
      <c r="BB219" s="156">
        <v>122.64383017329698</v>
      </c>
      <c r="BC219" s="226"/>
      <c r="BD219"/>
      <c r="BE219"/>
      <c r="BF219"/>
      <c r="BG219"/>
      <c r="BH219"/>
      <c r="BI219"/>
      <c r="BJ219"/>
      <c r="BK219"/>
      <c r="BL219"/>
      <c r="BM219"/>
      <c r="BN219"/>
      <c r="BO219"/>
      <c r="BP219"/>
      <c r="BQ219"/>
      <c r="BR219"/>
      <c r="BS219"/>
      <c r="BT219"/>
      <c r="BU219"/>
      <c r="BV219"/>
      <c r="BW219"/>
      <c r="BX219"/>
      <c r="BY219"/>
      <c r="BZ219"/>
      <c r="CA219"/>
      <c r="CB219"/>
      <c r="CC219"/>
      <c r="CD219"/>
      <c r="CE219"/>
      <c r="CF219"/>
      <c r="CG219"/>
    </row>
    <row r="220" spans="1:85" ht="14.4">
      <c r="A220" t="s">
        <v>369</v>
      </c>
      <c r="B220" s="160">
        <v>9.7362401954790331E-2</v>
      </c>
      <c r="C220" s="159"/>
      <c r="D220" s="160">
        <v>8.5422664284575589</v>
      </c>
      <c r="E220" s="137"/>
      <c r="F220" s="160">
        <v>11.074126636662234</v>
      </c>
      <c r="G220" s="159"/>
      <c r="H220" s="160">
        <v>3.4645677088609963</v>
      </c>
      <c r="I220" s="137"/>
      <c r="J220" s="160">
        <v>27.726093067041671</v>
      </c>
      <c r="K220" s="159"/>
      <c r="L220" s="160">
        <v>1.2143944411754541</v>
      </c>
      <c r="M220" s="137"/>
      <c r="N220" s="160">
        <v>9.8173122753522149E-2</v>
      </c>
      <c r="O220" s="159"/>
      <c r="P220" s="160">
        <v>11.598747412553378</v>
      </c>
      <c r="Q220" s="137"/>
      <c r="R220" s="160">
        <v>3.6002246908560438</v>
      </c>
      <c r="S220" s="159"/>
      <c r="T220" s="160">
        <v>82.892157820943879</v>
      </c>
      <c r="U220" s="137"/>
      <c r="V220" s="160">
        <v>1.2433794695520868</v>
      </c>
      <c r="W220" s="159"/>
      <c r="X220" s="160">
        <v>5.7383174503239962</v>
      </c>
      <c r="Y220" s="137"/>
      <c r="Z220" s="160">
        <v>5.7383174503239962</v>
      </c>
      <c r="AA220" s="159"/>
      <c r="AB220" s="160">
        <v>6.6953212286345716</v>
      </c>
      <c r="AC220" s="137"/>
      <c r="AD220" s="160">
        <v>14.651614891835614</v>
      </c>
      <c r="AE220" s="159"/>
      <c r="AF220" s="160">
        <v>13.520555302038947</v>
      </c>
      <c r="AG220" s="137"/>
      <c r="AH220" s="160">
        <v>18.087359473360912</v>
      </c>
      <c r="AI220" s="159"/>
      <c r="AJ220" s="160">
        <v>14.651614891835614</v>
      </c>
      <c r="AK220" s="137"/>
      <c r="AL220" s="160">
        <v>11.855755976755432</v>
      </c>
      <c r="AM220" s="159"/>
      <c r="AN220" s="160">
        <v>1.3661631746983407</v>
      </c>
      <c r="AO220" s="235"/>
      <c r="AP220" s="160">
        <v>3.5476317844527276</v>
      </c>
      <c r="AQ220" s="137"/>
      <c r="AR220" s="160">
        <v>2.6876903775356364</v>
      </c>
      <c r="AS220" s="159"/>
      <c r="AT220" s="160">
        <v>2.4269347416082561E-2</v>
      </c>
      <c r="AU220" s="137"/>
      <c r="AV220" s="160">
        <v>6.4595225747342271</v>
      </c>
      <c r="AW220" s="159"/>
      <c r="AX220" s="160">
        <v>14.740532235113179</v>
      </c>
      <c r="AY220" s="137"/>
      <c r="AZ220" s="160">
        <v>1.7188153824961374</v>
      </c>
      <c r="BA220" s="235"/>
      <c r="BB220" s="160">
        <v>96.098443070860583</v>
      </c>
      <c r="BC220" s="235"/>
      <c r="BD220"/>
      <c r="BE220"/>
      <c r="BF220"/>
      <c r="BG220"/>
      <c r="BH220"/>
      <c r="BI220"/>
      <c r="BJ220"/>
      <c r="BK220"/>
      <c r="BL220"/>
      <c r="BM220"/>
      <c r="BN220"/>
      <c r="BO220"/>
      <c r="BP220"/>
      <c r="BQ220"/>
      <c r="BR220"/>
      <c r="BS220"/>
      <c r="BT220"/>
      <c r="BU220"/>
      <c r="BV220"/>
      <c r="BW220"/>
      <c r="BX220"/>
      <c r="BY220"/>
      <c r="BZ220"/>
      <c r="CA220"/>
      <c r="CB220"/>
      <c r="CC220"/>
      <c r="CD220"/>
      <c r="CE220"/>
      <c r="CF220"/>
      <c r="CG220"/>
    </row>
    <row r="221" spans="1:85" ht="14.4">
      <c r="A221" t="s">
        <v>361</v>
      </c>
      <c r="B221" s="160">
        <v>3.4970030939026802E-3</v>
      </c>
      <c r="C221" s="159"/>
      <c r="D221" s="160">
        <v>0.15185589351789555</v>
      </c>
      <c r="E221" s="137"/>
      <c r="F221" s="160">
        <v>7.2078621792199478</v>
      </c>
      <c r="G221" s="159"/>
      <c r="H221" s="160">
        <v>0.48795274013979867</v>
      </c>
      <c r="I221" s="137"/>
      <c r="J221" s="160">
        <v>24.189080768330829</v>
      </c>
      <c r="K221" s="159"/>
      <c r="L221" s="160">
        <v>0.10467062824917682</v>
      </c>
      <c r="M221" s="137"/>
      <c r="N221" s="160">
        <v>2.3786369554616316E-3</v>
      </c>
      <c r="O221" s="159"/>
      <c r="P221" s="160">
        <v>7.2824820187224475</v>
      </c>
      <c r="Q221" s="137"/>
      <c r="R221" s="160">
        <v>0.30081781607754454</v>
      </c>
      <c r="S221" s="159"/>
      <c r="T221" s="160">
        <v>18.076362149420198</v>
      </c>
      <c r="U221" s="137"/>
      <c r="V221" s="160">
        <v>6.4686611175868713E-2</v>
      </c>
      <c r="W221" s="159"/>
      <c r="X221" s="160">
        <v>0.26724965722080374</v>
      </c>
      <c r="Y221" s="137"/>
      <c r="Z221" s="160">
        <v>0.26724965722080374</v>
      </c>
      <c r="AA221" s="159"/>
      <c r="AB221" s="160">
        <v>0.41374146508693382</v>
      </c>
      <c r="AC221" s="137"/>
      <c r="AD221" s="160">
        <v>1.716766548323936</v>
      </c>
      <c r="AE221" s="159"/>
      <c r="AF221" s="160">
        <v>1.7097902373214591</v>
      </c>
      <c r="AG221" s="137"/>
      <c r="AH221" s="160">
        <v>2.6115221528571544</v>
      </c>
      <c r="AI221" s="159"/>
      <c r="AJ221" s="160">
        <v>1.716766548323936</v>
      </c>
      <c r="AK221" s="137"/>
      <c r="AL221" s="160">
        <v>1.6123403254261586</v>
      </c>
      <c r="AM221" s="159"/>
      <c r="AN221" s="160">
        <v>0.54091484849879146</v>
      </c>
      <c r="AO221" s="235"/>
      <c r="AP221" s="160">
        <v>0.65006597703509517</v>
      </c>
      <c r="AQ221" s="137"/>
      <c r="AR221" s="160">
        <v>1.0641566544182113</v>
      </c>
      <c r="AS221" s="159"/>
      <c r="AT221" s="160">
        <v>1.319291680258164E-3</v>
      </c>
      <c r="AU221" s="137"/>
      <c r="AV221" s="160">
        <v>6.2111978343325553</v>
      </c>
      <c r="AW221" s="159"/>
      <c r="AX221" s="160">
        <v>5.8363253441583796</v>
      </c>
      <c r="AY221" s="137"/>
      <c r="AZ221" s="160">
        <v>1.426844915747822E-3</v>
      </c>
      <c r="BA221" s="235"/>
      <c r="BB221" s="160">
        <v>38.048950328442366</v>
      </c>
      <c r="BC221" s="235"/>
      <c r="BD221"/>
      <c r="BE221"/>
      <c r="BF221"/>
      <c r="BG221"/>
      <c r="BH221"/>
      <c r="BI221"/>
      <c r="BJ221"/>
      <c r="BK221"/>
      <c r="BL221"/>
      <c r="BM221"/>
      <c r="BN221"/>
      <c r="BO221"/>
      <c r="BP221"/>
      <c r="BQ221"/>
      <c r="BR221"/>
      <c r="BS221"/>
      <c r="BT221"/>
      <c r="BU221"/>
      <c r="BV221"/>
      <c r="BW221"/>
      <c r="BX221"/>
      <c r="BY221"/>
      <c r="BZ221"/>
      <c r="CA221"/>
      <c r="CB221"/>
      <c r="CC221"/>
      <c r="CD221"/>
      <c r="CE221"/>
      <c r="CF221"/>
      <c r="CG221"/>
    </row>
    <row r="222" spans="1:85" ht="14.4">
      <c r="A222" t="s">
        <v>360</v>
      </c>
      <c r="B222" s="160">
        <v>1.2906812436709492E-2</v>
      </c>
      <c r="C222" s="159"/>
      <c r="D222" s="160">
        <v>8.3825014161830023</v>
      </c>
      <c r="E222" s="137"/>
      <c r="F222" s="160">
        <v>2.5216343616641477</v>
      </c>
      <c r="G222" s="159"/>
      <c r="H222" s="160">
        <v>2.3264302036369875</v>
      </c>
      <c r="I222" s="137"/>
      <c r="J222" s="160">
        <v>3.1653281168940604</v>
      </c>
      <c r="K222" s="159"/>
      <c r="L222" s="160">
        <v>0.99035884803889196</v>
      </c>
      <c r="M222" s="137"/>
      <c r="N222" s="160">
        <v>1.459027051370021E-2</v>
      </c>
      <c r="O222" s="159"/>
      <c r="P222" s="160">
        <v>3.2022735663429898</v>
      </c>
      <c r="Q222" s="137"/>
      <c r="R222" s="160">
        <v>2.6081213140624051</v>
      </c>
      <c r="S222" s="159"/>
      <c r="T222" s="160">
        <v>61.378689951292891</v>
      </c>
      <c r="U222" s="137"/>
      <c r="V222" s="160">
        <v>1.0505461285536828</v>
      </c>
      <c r="W222" s="159"/>
      <c r="X222" s="160">
        <v>5.4492844974039283</v>
      </c>
      <c r="Y222" s="137"/>
      <c r="Z222" s="160">
        <v>5.4492844974039283</v>
      </c>
      <c r="AA222" s="159"/>
      <c r="AB222" s="160">
        <v>6.2664782643002352</v>
      </c>
      <c r="AC222" s="137"/>
      <c r="AD222" s="160">
        <v>12.877292777887442</v>
      </c>
      <c r="AE222" s="159"/>
      <c r="AF222" s="160">
        <v>11.737022671297883</v>
      </c>
      <c r="AG222" s="137"/>
      <c r="AH222" s="160">
        <v>15.364816487704083</v>
      </c>
      <c r="AI222" s="159"/>
      <c r="AJ222" s="160">
        <v>12.877292777887442</v>
      </c>
      <c r="AK222" s="137"/>
      <c r="AL222" s="160">
        <v>10.173583432247806</v>
      </c>
      <c r="AM222" s="159"/>
      <c r="AN222" s="160">
        <v>0.80837786375170595</v>
      </c>
      <c r="AO222" s="235"/>
      <c r="AP222" s="160">
        <v>2.8765498967834451</v>
      </c>
      <c r="AQ222" s="137"/>
      <c r="AR222" s="160">
        <v>1.5903439984744252</v>
      </c>
      <c r="AS222" s="159"/>
      <c r="AT222" s="160">
        <v>3.9398439356415245E-3</v>
      </c>
      <c r="AU222" s="137"/>
      <c r="AV222" s="160">
        <v>0.1519326230007933</v>
      </c>
      <c r="AW222" s="159"/>
      <c r="AX222" s="160">
        <v>8.7221791506824058</v>
      </c>
      <c r="AY222" s="137"/>
      <c r="AZ222" s="160">
        <v>1.7166769920368605</v>
      </c>
      <c r="BA222" s="235"/>
      <c r="BB222" s="160">
        <v>56.862793228664202</v>
      </c>
      <c r="BC222" s="235"/>
      <c r="BD222"/>
      <c r="BE222"/>
      <c r="BF222"/>
      <c r="BG222"/>
      <c r="BH222"/>
      <c r="BI222"/>
      <c r="BJ222"/>
      <c r="BK222"/>
      <c r="BL222"/>
      <c r="BM222"/>
      <c r="BN222"/>
      <c r="BO222"/>
      <c r="BP222"/>
      <c r="BQ222"/>
      <c r="BR222"/>
      <c r="BS222"/>
      <c r="BT222"/>
      <c r="BU222"/>
      <c r="BV222"/>
      <c r="BW222"/>
      <c r="BX222"/>
      <c r="BY222"/>
      <c r="BZ222"/>
      <c r="CA222"/>
      <c r="CB222"/>
      <c r="CC222"/>
      <c r="CD222"/>
      <c r="CE222"/>
      <c r="CF222"/>
      <c r="CG222"/>
    </row>
    <row r="223" spans="1:85" ht="14.4">
      <c r="A223" t="s">
        <v>370</v>
      </c>
      <c r="B223" s="165">
        <v>8.0958586424178164E-2</v>
      </c>
      <c r="C223" s="164"/>
      <c r="D223" s="165">
        <v>7.9091187566610044E-3</v>
      </c>
      <c r="E223" s="137"/>
      <c r="F223" s="165">
        <v>1.3446300957781383</v>
      </c>
      <c r="G223" s="164"/>
      <c r="H223" s="165">
        <v>0.6501847650842103</v>
      </c>
      <c r="I223" s="137"/>
      <c r="J223" s="165">
        <v>0.37168418181678109</v>
      </c>
      <c r="K223" s="164"/>
      <c r="L223" s="165">
        <v>0.11936496488738546</v>
      </c>
      <c r="M223" s="137"/>
      <c r="N223" s="165">
        <v>8.1204215284360309E-2</v>
      </c>
      <c r="O223" s="164"/>
      <c r="P223" s="165">
        <v>1.1139918274879403</v>
      </c>
      <c r="Q223" s="137"/>
      <c r="R223" s="165">
        <v>0.69128556071609437</v>
      </c>
      <c r="S223" s="164"/>
      <c r="T223" s="165">
        <v>3.4371057202307989</v>
      </c>
      <c r="U223" s="137"/>
      <c r="V223" s="165">
        <v>0.12814672982253511</v>
      </c>
      <c r="W223" s="164"/>
      <c r="X223" s="165">
        <v>2.178329569926428E-2</v>
      </c>
      <c r="Y223" s="137"/>
      <c r="Z223" s="165">
        <v>2.178329569926428E-2</v>
      </c>
      <c r="AA223" s="164"/>
      <c r="AB223" s="165">
        <v>1.5101499247401982E-2</v>
      </c>
      <c r="AC223" s="137"/>
      <c r="AD223" s="165">
        <v>5.7555565624236416E-2</v>
      </c>
      <c r="AE223" s="164"/>
      <c r="AF223" s="165">
        <v>7.3742393419605867E-2</v>
      </c>
      <c r="AG223" s="137"/>
      <c r="AH223" s="165">
        <v>0.1110208327996747</v>
      </c>
      <c r="AI223" s="164"/>
      <c r="AJ223" s="165">
        <v>5.7555565624236416E-2</v>
      </c>
      <c r="AK223" s="137"/>
      <c r="AL223" s="165">
        <v>6.9832219081467584E-2</v>
      </c>
      <c r="AM223" s="164"/>
      <c r="AN223" s="165">
        <v>1.6870462447843279E-2</v>
      </c>
      <c r="AO223" s="228"/>
      <c r="AP223" s="165">
        <v>2.101591063418733E-2</v>
      </c>
      <c r="AQ223" s="137"/>
      <c r="AR223" s="165">
        <v>3.3189724643000039E-2</v>
      </c>
      <c r="AS223" s="164"/>
      <c r="AT223" s="165">
        <v>1.9010211800182874E-2</v>
      </c>
      <c r="AU223" s="137"/>
      <c r="AV223" s="165">
        <v>9.6392117400878441E-2</v>
      </c>
      <c r="AW223" s="164"/>
      <c r="AX223" s="165">
        <v>0.18202774027239507</v>
      </c>
      <c r="AY223" s="137"/>
      <c r="AZ223" s="165">
        <v>7.1154554352909451E-4</v>
      </c>
      <c r="BA223" s="228"/>
      <c r="BB223" s="165">
        <v>1.1866995137540124</v>
      </c>
      <c r="BC223" s="228"/>
      <c r="BD223"/>
      <c r="BE223"/>
      <c r="BF223"/>
      <c r="BG223"/>
      <c r="BH223"/>
      <c r="BI223"/>
      <c r="BJ223"/>
      <c r="BK223"/>
      <c r="BL223"/>
      <c r="BM223"/>
      <c r="BN223"/>
      <c r="BO223"/>
      <c r="BP223"/>
      <c r="BQ223"/>
      <c r="BR223"/>
      <c r="BS223"/>
      <c r="BT223"/>
      <c r="BU223"/>
      <c r="BV223"/>
      <c r="BW223"/>
      <c r="BX223"/>
      <c r="BY223"/>
      <c r="BZ223"/>
      <c r="CA223"/>
      <c r="CB223"/>
      <c r="CC223"/>
      <c r="CD223"/>
      <c r="CE223"/>
      <c r="CF223"/>
      <c r="CG223"/>
    </row>
    <row r="224" spans="1:85" ht="14.4">
      <c r="A224" s="204" t="s">
        <v>220</v>
      </c>
      <c r="B224" s="141">
        <v>2.5546865047948506</v>
      </c>
      <c r="C224" s="141"/>
      <c r="D224" s="237">
        <v>64.826489504882446</v>
      </c>
      <c r="E224" s="238"/>
      <c r="F224" s="141">
        <v>591.07802873028481</v>
      </c>
      <c r="G224" s="141"/>
      <c r="H224" s="237">
        <v>148.93434780188664</v>
      </c>
      <c r="I224" s="239"/>
      <c r="J224" s="139">
        <v>51169.627797826084</v>
      </c>
      <c r="K224" s="139"/>
      <c r="L224" s="240">
        <v>33.135040932513476</v>
      </c>
      <c r="M224" s="239"/>
      <c r="N224" s="139">
        <v>3.2070591449802803</v>
      </c>
      <c r="O224" s="139"/>
      <c r="P224" s="240">
        <v>264.48703926880705</v>
      </c>
      <c r="Q224" s="239"/>
      <c r="R224" s="139">
        <v>258.09511392770031</v>
      </c>
      <c r="S224" s="139"/>
      <c r="T224" s="240">
        <v>14701.881722572221</v>
      </c>
      <c r="U224" s="239"/>
      <c r="V224" s="139">
        <v>56.45877891665333</v>
      </c>
      <c r="W224" s="139"/>
      <c r="X224" s="240">
        <v>87.35938887734234</v>
      </c>
      <c r="Y224" s="239"/>
      <c r="Z224" s="139">
        <v>87.35938887734234</v>
      </c>
      <c r="AA224" s="139"/>
      <c r="AB224" s="240">
        <v>128.68920204365747</v>
      </c>
      <c r="AC224" s="239"/>
      <c r="AD224" s="139">
        <v>496.01629309819691</v>
      </c>
      <c r="AE224" s="139"/>
      <c r="AF224" s="240">
        <v>491.00633649731571</v>
      </c>
      <c r="AG224" s="239"/>
      <c r="AH224" s="139">
        <v>742.36725420458504</v>
      </c>
      <c r="AI224" s="139"/>
      <c r="AJ224" s="240">
        <v>496.01629309819691</v>
      </c>
      <c r="AK224" s="239"/>
      <c r="AL224" s="139">
        <v>460.43704496584871</v>
      </c>
      <c r="AM224" s="139"/>
      <c r="AN224" s="240">
        <v>146.88606959640205</v>
      </c>
      <c r="AO224" s="241"/>
      <c r="AP224" s="139">
        <v>182.03651820464128</v>
      </c>
      <c r="AQ224" s="242"/>
      <c r="AR224" s="139">
        <v>288.97300348873114</v>
      </c>
      <c r="AS224" s="139"/>
      <c r="AT224" s="237">
        <v>0.74068465386965132</v>
      </c>
      <c r="AU224" s="239"/>
      <c r="AV224" s="139">
        <v>47.433058338047317</v>
      </c>
      <c r="AW224" s="139"/>
      <c r="AX224" s="240">
        <v>1584.8610794628764</v>
      </c>
      <c r="AY224" s="239"/>
      <c r="AZ224" s="141">
        <v>5.3467584378895472</v>
      </c>
      <c r="BA224"/>
      <c r="BB224" s="240">
        <v>10332.237655380459</v>
      </c>
      <c r="BC224" s="241"/>
      <c r="BD224"/>
      <c r="BE224"/>
      <c r="BF224"/>
      <c r="BG224"/>
      <c r="BH224"/>
      <c r="BI224"/>
      <c r="BJ224"/>
      <c r="BK224"/>
      <c r="BL224"/>
      <c r="BM224"/>
      <c r="BN224"/>
      <c r="BO224"/>
      <c r="BP224"/>
      <c r="BQ224"/>
      <c r="BR224"/>
      <c r="BS224"/>
      <c r="BT224"/>
      <c r="BU224"/>
      <c r="BV224"/>
      <c r="BW224"/>
      <c r="BX224"/>
      <c r="BY224"/>
      <c r="BZ224"/>
      <c r="CA224"/>
      <c r="CB224"/>
      <c r="CC224"/>
      <c r="CD224"/>
      <c r="CE224"/>
      <c r="CF224"/>
      <c r="CG224"/>
    </row>
    <row r="225" spans="1:85" ht="14.4">
      <c r="A225" s="145" t="s">
        <v>371</v>
      </c>
      <c r="B225" s="243"/>
      <c r="C225" s="244"/>
      <c r="D225" s="245"/>
      <c r="E225" s="245"/>
      <c r="F225" s="156"/>
      <c r="G225" s="155"/>
      <c r="H225" s="245"/>
      <c r="I225" s="245"/>
      <c r="J225" s="243"/>
      <c r="K225" s="244"/>
      <c r="L225" s="245"/>
      <c r="M225" s="245"/>
      <c r="N225" s="156"/>
      <c r="O225" s="155"/>
      <c r="P225" s="154"/>
      <c r="Q225" s="154"/>
      <c r="R225" s="156"/>
      <c r="S225" s="155"/>
      <c r="T225" s="154"/>
      <c r="U225" s="154"/>
      <c r="V225" s="156"/>
      <c r="W225" s="155"/>
      <c r="X225" s="156"/>
      <c r="Y225" s="155"/>
      <c r="Z225" s="154"/>
      <c r="AA225" s="155"/>
      <c r="AB225" s="154"/>
      <c r="AC225" s="154"/>
      <c r="AD225" s="156"/>
      <c r="AE225" s="155"/>
      <c r="AF225" s="154"/>
      <c r="AG225" s="245"/>
      <c r="AH225" s="243"/>
      <c r="AI225" s="244"/>
      <c r="AJ225" s="245"/>
      <c r="AK225" s="245"/>
      <c r="AL225" s="243"/>
      <c r="AM225" s="244"/>
      <c r="AN225" s="243"/>
      <c r="AO225" s="226"/>
      <c r="AP225" s="245"/>
      <c r="AQ225" s="154"/>
      <c r="AR225" s="156"/>
      <c r="AS225" s="155"/>
      <c r="AT225" s="154"/>
      <c r="AU225" s="154"/>
      <c r="AV225" s="156"/>
      <c r="AW225" s="155"/>
      <c r="AX225" s="154"/>
      <c r="AY225" s="154"/>
      <c r="AZ225" s="156"/>
      <c r="BA225" s="226"/>
      <c r="BB225" s="156"/>
      <c r="BC225" s="226"/>
      <c r="BD225"/>
      <c r="BE225"/>
      <c r="BF225"/>
      <c r="BG225"/>
      <c r="BH225"/>
      <c r="BI225"/>
      <c r="BJ225"/>
      <c r="BK225"/>
      <c r="BL225"/>
      <c r="BM225"/>
      <c r="BN225"/>
      <c r="BO225"/>
      <c r="BP225"/>
      <c r="BQ225"/>
      <c r="BR225"/>
      <c r="BS225"/>
      <c r="BT225"/>
      <c r="BU225"/>
      <c r="BV225"/>
      <c r="BW225"/>
      <c r="BX225"/>
      <c r="BY225"/>
      <c r="BZ225"/>
      <c r="CA225"/>
      <c r="CB225"/>
      <c r="CC225"/>
      <c r="CD225"/>
      <c r="CE225"/>
      <c r="CF225"/>
      <c r="CG225"/>
    </row>
    <row r="226" spans="1:85" ht="14.4">
      <c r="A226" s="158" t="s">
        <v>372</v>
      </c>
      <c r="B226" s="160">
        <v>2.3447036022830923</v>
      </c>
      <c r="C226" s="159"/>
      <c r="D226" s="137">
        <v>103.75736030742443</v>
      </c>
      <c r="E226" s="137"/>
      <c r="F226" s="160">
        <v>96.474032733555333</v>
      </c>
      <c r="G226" s="159"/>
      <c r="H226" s="137">
        <v>34.601834861267328</v>
      </c>
      <c r="I226" s="137"/>
      <c r="J226" s="160">
        <v>240.02069194616905</v>
      </c>
      <c r="K226" s="159"/>
      <c r="L226" s="137">
        <v>13.559634050255125</v>
      </c>
      <c r="M226" s="137"/>
      <c r="N226" s="160">
        <v>2.354709725034223</v>
      </c>
      <c r="O226" s="159"/>
      <c r="P226" s="137">
        <v>100.01477002726425</v>
      </c>
      <c r="Q226" s="137"/>
      <c r="R226" s="160">
        <v>36.276147912090345</v>
      </c>
      <c r="S226" s="159"/>
      <c r="T226" s="137">
        <v>786.9833235970633</v>
      </c>
      <c r="U226" s="137"/>
      <c r="V226" s="160">
        <v>13.917374658779375</v>
      </c>
      <c r="W226" s="159"/>
      <c r="X226" s="160">
        <v>68.345841345171266</v>
      </c>
      <c r="Y226" s="188">
        <v>45.470999999999997</v>
      </c>
      <c r="Z226" s="137">
        <v>68.345841345171266</v>
      </c>
      <c r="AA226" s="188">
        <v>45.470999999999997</v>
      </c>
      <c r="AB226" s="137">
        <v>79.009519700351902</v>
      </c>
      <c r="AC226" s="187">
        <v>72.393000000000001</v>
      </c>
      <c r="AD226" s="160">
        <v>166.52841652724337</v>
      </c>
      <c r="AE226" s="188">
        <v>292.952</v>
      </c>
      <c r="AF226" s="137">
        <v>152.62755449524113</v>
      </c>
      <c r="AG226" s="187">
        <v>441.97800000000001</v>
      </c>
      <c r="AH226" s="160">
        <v>201.59958626405583</v>
      </c>
      <c r="AI226" s="188">
        <v>520.81200000000001</v>
      </c>
      <c r="AJ226" s="137">
        <v>166.52841652724337</v>
      </c>
      <c r="AK226" s="187">
        <v>292.952</v>
      </c>
      <c r="AL226" s="160">
        <v>132.9302813020318</v>
      </c>
      <c r="AM226" s="188">
        <v>432.52800000000002</v>
      </c>
      <c r="AN226" s="137">
        <v>12.5372135824715</v>
      </c>
      <c r="AO226" s="235"/>
      <c r="AP226" s="137">
        <v>38.481525430519127</v>
      </c>
      <c r="AQ226" s="137"/>
      <c r="AR226" s="160">
        <v>24.664805003368727</v>
      </c>
      <c r="AS226" s="159"/>
      <c r="AT226" s="137">
        <v>0.199595532061177</v>
      </c>
      <c r="AU226" s="137"/>
      <c r="AV226" s="160">
        <v>49.962641981217473</v>
      </c>
      <c r="AW226" s="159"/>
      <c r="AX226" s="137">
        <v>135.27315358337509</v>
      </c>
      <c r="AY226" s="137"/>
      <c r="AZ226" s="160">
        <v>21.106057529129711</v>
      </c>
      <c r="BA226" s="235"/>
      <c r="BB226" s="137">
        <v>881.89077852167122</v>
      </c>
      <c r="BC226" s="235"/>
      <c r="BD226"/>
      <c r="BE226"/>
      <c r="BF226"/>
      <c r="BG226"/>
      <c r="BH226"/>
      <c r="BI226"/>
      <c r="BJ226"/>
      <c r="BK226"/>
      <c r="BL226"/>
      <c r="BM226"/>
      <c r="BN226"/>
      <c r="BO226"/>
      <c r="BP226"/>
      <c r="BQ226"/>
      <c r="BR226"/>
      <c r="BS226"/>
      <c r="BT226"/>
      <c r="BU226"/>
      <c r="BV226"/>
      <c r="BW226"/>
      <c r="BX226"/>
      <c r="BY226"/>
      <c r="BZ226"/>
      <c r="CA226"/>
      <c r="CB226"/>
      <c r="CC226"/>
      <c r="CD226"/>
      <c r="CE226"/>
      <c r="CF226"/>
      <c r="CG226"/>
    </row>
    <row r="227" spans="1:85" ht="14.4">
      <c r="A227" s="158" t="s">
        <v>373</v>
      </c>
      <c r="B227" s="160">
        <v>6.2451998818084986</v>
      </c>
      <c r="C227" s="159"/>
      <c r="D227" s="137">
        <v>432.85904161410826</v>
      </c>
      <c r="E227" s="137"/>
      <c r="F227" s="160">
        <v>402.89314238838676</v>
      </c>
      <c r="G227" s="159"/>
      <c r="H227" s="137">
        <v>157.75206763219512</v>
      </c>
      <c r="I227" s="137"/>
      <c r="J227" s="160">
        <v>869.95013216454311</v>
      </c>
      <c r="K227" s="159"/>
      <c r="L227" s="137">
        <v>110.54694577572603</v>
      </c>
      <c r="M227" s="137"/>
      <c r="N227" s="160">
        <v>6.2847859194517852</v>
      </c>
      <c r="O227" s="159"/>
      <c r="P227" s="137">
        <v>396.68016076154538</v>
      </c>
      <c r="Q227" s="137"/>
      <c r="R227" s="160">
        <v>164.37595393711155</v>
      </c>
      <c r="S227" s="159"/>
      <c r="T227" s="137">
        <v>2840.0158694380339</v>
      </c>
      <c r="U227" s="137"/>
      <c r="V227" s="160">
        <v>111.96223255041338</v>
      </c>
      <c r="W227" s="159"/>
      <c r="X227" s="160">
        <v>287.09292933014746</v>
      </c>
      <c r="Y227" s="159"/>
      <c r="Z227" s="137">
        <v>287.09292933014746</v>
      </c>
      <c r="AA227" s="159"/>
      <c r="AB227" s="137">
        <v>325.21559688618299</v>
      </c>
      <c r="AC227" s="137"/>
      <c r="AD227" s="160">
        <v>672.99074244914755</v>
      </c>
      <c r="AE227" s="159"/>
      <c r="AF227" s="137">
        <v>618.28346803997715</v>
      </c>
      <c r="AG227" s="137"/>
      <c r="AH227" s="160">
        <v>808.44063145293205</v>
      </c>
      <c r="AI227" s="159"/>
      <c r="AJ227" s="137">
        <v>672.99074244914755</v>
      </c>
      <c r="AK227" s="137"/>
      <c r="AL227" s="160">
        <v>537.1718890399884</v>
      </c>
      <c r="AM227" s="159"/>
      <c r="AN227" s="137">
        <v>44.591242141765868</v>
      </c>
      <c r="AO227" s="235"/>
      <c r="AP227" s="137">
        <v>151.77627497177753</v>
      </c>
      <c r="AQ227" s="137"/>
      <c r="AR227" s="160">
        <v>87.725576743970521</v>
      </c>
      <c r="AS227" s="159"/>
      <c r="AT227" s="137">
        <v>9.8662252034506963</v>
      </c>
      <c r="AU227" s="187">
        <v>17.774000000000001</v>
      </c>
      <c r="AV227" s="160">
        <v>164.95748742482448</v>
      </c>
      <c r="AW227" s="159"/>
      <c r="AX227" s="137">
        <v>481.12747757205034</v>
      </c>
      <c r="AY227" s="137"/>
      <c r="AZ227" s="160">
        <v>88.485899717394759</v>
      </c>
      <c r="BA227" s="230">
        <v>1948.633</v>
      </c>
      <c r="BB227" s="137">
        <v>3136.6303994877044</v>
      </c>
      <c r="BC227" s="235"/>
      <c r="BD227"/>
      <c r="BE227"/>
      <c r="BF227"/>
      <c r="BG227"/>
      <c r="BH227"/>
      <c r="BI227"/>
      <c r="BJ227"/>
      <c r="BK227"/>
      <c r="BL227"/>
      <c r="BM227"/>
      <c r="BN227"/>
      <c r="BO227"/>
      <c r="BP227"/>
      <c r="BQ227"/>
      <c r="BR227"/>
      <c r="BS227"/>
      <c r="BT227"/>
      <c r="BU227"/>
      <c r="BV227"/>
      <c r="BW227"/>
      <c r="BX227"/>
      <c r="BY227"/>
      <c r="BZ227"/>
      <c r="CA227"/>
      <c r="CB227"/>
      <c r="CC227"/>
      <c r="CD227"/>
      <c r="CE227"/>
      <c r="CF227"/>
      <c r="CG227"/>
    </row>
    <row r="228" spans="1:85" ht="14.4">
      <c r="A228" s="158" t="s">
        <v>374</v>
      </c>
      <c r="B228" s="160">
        <v>24.001120113087339</v>
      </c>
      <c r="C228" s="159"/>
      <c r="D228" s="137">
        <v>591.95965814687759</v>
      </c>
      <c r="E228" s="187">
        <v>537.053</v>
      </c>
      <c r="F228" s="160">
        <v>1323.0615761446263</v>
      </c>
      <c r="G228" s="188">
        <v>555.197</v>
      </c>
      <c r="H228" s="137">
        <v>277.04674044454572</v>
      </c>
      <c r="I228" s="187">
        <v>313.88600000000002</v>
      </c>
      <c r="J228" s="160">
        <v>1994.0966918901734</v>
      </c>
      <c r="K228" s="188">
        <v>140.614</v>
      </c>
      <c r="L228" s="137">
        <v>104.28393077671554</v>
      </c>
      <c r="M228" s="187">
        <v>79.468999999999994</v>
      </c>
      <c r="N228" s="160">
        <v>24.080720783397794</v>
      </c>
      <c r="O228" s="159"/>
      <c r="P228" s="137">
        <v>1267.4425911243275</v>
      </c>
      <c r="Q228" s="187">
        <v>555.197</v>
      </c>
      <c r="R228" s="160">
        <v>290.36622936846493</v>
      </c>
      <c r="S228" s="188">
        <v>313.88600000000002</v>
      </c>
      <c r="T228" s="137">
        <v>5127.4497789831839</v>
      </c>
      <c r="U228" s="187">
        <v>140.614</v>
      </c>
      <c r="V228" s="160">
        <v>107.1298275285402</v>
      </c>
      <c r="W228" s="188">
        <v>79.468999999999994</v>
      </c>
      <c r="X228" s="160">
        <v>394.34330340868229</v>
      </c>
      <c r="Y228" s="188">
        <v>36.393999999999998</v>
      </c>
      <c r="Z228" s="137">
        <v>394.34330340868229</v>
      </c>
      <c r="AA228" s="188">
        <v>36.393999999999998</v>
      </c>
      <c r="AB228" s="137">
        <v>455.01930614013094</v>
      </c>
      <c r="AC228" s="187">
        <v>21.954000000000001</v>
      </c>
      <c r="AD228" s="160">
        <v>971.09250143188206</v>
      </c>
      <c r="AE228" s="188">
        <v>316.33</v>
      </c>
      <c r="AF228" s="137">
        <v>893.54332279242033</v>
      </c>
      <c r="AG228" s="187">
        <v>266.24900000000002</v>
      </c>
      <c r="AH228" s="160">
        <v>1183.7032583645776</v>
      </c>
      <c r="AI228" s="188">
        <v>270.89999999999998</v>
      </c>
      <c r="AJ228" s="137">
        <v>971.09250143188206</v>
      </c>
      <c r="AK228" s="187">
        <v>316.33</v>
      </c>
      <c r="AL228" s="160">
        <v>780.18344382298551</v>
      </c>
      <c r="AM228" s="188">
        <v>228.934</v>
      </c>
      <c r="AN228" s="137">
        <v>78.980877104065996</v>
      </c>
      <c r="AO228" s="235"/>
      <c r="AP228" s="137">
        <v>228.01437188483729</v>
      </c>
      <c r="AQ228" s="137"/>
      <c r="AR228" s="160">
        <v>155.38125118091773</v>
      </c>
      <c r="AS228" s="159"/>
      <c r="AT228" s="137">
        <v>5.3661520334150774</v>
      </c>
      <c r="AU228" s="187">
        <v>9.4909999999999997</v>
      </c>
      <c r="AV228" s="160">
        <v>789.72196061211639</v>
      </c>
      <c r="AW228" s="188">
        <v>1587.5730000000001</v>
      </c>
      <c r="AX228" s="137">
        <v>852.18236479479549</v>
      </c>
      <c r="AY228" s="137"/>
      <c r="AZ228" s="160">
        <v>119.99469821687403</v>
      </c>
      <c r="BA228" s="235"/>
      <c r="BB228" s="137">
        <v>5555.6608922266105</v>
      </c>
      <c r="BC228" s="235"/>
      <c r="BD228"/>
      <c r="BE228"/>
      <c r="BF228"/>
      <c r="BG228"/>
      <c r="BH228"/>
      <c r="BI228"/>
      <c r="BJ228"/>
      <c r="BK228"/>
      <c r="BL228"/>
      <c r="BM228"/>
      <c r="BN228"/>
      <c r="BO228"/>
      <c r="BP228"/>
      <c r="BQ228"/>
      <c r="BR228"/>
      <c r="BS228"/>
      <c r="BT228"/>
      <c r="BU228"/>
      <c r="BV228"/>
      <c r="BW228"/>
      <c r="BX228"/>
      <c r="BY228"/>
      <c r="BZ228"/>
      <c r="CA228"/>
      <c r="CB228"/>
      <c r="CC228"/>
      <c r="CD228"/>
      <c r="CE228"/>
      <c r="CF228"/>
      <c r="CG228"/>
    </row>
    <row r="229" spans="1:85" ht="14.4">
      <c r="A229" s="158" t="s">
        <v>375</v>
      </c>
      <c r="B229" s="160">
        <v>1.2253506625591657</v>
      </c>
      <c r="C229" s="159"/>
      <c r="D229" s="137">
        <v>31.850918900895739</v>
      </c>
      <c r="E229" s="137"/>
      <c r="F229" s="160">
        <v>125.13854183353916</v>
      </c>
      <c r="G229" s="188">
        <v>60.237000000000002</v>
      </c>
      <c r="H229" s="137">
        <v>34.250581644546756</v>
      </c>
      <c r="I229" s="187">
        <v>185.066</v>
      </c>
      <c r="J229" s="160">
        <v>401.88563333076183</v>
      </c>
      <c r="K229" s="188">
        <v>621.42200000000003</v>
      </c>
      <c r="L229" s="137">
        <v>7.7183609430584772</v>
      </c>
      <c r="M229" s="187">
        <v>58.06</v>
      </c>
      <c r="N229" s="160">
        <v>1.2186141125993175</v>
      </c>
      <c r="O229" s="159"/>
      <c r="P229" s="137">
        <v>122.03752271076966</v>
      </c>
      <c r="Q229" s="187">
        <v>60.237000000000002</v>
      </c>
      <c r="R229" s="160">
        <v>33.123362461270133</v>
      </c>
      <c r="S229" s="188">
        <v>185.066</v>
      </c>
      <c r="T229" s="137">
        <v>554.96625938617217</v>
      </c>
      <c r="U229" s="187">
        <v>621.42200000000003</v>
      </c>
      <c r="V229" s="160">
        <v>7.4775146590452417</v>
      </c>
      <c r="W229" s="188">
        <v>58.06</v>
      </c>
      <c r="X229" s="160">
        <v>23.593164062642934</v>
      </c>
      <c r="Y229" s="188">
        <v>102.35899999999999</v>
      </c>
      <c r="Z229" s="137">
        <v>23.593164062642934</v>
      </c>
      <c r="AA229" s="188">
        <v>102.35899999999999</v>
      </c>
      <c r="AB229" s="137">
        <v>28.578162043406422</v>
      </c>
      <c r="AC229" s="187">
        <v>219.62899999999999</v>
      </c>
      <c r="AD229" s="160">
        <v>72.487459315999018</v>
      </c>
      <c r="AE229" s="188">
        <v>100.509</v>
      </c>
      <c r="AF229" s="137">
        <v>68.565154916428014</v>
      </c>
      <c r="AG229" s="187">
        <v>179.876</v>
      </c>
      <c r="AH229" s="160">
        <v>95.561259306056826</v>
      </c>
      <c r="AI229" s="188">
        <v>219.905</v>
      </c>
      <c r="AJ229" s="137">
        <v>72.487459315999018</v>
      </c>
      <c r="AK229" s="187">
        <v>100.509</v>
      </c>
      <c r="AL229" s="160">
        <v>61.524285702124104</v>
      </c>
      <c r="AM229" s="188">
        <v>163.04900000000001</v>
      </c>
      <c r="AN229" s="137">
        <v>11.428759684753944</v>
      </c>
      <c r="AO229" s="235"/>
      <c r="AP229" s="137">
        <v>20.425524894182487</v>
      </c>
      <c r="AQ229" s="137"/>
      <c r="AR229" s="160">
        <v>22.484113172398263</v>
      </c>
      <c r="AS229" s="159"/>
      <c r="AT229" s="137">
        <v>0.45716333713209828</v>
      </c>
      <c r="AU229" s="137"/>
      <c r="AV229" s="160">
        <v>70.199224572000105</v>
      </c>
      <c r="AW229" s="159"/>
      <c r="AX229" s="137">
        <v>123.31323494916779</v>
      </c>
      <c r="AY229" s="137"/>
      <c r="AZ229" s="160">
        <v>6.0516489098474606</v>
      </c>
      <c r="BA229" s="235"/>
      <c r="BB229" s="137">
        <v>803.92008237111452</v>
      </c>
      <c r="BC229" s="235"/>
      <c r="BD229"/>
      <c r="BE229"/>
      <c r="BF229"/>
      <c r="BG229"/>
      <c r="BH229"/>
      <c r="BI229"/>
      <c r="BJ229"/>
      <c r="BK229"/>
      <c r="BL229"/>
      <c r="BM229"/>
      <c r="BN229"/>
      <c r="BO229"/>
      <c r="BP229"/>
      <c r="BQ229"/>
      <c r="BR229"/>
      <c r="BS229"/>
      <c r="BT229"/>
      <c r="BU229"/>
      <c r="BV229"/>
      <c r="BW229"/>
      <c r="BX229"/>
      <c r="BY229"/>
      <c r="BZ229"/>
      <c r="CA229"/>
      <c r="CB229"/>
      <c r="CC229"/>
      <c r="CD229"/>
      <c r="CE229"/>
      <c r="CF229"/>
      <c r="CG229"/>
    </row>
    <row r="230" spans="1:85" ht="14.4">
      <c r="A230" s="158" t="s">
        <v>376</v>
      </c>
      <c r="B230" s="160">
        <v>0.92048827330493788</v>
      </c>
      <c r="C230" s="159"/>
      <c r="D230" s="137">
        <v>30.354020555693218</v>
      </c>
      <c r="E230" s="137"/>
      <c r="F230" s="160">
        <v>57.49953523260443</v>
      </c>
      <c r="G230" s="188">
        <v>53.252000000000002</v>
      </c>
      <c r="H230" s="137">
        <v>21.171086494496706</v>
      </c>
      <c r="I230" s="187">
        <v>93.44</v>
      </c>
      <c r="J230" s="160">
        <v>183.31475711976964</v>
      </c>
      <c r="K230" s="188">
        <v>1215.6279999999999</v>
      </c>
      <c r="L230" s="137">
        <v>6.7055849281820983</v>
      </c>
      <c r="M230" s="137"/>
      <c r="N230" s="160">
        <v>0.92304152897004965</v>
      </c>
      <c r="O230" s="159"/>
      <c r="P230" s="137">
        <v>54.313930023985534</v>
      </c>
      <c r="Q230" s="187">
        <v>53.252000000000002</v>
      </c>
      <c r="R230" s="160">
        <v>21.598319838371225</v>
      </c>
      <c r="S230" s="188">
        <v>93.44</v>
      </c>
      <c r="T230" s="137">
        <v>378.60223887628143</v>
      </c>
      <c r="U230" s="187">
        <v>1215.6279999999999</v>
      </c>
      <c r="V230" s="160">
        <v>6.7968693605314678</v>
      </c>
      <c r="W230" s="159"/>
      <c r="X230" s="160">
        <v>21.070059669066012</v>
      </c>
      <c r="Y230" s="188">
        <v>18.332999999999998</v>
      </c>
      <c r="Z230" s="137">
        <v>21.070059669066012</v>
      </c>
      <c r="AA230" s="188">
        <v>18.332999999999998</v>
      </c>
      <c r="AB230" s="137">
        <v>24.704416623064326</v>
      </c>
      <c r="AC230" s="187">
        <v>130.72499999999999</v>
      </c>
      <c r="AD230" s="160">
        <v>56.575934034173436</v>
      </c>
      <c r="AE230" s="188">
        <v>11.785</v>
      </c>
      <c r="AF230" s="137">
        <v>52.727338935154265</v>
      </c>
      <c r="AG230" s="187">
        <v>197.24600000000001</v>
      </c>
      <c r="AH230" s="160">
        <v>71.403825882275683</v>
      </c>
      <c r="AI230" s="188">
        <v>212.077</v>
      </c>
      <c r="AJ230" s="137">
        <v>56.575934034173436</v>
      </c>
      <c r="AK230" s="187">
        <v>11.785</v>
      </c>
      <c r="AL230" s="160">
        <v>46.600036547222636</v>
      </c>
      <c r="AM230" s="188">
        <v>185.114</v>
      </c>
      <c r="AN230" s="137">
        <v>6.4555151507625457</v>
      </c>
      <c r="AO230" s="235"/>
      <c r="AP230" s="137">
        <v>14.425204224436317</v>
      </c>
      <c r="AQ230" s="137"/>
      <c r="AR230" s="160">
        <v>12.700112456603961</v>
      </c>
      <c r="AS230" s="159"/>
      <c r="AT230" s="137">
        <v>0.4384359045411611</v>
      </c>
      <c r="AU230" s="137"/>
      <c r="AV230" s="160">
        <v>23.762923348864735</v>
      </c>
      <c r="AW230" s="159"/>
      <c r="AX230" s="137">
        <v>69.653267586493385</v>
      </c>
      <c r="AY230" s="137"/>
      <c r="AZ230" s="160">
        <v>6.0173570433433508</v>
      </c>
      <c r="BA230" s="235"/>
      <c r="BB230" s="137">
        <v>454.09286877141437</v>
      </c>
      <c r="BC230" s="235"/>
      <c r="BD230"/>
      <c r="BE230"/>
      <c r="BF230"/>
      <c r="BG230"/>
      <c r="BH230"/>
      <c r="BI230"/>
      <c r="BJ230"/>
      <c r="BK230"/>
      <c r="BL230"/>
      <c r="BM230"/>
      <c r="BN230"/>
      <c r="BO230"/>
      <c r="BP230"/>
      <c r="BQ230"/>
      <c r="BR230"/>
      <c r="BS230"/>
      <c r="BT230"/>
      <c r="BU230"/>
      <c r="BV230"/>
      <c r="BW230"/>
      <c r="BX230"/>
      <c r="BY230"/>
      <c r="BZ230"/>
      <c r="CA230"/>
      <c r="CB230"/>
      <c r="CC230"/>
      <c r="CD230"/>
      <c r="CE230"/>
      <c r="CF230"/>
      <c r="CG230"/>
    </row>
    <row r="231" spans="1:85" ht="14.4">
      <c r="A231" s="158" t="s">
        <v>377</v>
      </c>
      <c r="B231" s="160">
        <v>2.7495904754266727</v>
      </c>
      <c r="C231" s="159"/>
      <c r="D231" s="137">
        <v>102.17564013291201</v>
      </c>
      <c r="E231" s="187">
        <v>55.52</v>
      </c>
      <c r="F231" s="160">
        <v>1791.5104170196362</v>
      </c>
      <c r="G231" s="188">
        <v>1034.191</v>
      </c>
      <c r="H231" s="137">
        <v>147.12536277452676</v>
      </c>
      <c r="I231" s="187">
        <v>2866.7040000000002</v>
      </c>
      <c r="J231" s="160">
        <v>2500.6073471516215</v>
      </c>
      <c r="K231" s="188">
        <v>15059.267</v>
      </c>
      <c r="L231" s="137">
        <v>21.695220049942705</v>
      </c>
      <c r="M231" s="187">
        <v>10.342000000000001</v>
      </c>
      <c r="N231" s="160">
        <v>2.7125254389184827</v>
      </c>
      <c r="O231" s="159"/>
      <c r="P231" s="137">
        <v>1748.9663400670227</v>
      </c>
      <c r="Q231" s="187">
        <v>1034.191</v>
      </c>
      <c r="R231" s="160">
        <v>140.92331269994787</v>
      </c>
      <c r="S231" s="188">
        <v>2866.7040000000002</v>
      </c>
      <c r="T231" s="137">
        <v>3229.5277517706631</v>
      </c>
      <c r="U231" s="187">
        <v>15059.267</v>
      </c>
      <c r="V231" s="160">
        <v>20.370064538142156</v>
      </c>
      <c r="W231" s="188">
        <v>10.342000000000001</v>
      </c>
      <c r="X231" s="160">
        <v>84.474023062544774</v>
      </c>
      <c r="Y231" s="188">
        <v>31.861999999999998</v>
      </c>
      <c r="Z231" s="137">
        <v>84.474023062544774</v>
      </c>
      <c r="AA231" s="188">
        <v>31.861999999999998</v>
      </c>
      <c r="AB231" s="137">
        <v>108.47362180146524</v>
      </c>
      <c r="AC231" s="137"/>
      <c r="AD231" s="160">
        <v>315.53348230713442</v>
      </c>
      <c r="AE231" s="188">
        <v>5.7370000000000001</v>
      </c>
      <c r="AF231" s="137">
        <v>303.19641454006319</v>
      </c>
      <c r="AG231" s="187">
        <v>10.968</v>
      </c>
      <c r="AH231" s="160">
        <v>436.81608326170095</v>
      </c>
      <c r="AI231" s="188">
        <v>11.026</v>
      </c>
      <c r="AJ231" s="137">
        <v>315.53348230713442</v>
      </c>
      <c r="AK231" s="187">
        <v>5.7370000000000001</v>
      </c>
      <c r="AL231" s="160">
        <v>276.73589539666858</v>
      </c>
      <c r="AM231" s="188">
        <v>10.362</v>
      </c>
      <c r="AN231" s="137">
        <v>66.106679781595517</v>
      </c>
      <c r="AO231" s="235"/>
      <c r="AP231" s="137">
        <v>98.978338233513867</v>
      </c>
      <c r="AQ231" s="137"/>
      <c r="AR231" s="160">
        <v>130.05348880016163</v>
      </c>
      <c r="AS231" s="159"/>
      <c r="AT231" s="137">
        <v>0.23925377644050166</v>
      </c>
      <c r="AU231" s="137"/>
      <c r="AV231" s="160">
        <v>1382.8368501582886</v>
      </c>
      <c r="AW231" s="188">
        <v>1614.789</v>
      </c>
      <c r="AX231" s="137">
        <v>713.27324753287905</v>
      </c>
      <c r="AY231" s="137"/>
      <c r="AZ231" s="160">
        <v>17.7531796568746</v>
      </c>
      <c r="BA231" s="235"/>
      <c r="BB231" s="137">
        <v>4650.0660545165138</v>
      </c>
      <c r="BC231" s="235"/>
      <c r="BD231"/>
      <c r="BE231"/>
      <c r="BF231"/>
      <c r="BG231"/>
      <c r="BH231"/>
      <c r="BI231"/>
      <c r="BJ231"/>
      <c r="BK231"/>
      <c r="BL231"/>
      <c r="BM231"/>
      <c r="BN231"/>
      <c r="BO231"/>
      <c r="BP231"/>
      <c r="BQ231"/>
      <c r="BR231"/>
      <c r="BS231"/>
      <c r="BT231"/>
      <c r="BU231"/>
      <c r="BV231"/>
      <c r="BW231"/>
      <c r="BX231"/>
      <c r="BY231"/>
      <c r="BZ231"/>
      <c r="CA231"/>
      <c r="CB231"/>
      <c r="CC231"/>
      <c r="CD231"/>
      <c r="CE231"/>
      <c r="CF231"/>
      <c r="CG231"/>
    </row>
    <row r="232" spans="1:85" ht="14.4">
      <c r="A232" s="158" t="s">
        <v>378</v>
      </c>
      <c r="B232" s="160">
        <v>0.45092511165767818</v>
      </c>
      <c r="C232" s="159"/>
      <c r="D232" s="137">
        <v>4.9167791401030181</v>
      </c>
      <c r="E232" s="137"/>
      <c r="F232" s="160">
        <v>4.8164134273192376</v>
      </c>
      <c r="G232" s="159"/>
      <c r="H232" s="137">
        <v>2.2363490014128447</v>
      </c>
      <c r="I232" s="137"/>
      <c r="J232" s="160">
        <v>7.730163525517205</v>
      </c>
      <c r="K232" s="159"/>
      <c r="L232" s="137">
        <v>2.5780393299388416</v>
      </c>
      <c r="M232" s="137"/>
      <c r="N232" s="160">
        <v>0.45151991739304465</v>
      </c>
      <c r="O232" s="159"/>
      <c r="P232" s="137">
        <v>4.3327881652076643</v>
      </c>
      <c r="Q232" s="137"/>
      <c r="R232" s="160">
        <v>2.3358771633390973</v>
      </c>
      <c r="S232" s="159"/>
      <c r="T232" s="137">
        <v>24.878309588164306</v>
      </c>
      <c r="U232" s="137"/>
      <c r="V232" s="160">
        <v>2.5993049261159102</v>
      </c>
      <c r="W232" s="159"/>
      <c r="X232" s="160">
        <v>3.3183446255873212</v>
      </c>
      <c r="Y232" s="159"/>
      <c r="Z232" s="137">
        <v>3.3183446255873212</v>
      </c>
      <c r="AA232" s="159"/>
      <c r="AB232" s="137">
        <v>3.6014159637139218</v>
      </c>
      <c r="AC232" s="137"/>
      <c r="AD232" s="160">
        <v>7.186544247145159</v>
      </c>
      <c r="AE232" s="159"/>
      <c r="AF232" s="137">
        <v>6.6562103183851775</v>
      </c>
      <c r="AG232" s="137"/>
      <c r="AH232" s="160">
        <v>8.5175271190209827</v>
      </c>
      <c r="AI232" s="159"/>
      <c r="AJ232" s="137">
        <v>7.186544247145159</v>
      </c>
      <c r="AK232" s="137"/>
      <c r="AL232" s="160">
        <v>5.755225216482363</v>
      </c>
      <c r="AM232" s="159"/>
      <c r="AN232" s="137">
        <v>0.34407998592806782</v>
      </c>
      <c r="AO232" s="235"/>
      <c r="AP232" s="137">
        <v>1.5394539660141493</v>
      </c>
      <c r="AQ232" s="137"/>
      <c r="AR232" s="160">
        <v>0.67691801712168376</v>
      </c>
      <c r="AS232" s="159"/>
      <c r="AT232" s="137">
        <v>0.33271872165922006</v>
      </c>
      <c r="AU232" s="137"/>
      <c r="AV232" s="160">
        <v>0.93751504240900529</v>
      </c>
      <c r="AW232" s="159"/>
      <c r="AX232" s="137">
        <v>3.7125302584370217</v>
      </c>
      <c r="AY232" s="137"/>
      <c r="AZ232" s="160">
        <v>1.0142555435690324</v>
      </c>
      <c r="BA232" s="235"/>
      <c r="BB232" s="137">
        <v>24.203222244540491</v>
      </c>
      <c r="BC232" s="235"/>
      <c r="BD232"/>
      <c r="BE232"/>
      <c r="BF232"/>
      <c r="BG232"/>
      <c r="BH232"/>
      <c r="BI232"/>
      <c r="BJ232"/>
      <c r="BK232"/>
      <c r="BL232"/>
      <c r="BM232"/>
      <c r="BN232"/>
      <c r="BO232"/>
      <c r="BP232"/>
      <c r="BQ232"/>
      <c r="BR232"/>
      <c r="BS232"/>
      <c r="BT232"/>
      <c r="BU232"/>
      <c r="BV232"/>
      <c r="BW232"/>
      <c r="BX232"/>
      <c r="BY232"/>
      <c r="BZ232"/>
      <c r="CA232"/>
      <c r="CB232"/>
      <c r="CC232"/>
      <c r="CD232"/>
      <c r="CE232"/>
      <c r="CF232"/>
      <c r="CG232"/>
    </row>
    <row r="233" spans="1:85" ht="14.4">
      <c r="A233" s="158" t="s">
        <v>379</v>
      </c>
      <c r="B233" s="160">
        <v>0.1594405784309007</v>
      </c>
      <c r="C233" s="159"/>
      <c r="D233" s="137">
        <v>12.716411016406635</v>
      </c>
      <c r="E233" s="137"/>
      <c r="F233" s="160">
        <v>8.1851813191733278</v>
      </c>
      <c r="G233" s="159"/>
      <c r="H233" s="137">
        <v>4.6192369153486172</v>
      </c>
      <c r="I233" s="137"/>
      <c r="J233" s="160">
        <v>19.234985770303894</v>
      </c>
      <c r="K233" s="159"/>
      <c r="L233" s="137">
        <v>2.0555747634248416</v>
      </c>
      <c r="M233" s="137"/>
      <c r="N233" s="160">
        <v>0.16290591056157322</v>
      </c>
      <c r="O233" s="159"/>
      <c r="P233" s="137">
        <v>8.2879584607062178</v>
      </c>
      <c r="Q233" s="137"/>
      <c r="R233" s="160">
        <v>5.1990869687737398</v>
      </c>
      <c r="S233" s="159"/>
      <c r="T233" s="137">
        <v>133.76144492357733</v>
      </c>
      <c r="U233" s="137"/>
      <c r="V233" s="160">
        <v>2.1794679092515175</v>
      </c>
      <c r="W233" s="159"/>
      <c r="X233" s="160">
        <v>8.4877278721787839</v>
      </c>
      <c r="Y233" s="159"/>
      <c r="Z233" s="137">
        <v>8.4877278721787839</v>
      </c>
      <c r="AA233" s="159"/>
      <c r="AB233" s="137">
        <v>9.833537411411152</v>
      </c>
      <c r="AC233" s="137"/>
      <c r="AD233" s="160">
        <v>21.15176560699053</v>
      </c>
      <c r="AE233" s="159"/>
      <c r="AF233" s="137">
        <v>19.471281661614647</v>
      </c>
      <c r="AG233" s="137"/>
      <c r="AH233" s="160">
        <v>25.873271824579369</v>
      </c>
      <c r="AI233" s="159"/>
      <c r="AJ233" s="137">
        <v>21.15176560699053</v>
      </c>
      <c r="AK233" s="137"/>
      <c r="AL233" s="160">
        <v>17.023455663826024</v>
      </c>
      <c r="AM233" s="159"/>
      <c r="AN233" s="137">
        <v>1.7998437210482097</v>
      </c>
      <c r="AO233" s="235"/>
      <c r="AP233" s="137">
        <v>5.0154196640432094</v>
      </c>
      <c r="AQ233" s="137"/>
      <c r="AR233" s="160">
        <v>3.5408820408274786</v>
      </c>
      <c r="AS233" s="159"/>
      <c r="AT233" s="137">
        <v>8.2482848808545783E-2</v>
      </c>
      <c r="AU233" s="137"/>
      <c r="AV233" s="160">
        <v>2.0242590817007633</v>
      </c>
      <c r="AW233" s="159"/>
      <c r="AX233" s="137">
        <v>19.419828377481601</v>
      </c>
      <c r="AY233" s="137"/>
      <c r="AZ233" s="160">
        <v>2.5718948598907296</v>
      </c>
      <c r="BA233" s="235"/>
      <c r="BB233" s="137">
        <v>126.60433436275915</v>
      </c>
      <c r="BC233" s="235"/>
      <c r="BD233"/>
      <c r="BE233"/>
      <c r="BF233"/>
      <c r="BG233"/>
      <c r="BH233"/>
      <c r="BI233"/>
      <c r="BJ233"/>
      <c r="BK233"/>
      <c r="BL233"/>
      <c r="BM233"/>
      <c r="BN233"/>
      <c r="BO233"/>
      <c r="BP233"/>
      <c r="BQ233"/>
      <c r="BR233"/>
      <c r="BS233"/>
      <c r="BT233"/>
      <c r="BU233"/>
      <c r="BV233"/>
      <c r="BW233"/>
      <c r="BX233"/>
      <c r="BY233"/>
      <c r="BZ233"/>
      <c r="CA233"/>
      <c r="CB233"/>
      <c r="CC233"/>
      <c r="CD233"/>
      <c r="CE233"/>
      <c r="CF233"/>
      <c r="CG233"/>
    </row>
    <row r="234" spans="1:85" ht="14.4">
      <c r="A234" s="158" t="s">
        <v>380</v>
      </c>
      <c r="B234" s="160">
        <v>9.6779502258074626</v>
      </c>
      <c r="C234" s="159"/>
      <c r="D234" s="137">
        <v>1616.8669373811365</v>
      </c>
      <c r="E234" s="137"/>
      <c r="F234" s="160">
        <v>1651.7332365367338</v>
      </c>
      <c r="G234" s="159"/>
      <c r="H234" s="137">
        <v>554.96299291728667</v>
      </c>
      <c r="I234" s="137"/>
      <c r="J234" s="160">
        <v>4445.311050671572</v>
      </c>
      <c r="K234" s="159"/>
      <c r="L234" s="137">
        <v>211.16797429560816</v>
      </c>
      <c r="M234" s="137"/>
      <c r="N234" s="160">
        <v>9.7876133663346963</v>
      </c>
      <c r="O234" s="159"/>
      <c r="P234" s="137">
        <v>1750.6100612494488</v>
      </c>
      <c r="Q234" s="137"/>
      <c r="R234" s="160">
        <v>573.3128005246582</v>
      </c>
      <c r="S234" s="159"/>
      <c r="T234" s="137">
        <v>13016.588014407585</v>
      </c>
      <c r="U234" s="137"/>
      <c r="V234" s="160">
        <v>215.08866961392823</v>
      </c>
      <c r="W234" s="159"/>
      <c r="X234" s="160">
        <v>1071.8953962395042</v>
      </c>
      <c r="Y234" s="159"/>
      <c r="Z234" s="137">
        <v>1071.8953962395042</v>
      </c>
      <c r="AA234" s="159"/>
      <c r="AB234" s="137">
        <v>1244.0360234313212</v>
      </c>
      <c r="AC234" s="137"/>
      <c r="AD234" s="160">
        <v>2658.3785219082156</v>
      </c>
      <c r="AE234" s="188">
        <v>0.95399999999999996</v>
      </c>
      <c r="AF234" s="137">
        <v>2441.4720259014139</v>
      </c>
      <c r="AG234" s="187">
        <v>2.528</v>
      </c>
      <c r="AH234" s="160">
        <v>3240.2409767371728</v>
      </c>
      <c r="AI234" s="188">
        <v>2.4489999999999998</v>
      </c>
      <c r="AJ234" s="137">
        <v>2658.3785219082156</v>
      </c>
      <c r="AK234" s="187">
        <v>0.95399999999999996</v>
      </c>
      <c r="AL234" s="160">
        <v>2131.7423538818157</v>
      </c>
      <c r="AM234" s="188">
        <v>2.1800000000000002</v>
      </c>
      <c r="AN234" s="137">
        <v>217.83958204049031</v>
      </c>
      <c r="AO234" s="235"/>
      <c r="AP234" s="137">
        <v>625.19451634584357</v>
      </c>
      <c r="AQ234" s="137"/>
      <c r="AR234" s="160">
        <v>428.56179945407354</v>
      </c>
      <c r="AS234" s="159"/>
      <c r="AT234" s="137">
        <v>2.5349717940182863</v>
      </c>
      <c r="AU234" s="137"/>
      <c r="AV234" s="160">
        <v>946.20662158542848</v>
      </c>
      <c r="AW234" s="159"/>
      <c r="AX234" s="137">
        <v>2350.4303443550648</v>
      </c>
      <c r="AY234" s="137"/>
      <c r="AZ234" s="160">
        <v>327.63203027575287</v>
      </c>
      <c r="BA234" s="230">
        <v>2029.3720000000001</v>
      </c>
      <c r="BB234" s="137">
        <v>15323.238878782193</v>
      </c>
      <c r="BC234" s="235"/>
      <c r="BD234"/>
      <c r="BE234"/>
      <c r="BF234"/>
      <c r="BG234"/>
      <c r="BH234"/>
      <c r="BI234"/>
      <c r="BJ234"/>
      <c r="BK234"/>
      <c r="BL234"/>
      <c r="BM234"/>
      <c r="BN234"/>
      <c r="BO234"/>
      <c r="BP234"/>
      <c r="BQ234"/>
      <c r="BR234"/>
      <c r="BS234"/>
      <c r="BT234"/>
      <c r="BU234"/>
      <c r="BV234"/>
      <c r="BW234"/>
      <c r="BX234"/>
      <c r="BY234"/>
      <c r="BZ234"/>
      <c r="CA234"/>
      <c r="CB234"/>
      <c r="CC234"/>
      <c r="CD234"/>
      <c r="CE234"/>
      <c r="CF234"/>
      <c r="CG234"/>
    </row>
    <row r="235" spans="1:85" ht="14.4">
      <c r="A235" s="158" t="s">
        <v>381</v>
      </c>
      <c r="B235" s="160">
        <v>0.17901936667111853</v>
      </c>
      <c r="C235" s="159"/>
      <c r="D235" s="137">
        <v>16.495185992529191</v>
      </c>
      <c r="E235" s="137"/>
      <c r="F235" s="160">
        <v>14.183584737322324</v>
      </c>
      <c r="G235" s="159"/>
      <c r="H235" s="137">
        <v>6.0082337180265268</v>
      </c>
      <c r="I235" s="137"/>
      <c r="J235" s="160">
        <v>59.675086777741434</v>
      </c>
      <c r="K235" s="159"/>
      <c r="L235" s="137">
        <v>2.092872547874157</v>
      </c>
      <c r="M235" s="137"/>
      <c r="N235" s="160">
        <v>0.17857389419831909</v>
      </c>
      <c r="O235" s="159"/>
      <c r="P235" s="137">
        <v>13.813047855355933</v>
      </c>
      <c r="Q235" s="137"/>
      <c r="R235" s="160">
        <v>5.9336933197582544</v>
      </c>
      <c r="S235" s="159"/>
      <c r="T235" s="137">
        <v>108.32300767718611</v>
      </c>
      <c r="U235" s="137"/>
      <c r="V235" s="160">
        <v>2.0769459399897929</v>
      </c>
      <c r="W235" s="159"/>
      <c r="X235" s="160">
        <v>10.881217980830755</v>
      </c>
      <c r="Y235" s="159"/>
      <c r="Z235" s="137">
        <v>10.881217980830755</v>
      </c>
      <c r="AA235" s="159"/>
      <c r="AB235" s="137">
        <v>12.603309626549567</v>
      </c>
      <c r="AC235" s="137"/>
      <c r="AD235" s="160">
        <v>26.684426108015771</v>
      </c>
      <c r="AE235" s="188">
        <v>0.80700000000000005</v>
      </c>
      <c r="AF235" s="137">
        <v>24.475774065881076</v>
      </c>
      <c r="AG235" s="187">
        <v>1.9330000000000001</v>
      </c>
      <c r="AH235" s="160">
        <v>32.370141615092436</v>
      </c>
      <c r="AI235" s="188">
        <v>1.952</v>
      </c>
      <c r="AJ235" s="137">
        <v>26.684426108015771</v>
      </c>
      <c r="AK235" s="187">
        <v>0.80700000000000005</v>
      </c>
      <c r="AL235" s="160">
        <v>21.330247800492877</v>
      </c>
      <c r="AM235" s="188">
        <v>1.5129999999999999</v>
      </c>
      <c r="AN235" s="137">
        <v>2.0676429557418072</v>
      </c>
      <c r="AO235" s="235"/>
      <c r="AP235" s="137">
        <v>6.2023771245673007</v>
      </c>
      <c r="AQ235" s="137"/>
      <c r="AR235" s="160">
        <v>4.067730838634021</v>
      </c>
      <c r="AS235" s="159"/>
      <c r="AT235" s="137">
        <v>1.9604885638519282E-2</v>
      </c>
      <c r="AU235" s="137"/>
      <c r="AV235" s="160">
        <v>5.7724971334811315</v>
      </c>
      <c r="AW235" s="159"/>
      <c r="AX235" s="137">
        <v>22.309309901100661</v>
      </c>
      <c r="AY235" s="137"/>
      <c r="AZ235" s="160">
        <v>3.3512084220005054</v>
      </c>
      <c r="BA235" s="235"/>
      <c r="BB235" s="137">
        <v>145.44182755994274</v>
      </c>
      <c r="BC235" s="235"/>
      <c r="BD235"/>
      <c r="BE235"/>
      <c r="BF235"/>
      <c r="BG235"/>
      <c r="BH235"/>
      <c r="BI235"/>
      <c r="BJ235"/>
      <c r="BK235"/>
      <c r="BL235"/>
      <c r="BM235"/>
      <c r="BN235"/>
      <c r="BO235"/>
      <c r="BP235"/>
      <c r="BQ235"/>
      <c r="BR235"/>
      <c r="BS235"/>
      <c r="BT235"/>
      <c r="BU235"/>
      <c r="BV235"/>
      <c r="BW235"/>
      <c r="BX235"/>
      <c r="BY235"/>
      <c r="BZ235"/>
      <c r="CA235"/>
      <c r="CB235"/>
      <c r="CC235"/>
      <c r="CD235"/>
      <c r="CE235"/>
      <c r="CF235"/>
      <c r="CG235"/>
    </row>
    <row r="236" spans="1:85" ht="14.4">
      <c r="A236" s="158" t="s">
        <v>382</v>
      </c>
      <c r="B236" s="160">
        <v>0</v>
      </c>
      <c r="C236" s="107"/>
      <c r="D236" s="137">
        <v>0</v>
      </c>
      <c r="E236" s="106"/>
      <c r="F236" s="160">
        <v>0</v>
      </c>
      <c r="G236" s="159"/>
      <c r="H236" s="137">
        <v>0</v>
      </c>
      <c r="I236" s="137"/>
      <c r="J236" s="186">
        <v>32.114066162375508</v>
      </c>
      <c r="K236" s="159"/>
      <c r="L236" s="137">
        <v>0</v>
      </c>
      <c r="M236" s="106"/>
      <c r="N236" s="160">
        <v>0</v>
      </c>
      <c r="O236" s="159"/>
      <c r="P236" s="137">
        <v>0</v>
      </c>
      <c r="Q236" s="137"/>
      <c r="R236" s="160">
        <v>0</v>
      </c>
      <c r="S236" s="159"/>
      <c r="T236" s="137">
        <v>32.114066162375508</v>
      </c>
      <c r="U236" s="137"/>
      <c r="V236" s="160">
        <v>0</v>
      </c>
      <c r="W236" s="159"/>
      <c r="X236" s="160">
        <v>0</v>
      </c>
      <c r="Y236" s="159"/>
      <c r="Z236" s="137">
        <v>0</v>
      </c>
      <c r="AA236" s="159"/>
      <c r="AB236" s="137">
        <v>0</v>
      </c>
      <c r="AC236" s="137"/>
      <c r="AD236" s="160">
        <v>0</v>
      </c>
      <c r="AE236" s="159"/>
      <c r="AF236" s="137">
        <v>0</v>
      </c>
      <c r="AG236" s="137"/>
      <c r="AH236" s="160">
        <v>0</v>
      </c>
      <c r="AI236" s="159"/>
      <c r="AJ236" s="137">
        <v>0</v>
      </c>
      <c r="AK236" s="137"/>
      <c r="AL236" s="160">
        <v>0</v>
      </c>
      <c r="AM236" s="159"/>
      <c r="AN236" s="137">
        <v>0</v>
      </c>
      <c r="AO236" s="235"/>
      <c r="AP236" s="137">
        <v>0</v>
      </c>
      <c r="AQ236" s="137"/>
      <c r="AR236" s="160">
        <v>0</v>
      </c>
      <c r="AS236" s="159"/>
      <c r="AT236" s="137">
        <v>0</v>
      </c>
      <c r="AU236" s="137"/>
      <c r="AV236" s="160">
        <v>0</v>
      </c>
      <c r="AW236" s="159"/>
      <c r="AX236" s="137">
        <v>0</v>
      </c>
      <c r="AY236" s="137"/>
      <c r="AZ236" s="160">
        <v>0</v>
      </c>
      <c r="BA236" s="235"/>
      <c r="BB236" s="137">
        <v>0</v>
      </c>
      <c r="BC236" s="235"/>
      <c r="BD236"/>
      <c r="BE236"/>
      <c r="BF236"/>
      <c r="BG236"/>
      <c r="BH236"/>
      <c r="BI236"/>
      <c r="BJ236"/>
      <c r="BK236"/>
      <c r="BL236"/>
      <c r="BM236"/>
      <c r="BN236"/>
      <c r="BO236"/>
      <c r="BP236"/>
      <c r="BQ236"/>
      <c r="BR236"/>
      <c r="BS236"/>
      <c r="BT236"/>
      <c r="BU236"/>
      <c r="BV236"/>
      <c r="BW236"/>
      <c r="BX236"/>
      <c r="BY236"/>
      <c r="BZ236"/>
      <c r="CA236"/>
      <c r="CB236"/>
      <c r="CC236"/>
      <c r="CD236"/>
      <c r="CE236"/>
      <c r="CF236"/>
      <c r="CG236"/>
    </row>
    <row r="237" spans="1:85" ht="14.4">
      <c r="A237" s="158" t="s">
        <v>383</v>
      </c>
      <c r="B237" s="160">
        <v>0</v>
      </c>
      <c r="C237" s="107"/>
      <c r="D237" s="137">
        <v>0</v>
      </c>
      <c r="E237" s="106"/>
      <c r="F237" s="160">
        <v>0</v>
      </c>
      <c r="G237" s="159"/>
      <c r="H237" s="137">
        <v>0</v>
      </c>
      <c r="I237" s="137"/>
      <c r="J237" s="186">
        <v>5.0079881616657165</v>
      </c>
      <c r="K237" s="159"/>
      <c r="L237" s="137">
        <v>0</v>
      </c>
      <c r="M237" s="106"/>
      <c r="N237" s="160">
        <v>0</v>
      </c>
      <c r="O237" s="159"/>
      <c r="P237" s="137">
        <v>0</v>
      </c>
      <c r="Q237" s="137"/>
      <c r="R237" s="160">
        <v>0</v>
      </c>
      <c r="S237" s="159"/>
      <c r="T237" s="137">
        <v>5.0079881616657165</v>
      </c>
      <c r="U237" s="137"/>
      <c r="V237" s="160">
        <v>0</v>
      </c>
      <c r="W237" s="159"/>
      <c r="X237" s="160">
        <v>0</v>
      </c>
      <c r="Y237" s="159"/>
      <c r="Z237" s="137">
        <v>0</v>
      </c>
      <c r="AA237" s="159"/>
      <c r="AB237" s="137">
        <v>0</v>
      </c>
      <c r="AC237" s="137"/>
      <c r="AD237" s="160">
        <v>0</v>
      </c>
      <c r="AE237" s="159"/>
      <c r="AF237" s="137">
        <v>0</v>
      </c>
      <c r="AG237" s="137"/>
      <c r="AH237" s="160">
        <v>0</v>
      </c>
      <c r="AI237" s="159"/>
      <c r="AJ237" s="137">
        <v>0</v>
      </c>
      <c r="AK237" s="137"/>
      <c r="AL237" s="160">
        <v>0</v>
      </c>
      <c r="AM237" s="159"/>
      <c r="AN237" s="137">
        <v>0</v>
      </c>
      <c r="AO237" s="235"/>
      <c r="AP237" s="137">
        <v>0</v>
      </c>
      <c r="AQ237" s="137"/>
      <c r="AR237" s="160">
        <v>0</v>
      </c>
      <c r="AS237" s="159"/>
      <c r="AT237" s="137">
        <v>0</v>
      </c>
      <c r="AU237" s="137"/>
      <c r="AV237" s="160">
        <v>0</v>
      </c>
      <c r="AW237" s="159"/>
      <c r="AX237" s="137">
        <v>0</v>
      </c>
      <c r="AY237" s="137"/>
      <c r="AZ237" s="160">
        <v>0</v>
      </c>
      <c r="BA237" s="235"/>
      <c r="BB237" s="137">
        <v>0</v>
      </c>
      <c r="BC237" s="235"/>
      <c r="BD237"/>
      <c r="BE237"/>
      <c r="BF237"/>
      <c r="BG237"/>
      <c r="BH237"/>
      <c r="BI237"/>
      <c r="BJ237"/>
      <c r="BK237"/>
      <c r="BL237"/>
      <c r="BM237"/>
      <c r="BN237"/>
      <c r="BO237"/>
      <c r="BP237"/>
      <c r="BQ237"/>
      <c r="BR237"/>
      <c r="BS237"/>
      <c r="BT237"/>
      <c r="BU237"/>
      <c r="BV237"/>
      <c r="BW237"/>
      <c r="BX237"/>
      <c r="BY237"/>
      <c r="BZ237"/>
      <c r="CA237"/>
      <c r="CB237"/>
      <c r="CC237"/>
      <c r="CD237"/>
      <c r="CE237"/>
      <c r="CF237"/>
      <c r="CG237"/>
    </row>
    <row r="238" spans="1:85" ht="14.4">
      <c r="A238" s="162" t="s">
        <v>384</v>
      </c>
      <c r="B238" s="246">
        <v>7644.3546259961222</v>
      </c>
      <c r="C238" s="110"/>
      <c r="D238" s="139">
        <v>513243.14486046403</v>
      </c>
      <c r="E238" s="111">
        <v>167829</v>
      </c>
      <c r="F238" s="246">
        <v>984887.41499399778</v>
      </c>
      <c r="G238" s="247">
        <v>215003</v>
      </c>
      <c r="H238" s="139">
        <v>242650.00145177252</v>
      </c>
      <c r="I238" s="197">
        <v>214096</v>
      </c>
      <c r="J238" s="246">
        <v>2635356.3739297828</v>
      </c>
      <c r="K238" s="247">
        <v>1363499</v>
      </c>
      <c r="L238" s="139">
        <v>78646.149781168453</v>
      </c>
      <c r="M238" s="112"/>
      <c r="N238" s="246">
        <v>7653.3776809610918</v>
      </c>
      <c r="O238" s="248"/>
      <c r="P238" s="139">
        <v>1013065.0440635654</v>
      </c>
      <c r="Q238" s="197">
        <v>215003</v>
      </c>
      <c r="R238" s="246">
        <v>244159.81889673986</v>
      </c>
      <c r="S238" s="247">
        <v>214096</v>
      </c>
      <c r="T238" s="139">
        <v>5749022.1565165063</v>
      </c>
      <c r="U238" s="197">
        <v>1363499</v>
      </c>
      <c r="V238" s="246">
        <v>78968.743582403913</v>
      </c>
      <c r="W238" s="248"/>
      <c r="X238" s="246">
        <v>351727.20312003762</v>
      </c>
      <c r="Y238" s="248"/>
      <c r="Z238" s="139">
        <v>351727.20312003762</v>
      </c>
      <c r="AA238" s="248"/>
      <c r="AB238" s="139">
        <v>414552.4654388153</v>
      </c>
      <c r="AC238" s="139"/>
      <c r="AD238" s="246">
        <v>940984.14314853109</v>
      </c>
      <c r="AE238" s="248"/>
      <c r="AF238" s="139">
        <v>873341.24316799245</v>
      </c>
      <c r="AG238" s="139"/>
      <c r="AH238" s="246">
        <v>1181224.803361035</v>
      </c>
      <c r="AI238" s="248"/>
      <c r="AJ238" s="139">
        <v>940984.14314853109</v>
      </c>
      <c r="AK238" s="139"/>
      <c r="AL238" s="246">
        <v>770475.29847908486</v>
      </c>
      <c r="AM238" s="248"/>
      <c r="AN238" s="139">
        <v>103607.2928194258</v>
      </c>
      <c r="AO238" s="228"/>
      <c r="AP238" s="139">
        <v>237607.88764114361</v>
      </c>
      <c r="AQ238" s="139"/>
      <c r="AR238" s="246">
        <v>203829.47594439064</v>
      </c>
      <c r="AS238" s="248"/>
      <c r="AT238" s="139">
        <v>1858.9549870198275</v>
      </c>
      <c r="AU238" s="197">
        <v>116</v>
      </c>
      <c r="AV238" s="246">
        <v>637824.19767377502</v>
      </c>
      <c r="AW238" s="247">
        <v>1341189</v>
      </c>
      <c r="AX238" s="139">
        <v>1117894.7492379742</v>
      </c>
      <c r="AY238" s="197">
        <v>1420379</v>
      </c>
      <c r="AZ238" s="246">
        <v>102057.62395323187</v>
      </c>
      <c r="BA238" s="247">
        <v>891</v>
      </c>
      <c r="BB238" s="139">
        <v>7287928.4957538433</v>
      </c>
      <c r="BC238" s="228"/>
      <c r="BD238"/>
      <c r="BE238"/>
      <c r="BF238"/>
      <c r="BG238"/>
      <c r="BH238"/>
      <c r="BI238"/>
      <c r="BJ238"/>
      <c r="BK238"/>
      <c r="BL238"/>
      <c r="BM238"/>
      <c r="BN238"/>
      <c r="BO238"/>
      <c r="BP238"/>
      <c r="BQ238"/>
      <c r="BR238"/>
      <c r="BS238"/>
      <c r="BT238"/>
      <c r="BU238"/>
      <c r="BV238"/>
      <c r="BW238"/>
      <c r="BX238"/>
      <c r="BY238"/>
      <c r="BZ238"/>
      <c r="CA238"/>
      <c r="CB238"/>
      <c r="CC238"/>
      <c r="CD238"/>
      <c r="CE238"/>
      <c r="CF238"/>
      <c r="CG238"/>
    </row>
    <row r="239" spans="1:85" ht="14.4">
      <c r="A239" s="145" t="s">
        <v>385</v>
      </c>
      <c r="B239" s="113"/>
      <c r="C239" s="114"/>
      <c r="D239" s="113"/>
      <c r="E239" s="114"/>
      <c r="F239" s="113"/>
      <c r="G239" s="155"/>
      <c r="H239" s="113"/>
      <c r="I239" s="114"/>
      <c r="J239" s="113"/>
      <c r="K239" s="114"/>
      <c r="L239" s="113"/>
      <c r="M239" s="114"/>
      <c r="N239" s="113"/>
      <c r="O239" s="155"/>
      <c r="P239" s="113"/>
      <c r="Q239" s="155"/>
      <c r="R239" s="113"/>
      <c r="S239" s="155"/>
      <c r="T239" s="113"/>
      <c r="U239" s="155"/>
      <c r="V239" s="113"/>
      <c r="W239" s="155"/>
      <c r="X239" s="113"/>
      <c r="Y239" s="155"/>
      <c r="Z239" s="113"/>
      <c r="AA239" s="155"/>
      <c r="AB239" s="113"/>
      <c r="AC239" s="155"/>
      <c r="AD239" s="113"/>
      <c r="AE239" s="155"/>
      <c r="AF239" s="113"/>
      <c r="AG239" s="114"/>
      <c r="AH239" s="113"/>
      <c r="AI239" s="114"/>
      <c r="AJ239" s="113"/>
      <c r="AK239" s="114"/>
      <c r="AL239" s="113"/>
      <c r="AM239" s="114"/>
      <c r="AN239" s="113"/>
      <c r="AO239" s="226"/>
      <c r="AP239" s="113"/>
      <c r="AQ239" s="155"/>
      <c r="AR239" s="113"/>
      <c r="AS239" s="155"/>
      <c r="AT239" s="113"/>
      <c r="AU239" s="155"/>
      <c r="AV239" s="113"/>
      <c r="AW239" s="155"/>
      <c r="AX239" s="113"/>
      <c r="AY239" s="155"/>
      <c r="AZ239" s="113"/>
      <c r="BA239" s="226"/>
      <c r="BB239" s="113"/>
      <c r="BC239" s="226"/>
      <c r="BD239"/>
      <c r="BE239"/>
      <c r="BF239"/>
      <c r="BG239"/>
      <c r="BH239"/>
      <c r="BI239"/>
      <c r="BJ239"/>
      <c r="BK239"/>
      <c r="BL239"/>
      <c r="BM239"/>
      <c r="BN239"/>
      <c r="BO239"/>
      <c r="BP239"/>
      <c r="BQ239"/>
      <c r="BR239"/>
      <c r="BS239"/>
      <c r="BT239"/>
      <c r="BU239"/>
      <c r="BV239"/>
      <c r="BW239"/>
      <c r="BX239"/>
      <c r="BY239"/>
      <c r="BZ239"/>
      <c r="CA239"/>
      <c r="CB239"/>
      <c r="CC239"/>
      <c r="CD239"/>
      <c r="CE239"/>
      <c r="CF239"/>
      <c r="CG239"/>
    </row>
    <row r="240" spans="1:85" ht="14.4">
      <c r="A240" s="158" t="s">
        <v>372</v>
      </c>
      <c r="B240" s="160">
        <v>0.20574518676395331</v>
      </c>
      <c r="C240" s="107">
        <v>0</v>
      </c>
      <c r="D240" s="160">
        <v>4.5960358382262134</v>
      </c>
      <c r="E240" s="107">
        <v>0</v>
      </c>
      <c r="F240" s="160">
        <v>4.2908028056814631</v>
      </c>
      <c r="G240" s="107">
        <v>0</v>
      </c>
      <c r="H240" s="160">
        <v>2.8219243548295374</v>
      </c>
      <c r="I240" s="107">
        <v>0</v>
      </c>
      <c r="J240" s="160">
        <v>15.947510959083727</v>
      </c>
      <c r="K240" s="107">
        <v>0</v>
      </c>
      <c r="L240" s="160">
        <v>0.90849981184809958</v>
      </c>
      <c r="M240" s="107">
        <v>0</v>
      </c>
      <c r="N240" s="160">
        <v>0.20669815213592491</v>
      </c>
      <c r="O240" s="107">
        <v>0</v>
      </c>
      <c r="P240" s="160">
        <v>4.3078276036892635</v>
      </c>
      <c r="Q240" s="107">
        <v>0</v>
      </c>
      <c r="R240" s="160">
        <v>2.9813829582225675</v>
      </c>
      <c r="S240" s="107">
        <v>0</v>
      </c>
      <c r="T240" s="160">
        <v>56.015174870817269</v>
      </c>
      <c r="U240" s="107">
        <v>0</v>
      </c>
      <c r="V240" s="160">
        <v>0.94257039248665397</v>
      </c>
      <c r="W240" s="107">
        <v>0</v>
      </c>
      <c r="X240" s="160">
        <v>3.1460694022919462</v>
      </c>
      <c r="Y240" s="107">
        <v>0</v>
      </c>
      <c r="Z240" s="160">
        <v>3.1460694022919462</v>
      </c>
      <c r="AA240" s="107">
        <v>0</v>
      </c>
      <c r="AB240" s="160">
        <v>3.6662920779863084</v>
      </c>
      <c r="AC240" s="107">
        <v>0</v>
      </c>
      <c r="AD240" s="160">
        <v>8.1992086611315731</v>
      </c>
      <c r="AE240" s="107">
        <v>0</v>
      </c>
      <c r="AF240" s="160">
        <v>7.6284750431917736</v>
      </c>
      <c r="AG240" s="107">
        <v>0</v>
      </c>
      <c r="AH240" s="160">
        <v>10.276507187875659</v>
      </c>
      <c r="AI240" s="107">
        <v>0</v>
      </c>
      <c r="AJ240" s="160">
        <v>8.1992086611315731</v>
      </c>
      <c r="AK240" s="107">
        <v>0</v>
      </c>
      <c r="AL240" s="160">
        <v>6.7162434918008547</v>
      </c>
      <c r="AM240" s="107">
        <v>0</v>
      </c>
      <c r="AN240" s="160">
        <v>0.84719175070111841</v>
      </c>
      <c r="AO240" s="107">
        <v>0</v>
      </c>
      <c r="AP240" s="160">
        <v>2.0361735899118369</v>
      </c>
      <c r="AQ240" s="107">
        <v>0</v>
      </c>
      <c r="AR240" s="160">
        <v>1.6667036254946213</v>
      </c>
      <c r="AS240" s="107">
        <v>0</v>
      </c>
      <c r="AT240" s="160">
        <v>5.2092470676317018E-2</v>
      </c>
      <c r="AU240" s="107">
        <v>0</v>
      </c>
      <c r="AV240" s="160">
        <v>0.52961006282694278</v>
      </c>
      <c r="AW240" s="107">
        <v>0</v>
      </c>
      <c r="AX240" s="160">
        <v>9.1409705237364953</v>
      </c>
      <c r="AY240" s="107">
        <v>0</v>
      </c>
      <c r="AZ240" s="160">
        <v>0.91845917854700387</v>
      </c>
      <c r="BA240" s="107">
        <v>0</v>
      </c>
      <c r="BB240" s="160">
        <v>59.593033784438624</v>
      </c>
      <c r="BC240" s="107">
        <v>0</v>
      </c>
      <c r="BD240"/>
      <c r="BE240"/>
      <c r="BF240"/>
      <c r="BG240"/>
      <c r="BH240"/>
      <c r="BI240"/>
      <c r="BJ240"/>
      <c r="BK240"/>
      <c r="BL240"/>
      <c r="BM240"/>
      <c r="BN240"/>
      <c r="BO240"/>
      <c r="BP240"/>
      <c r="BQ240"/>
      <c r="BR240"/>
      <c r="BS240"/>
      <c r="BT240"/>
      <c r="BU240"/>
      <c r="BV240"/>
      <c r="BW240"/>
      <c r="BX240"/>
      <c r="BY240"/>
      <c r="BZ240"/>
      <c r="CA240"/>
      <c r="CB240"/>
      <c r="CC240"/>
      <c r="CD240"/>
      <c r="CE240"/>
      <c r="CF240"/>
      <c r="CG240"/>
    </row>
    <row r="241" spans="1:85" ht="14.4">
      <c r="A241" s="158" t="s">
        <v>373</v>
      </c>
      <c r="B241" s="160">
        <v>0.18840891051218056</v>
      </c>
      <c r="C241" s="107">
        <v>0</v>
      </c>
      <c r="D241" s="160">
        <v>23.99019911456103</v>
      </c>
      <c r="E241" s="107">
        <v>0</v>
      </c>
      <c r="F241" s="160">
        <v>11.292904404130853</v>
      </c>
      <c r="G241" s="107">
        <v>0</v>
      </c>
      <c r="H241" s="160">
        <v>13.487476840363186</v>
      </c>
      <c r="I241" s="107">
        <v>0</v>
      </c>
      <c r="J241" s="160">
        <v>290.75362249713805</v>
      </c>
      <c r="K241" s="107">
        <v>0</v>
      </c>
      <c r="L241" s="160">
        <v>4.1990421307987722</v>
      </c>
      <c r="M241" s="107">
        <v>0</v>
      </c>
      <c r="N241" s="160">
        <v>0.18307796834943835</v>
      </c>
      <c r="O241" s="107">
        <v>0</v>
      </c>
      <c r="P241" s="160">
        <v>14.424216714832715</v>
      </c>
      <c r="Q241" s="107">
        <v>0</v>
      </c>
      <c r="R241" s="160">
        <v>12.595456398653777</v>
      </c>
      <c r="S241" s="107">
        <v>0</v>
      </c>
      <c r="T241" s="160">
        <v>470.11237108079973</v>
      </c>
      <c r="U241" s="107">
        <v>0</v>
      </c>
      <c r="V241" s="160">
        <v>4.008449376668155</v>
      </c>
      <c r="W241" s="107">
        <v>0</v>
      </c>
      <c r="X241" s="160">
        <v>17.950636903068695</v>
      </c>
      <c r="Y241" s="107">
        <v>0</v>
      </c>
      <c r="Z241" s="160">
        <v>17.950636903068695</v>
      </c>
      <c r="AA241" s="107">
        <v>0</v>
      </c>
      <c r="AB241" s="160">
        <v>22.09713858389453</v>
      </c>
      <c r="AC241" s="107">
        <v>0</v>
      </c>
      <c r="AD241" s="160">
        <v>57.424142578305165</v>
      </c>
      <c r="AE241" s="107">
        <v>0</v>
      </c>
      <c r="AF241" s="160">
        <v>54.383499089595304</v>
      </c>
      <c r="AG241" s="107">
        <v>0</v>
      </c>
      <c r="AH241" s="160">
        <v>76.381947898560583</v>
      </c>
      <c r="AI241" s="107">
        <v>0</v>
      </c>
      <c r="AJ241" s="160">
        <v>57.424142578305165</v>
      </c>
      <c r="AK241" s="107">
        <v>0</v>
      </c>
      <c r="AL241" s="160">
        <v>48.949647128389685</v>
      </c>
      <c r="AM241" s="107">
        <v>0</v>
      </c>
      <c r="AN241" s="160">
        <v>9.6108435845026445</v>
      </c>
      <c r="AO241" s="107">
        <v>0</v>
      </c>
      <c r="AP241" s="160">
        <v>16.523807760614876</v>
      </c>
      <c r="AQ241" s="107">
        <v>0</v>
      </c>
      <c r="AR241" s="160">
        <v>18.907676843047348</v>
      </c>
      <c r="AS241" s="107">
        <v>0</v>
      </c>
      <c r="AT241" s="160">
        <v>5.5136773926089129E-2</v>
      </c>
      <c r="AU241" s="107">
        <v>0</v>
      </c>
      <c r="AV241" s="160">
        <v>2.0732802481124954</v>
      </c>
      <c r="AW241" s="107">
        <v>0</v>
      </c>
      <c r="AX241" s="160">
        <v>103.69841047375145</v>
      </c>
      <c r="AY241" s="107">
        <v>0</v>
      </c>
      <c r="AZ241" s="160">
        <v>4.5015859371782465</v>
      </c>
      <c r="BA241" s="107">
        <v>0</v>
      </c>
      <c r="BB241" s="160">
        <v>676.04450344828558</v>
      </c>
      <c r="BC241" s="107">
        <v>0</v>
      </c>
      <c r="BD241"/>
      <c r="BE241"/>
      <c r="BF241"/>
      <c r="BG241"/>
      <c r="BH241"/>
      <c r="BI241"/>
      <c r="BJ241"/>
      <c r="BK241"/>
      <c r="BL241"/>
      <c r="BM241"/>
      <c r="BN241"/>
      <c r="BO241"/>
      <c r="BP241"/>
      <c r="BQ241"/>
      <c r="BR241"/>
      <c r="BS241"/>
      <c r="BT241"/>
      <c r="BU241"/>
      <c r="BV241"/>
      <c r="BW241"/>
      <c r="BX241"/>
      <c r="BY241"/>
      <c r="BZ241"/>
      <c r="CA241"/>
      <c r="CB241"/>
      <c r="CC241"/>
      <c r="CD241"/>
      <c r="CE241"/>
      <c r="CF241"/>
      <c r="CG241"/>
    </row>
    <row r="242" spans="1:85" ht="14.4">
      <c r="A242" s="158" t="s">
        <v>374</v>
      </c>
      <c r="B242" s="160">
        <v>0.3183689298461107</v>
      </c>
      <c r="C242" s="107">
        <v>0</v>
      </c>
      <c r="D242" s="160">
        <v>30.730490483849163</v>
      </c>
      <c r="E242" s="107">
        <v>0</v>
      </c>
      <c r="F242" s="160">
        <v>19.356726582883987</v>
      </c>
      <c r="G242" s="107">
        <v>0</v>
      </c>
      <c r="H242" s="160">
        <v>24.052845761294186</v>
      </c>
      <c r="I242" s="107">
        <v>0</v>
      </c>
      <c r="J242" s="160">
        <v>686.29841129312581</v>
      </c>
      <c r="K242" s="107">
        <v>0</v>
      </c>
      <c r="L242" s="160">
        <v>6.6895716859441734</v>
      </c>
      <c r="M242" s="107">
        <v>0</v>
      </c>
      <c r="N242" s="160">
        <v>0.29942683902446376</v>
      </c>
      <c r="O242" s="107">
        <v>0</v>
      </c>
      <c r="P242" s="160">
        <v>24.431855923782805</v>
      </c>
      <c r="Q242" s="107">
        <v>0</v>
      </c>
      <c r="R242" s="160">
        <v>20.883287415732681</v>
      </c>
      <c r="S242" s="107">
        <v>0</v>
      </c>
      <c r="T242" s="160">
        <v>898.8197747273349</v>
      </c>
      <c r="U242" s="107">
        <v>0</v>
      </c>
      <c r="V242" s="160">
        <v>6.0123508216996271</v>
      </c>
      <c r="W242" s="107">
        <v>0</v>
      </c>
      <c r="X242" s="160">
        <v>25.464574017339181</v>
      </c>
      <c r="Y242" s="107">
        <v>0</v>
      </c>
      <c r="Z242" s="160">
        <v>25.464574017339181</v>
      </c>
      <c r="AA242" s="107">
        <v>0</v>
      </c>
      <c r="AB242" s="160">
        <v>32.701394772511165</v>
      </c>
      <c r="AC242" s="107">
        <v>0</v>
      </c>
      <c r="AD242" s="160">
        <v>95.279369487169049</v>
      </c>
      <c r="AE242" s="107">
        <v>0</v>
      </c>
      <c r="AF242" s="160">
        <v>91.585735749554971</v>
      </c>
      <c r="AG242" s="107">
        <v>0</v>
      </c>
      <c r="AH242" s="160">
        <v>132.00213408632231</v>
      </c>
      <c r="AI242" s="107">
        <v>0</v>
      </c>
      <c r="AJ242" s="160">
        <v>95.279369487169049</v>
      </c>
      <c r="AK242" s="107">
        <v>0</v>
      </c>
      <c r="AL242" s="160">
        <v>83.613065318485695</v>
      </c>
      <c r="AM242" s="107">
        <v>0</v>
      </c>
      <c r="AN242" s="160">
        <v>20.016815641013032</v>
      </c>
      <c r="AO242" s="107">
        <v>0</v>
      </c>
      <c r="AP242" s="160">
        <v>29.92165967002337</v>
      </c>
      <c r="AQ242" s="107">
        <v>0</v>
      </c>
      <c r="AR242" s="160">
        <v>39.379631791886638</v>
      </c>
      <c r="AS242" s="107">
        <v>0</v>
      </c>
      <c r="AT242" s="160">
        <v>9.5595127474007668E-2</v>
      </c>
      <c r="AU242" s="107">
        <v>0</v>
      </c>
      <c r="AV242" s="160">
        <v>5.4915153651732487</v>
      </c>
      <c r="AW242" s="107">
        <v>0</v>
      </c>
      <c r="AX242" s="160">
        <v>215.97604273429599</v>
      </c>
      <c r="AY242" s="107">
        <v>0</v>
      </c>
      <c r="AZ242" s="160">
        <v>5.3318894295914392</v>
      </c>
      <c r="BA242" s="107">
        <v>0</v>
      </c>
      <c r="BB242" s="160">
        <v>1408.0198134183677</v>
      </c>
      <c r="BC242" s="107">
        <v>0</v>
      </c>
      <c r="BD242"/>
      <c r="BE242"/>
      <c r="BF242"/>
      <c r="BG242"/>
      <c r="BH242"/>
      <c r="BI242"/>
      <c r="BJ242"/>
      <c r="BK242"/>
      <c r="BL242"/>
      <c r="BM242"/>
      <c r="BN242"/>
      <c r="BO242"/>
      <c r="BP242"/>
      <c r="BQ242"/>
      <c r="BR242"/>
      <c r="BS242"/>
      <c r="BT242"/>
      <c r="BU242"/>
      <c r="BV242"/>
      <c r="BW242"/>
      <c r="BX242"/>
      <c r="BY242"/>
      <c r="BZ242"/>
      <c r="CA242"/>
      <c r="CB242"/>
      <c r="CC242"/>
      <c r="CD242"/>
      <c r="CE242"/>
      <c r="CF242"/>
      <c r="CG242"/>
    </row>
    <row r="243" spans="1:85" ht="14.4">
      <c r="A243" s="158" t="s">
        <v>375</v>
      </c>
      <c r="B243" s="160">
        <v>4.9020198173474597E-2</v>
      </c>
      <c r="C243" s="107">
        <v>0</v>
      </c>
      <c r="D243" s="160">
        <v>0.7006677631299606</v>
      </c>
      <c r="E243" s="107">
        <v>0</v>
      </c>
      <c r="F243" s="160">
        <v>1.389327957236141</v>
      </c>
      <c r="G243" s="107">
        <v>0</v>
      </c>
      <c r="H243" s="160">
        <v>2.2963092331934254</v>
      </c>
      <c r="I243" s="107">
        <v>0</v>
      </c>
      <c r="J243" s="160">
        <v>74.034420312811662</v>
      </c>
      <c r="K243" s="107">
        <v>0</v>
      </c>
      <c r="L243" s="160">
        <v>0.49785973034187525</v>
      </c>
      <c r="M243" s="107">
        <v>0</v>
      </c>
      <c r="N243" s="160">
        <v>4.7269394964034782E-2</v>
      </c>
      <c r="O243" s="107">
        <v>0</v>
      </c>
      <c r="P243" s="160">
        <v>2.0415078443327648</v>
      </c>
      <c r="Q243" s="107">
        <v>0</v>
      </c>
      <c r="R243" s="160">
        <v>2.0033493389470021</v>
      </c>
      <c r="S243" s="107">
        <v>0</v>
      </c>
      <c r="T243" s="160">
        <v>106.34447214601271</v>
      </c>
      <c r="U243" s="107">
        <v>0</v>
      </c>
      <c r="V243" s="160">
        <v>0.43526471515675286</v>
      </c>
      <c r="W243" s="107">
        <v>0</v>
      </c>
      <c r="X243" s="160">
        <v>1.1686377877879006</v>
      </c>
      <c r="Y243" s="107">
        <v>0</v>
      </c>
      <c r="Z243" s="160">
        <v>1.1686377877879006</v>
      </c>
      <c r="AA243" s="107">
        <v>0</v>
      </c>
      <c r="AB243" s="160">
        <v>1.7838035695156793</v>
      </c>
      <c r="AC243" s="107">
        <v>0</v>
      </c>
      <c r="AD243" s="160">
        <v>7.3024975086830866</v>
      </c>
      <c r="AE243" s="107">
        <v>0</v>
      </c>
      <c r="AF243" s="160">
        <v>7.2752632599165112</v>
      </c>
      <c r="AG243" s="107">
        <v>0</v>
      </c>
      <c r="AH243" s="160">
        <v>11.095117142860978</v>
      </c>
      <c r="AI243" s="107">
        <v>0</v>
      </c>
      <c r="AJ243" s="160">
        <v>7.3024975086830866</v>
      </c>
      <c r="AK243" s="107">
        <v>0</v>
      </c>
      <c r="AL243" s="160">
        <v>6.8542013860817548</v>
      </c>
      <c r="AM243" s="107">
        <v>0</v>
      </c>
      <c r="AN243" s="160">
        <v>2.2763063031724413</v>
      </c>
      <c r="AO243" s="107">
        <v>0</v>
      </c>
      <c r="AP243" s="160">
        <v>2.7500355368962652</v>
      </c>
      <c r="AQ243" s="107">
        <v>0</v>
      </c>
      <c r="AR243" s="160">
        <v>4.4782399794308541</v>
      </c>
      <c r="AS243" s="107">
        <v>0</v>
      </c>
      <c r="AT243" s="160">
        <v>1.3935286276640134E-2</v>
      </c>
      <c r="AU243" s="107">
        <v>0</v>
      </c>
      <c r="AV243" s="160">
        <v>0.47065384227193408</v>
      </c>
      <c r="AW243" s="107">
        <v>0</v>
      </c>
      <c r="AX243" s="160">
        <v>24.560731148615286</v>
      </c>
      <c r="AY243" s="107">
        <v>0</v>
      </c>
      <c r="AZ243" s="160">
        <v>1.895886834511059E-2</v>
      </c>
      <c r="BA243" s="107">
        <v>0</v>
      </c>
      <c r="BB243" s="160">
        <v>160.11959313393109</v>
      </c>
      <c r="BC243" s="107">
        <v>0</v>
      </c>
      <c r="BD243"/>
      <c r="BE243"/>
      <c r="BF243"/>
      <c r="BG243"/>
      <c r="BH243"/>
      <c r="BI243"/>
      <c r="BJ243"/>
      <c r="BK243"/>
      <c r="BL243"/>
      <c r="BM243"/>
      <c r="BN243"/>
      <c r="BO243"/>
      <c r="BP243"/>
      <c r="BQ243"/>
      <c r="BR243"/>
      <c r="BS243"/>
      <c r="BT243"/>
      <c r="BU243"/>
      <c r="BV243"/>
      <c r="BW243"/>
      <c r="BX243"/>
      <c r="BY243"/>
      <c r="BZ243"/>
      <c r="CA243"/>
      <c r="CB243"/>
      <c r="CC243"/>
      <c r="CD243"/>
      <c r="CE243"/>
      <c r="CF243"/>
      <c r="CG243"/>
    </row>
    <row r="244" spans="1:85" ht="14.4">
      <c r="A244" s="158" t="s">
        <v>376</v>
      </c>
      <c r="B244" s="160">
        <v>4.1989348056209436E-2</v>
      </c>
      <c r="C244" s="107">
        <v>0</v>
      </c>
      <c r="D244" s="160">
        <v>0.5951448648025256</v>
      </c>
      <c r="E244" s="107">
        <v>0</v>
      </c>
      <c r="F244" s="160">
        <v>1.1830663825339915</v>
      </c>
      <c r="G244" s="107">
        <v>0</v>
      </c>
      <c r="H244" s="160">
        <v>1.9333301971671495</v>
      </c>
      <c r="I244" s="107">
        <v>0</v>
      </c>
      <c r="J244" s="160">
        <v>58.147620429761282</v>
      </c>
      <c r="K244" s="107">
        <v>0</v>
      </c>
      <c r="L244" s="160">
        <v>0.41872975038997062</v>
      </c>
      <c r="M244" s="107">
        <v>0</v>
      </c>
      <c r="N244" s="160">
        <v>4.0916321995105913E-2</v>
      </c>
      <c r="O244" s="107">
        <v>0</v>
      </c>
      <c r="P244" s="160">
        <v>1.7886478524104095</v>
      </c>
      <c r="Q244" s="107">
        <v>0</v>
      </c>
      <c r="R244" s="160">
        <v>1.7537819762765083</v>
      </c>
      <c r="S244" s="107">
        <v>0</v>
      </c>
      <c r="T244" s="160">
        <v>92.998584382590309</v>
      </c>
      <c r="U244" s="107">
        <v>0</v>
      </c>
      <c r="V244" s="160">
        <v>0.38036673950064437</v>
      </c>
      <c r="W244" s="107">
        <v>0</v>
      </c>
      <c r="X244" s="160">
        <v>0.98350201632459555</v>
      </c>
      <c r="Y244" s="107">
        <v>0</v>
      </c>
      <c r="Z244" s="160">
        <v>0.98350201632459555</v>
      </c>
      <c r="AA244" s="107">
        <v>0</v>
      </c>
      <c r="AB244" s="160">
        <v>1.4987335812657923</v>
      </c>
      <c r="AC244" s="107">
        <v>0</v>
      </c>
      <c r="AD244" s="160">
        <v>6.1215643367116312</v>
      </c>
      <c r="AE244" s="107">
        <v>0</v>
      </c>
      <c r="AF244" s="160">
        <v>6.0978646745460665</v>
      </c>
      <c r="AG244" s="107">
        <v>0</v>
      </c>
      <c r="AH244" s="160">
        <v>9.296887283156007</v>
      </c>
      <c r="AI244" s="107">
        <v>0</v>
      </c>
      <c r="AJ244" s="160">
        <v>6.1215643367116312</v>
      </c>
      <c r="AK244" s="107">
        <v>0</v>
      </c>
      <c r="AL244" s="160">
        <v>5.7439965964772366</v>
      </c>
      <c r="AM244" s="107">
        <v>0</v>
      </c>
      <c r="AN244" s="160">
        <v>1.9046978148157776</v>
      </c>
      <c r="AO244" s="107">
        <v>0</v>
      </c>
      <c r="AP244" s="160">
        <v>2.3031604086734938</v>
      </c>
      <c r="AQ244" s="107">
        <v>0</v>
      </c>
      <c r="AR244" s="160">
        <v>3.7471643825591232</v>
      </c>
      <c r="AS244" s="107">
        <v>0</v>
      </c>
      <c r="AT244" s="160">
        <v>1.1865607931980701E-2</v>
      </c>
      <c r="AU244" s="107">
        <v>0</v>
      </c>
      <c r="AV244" s="160">
        <v>0.39827538517147204</v>
      </c>
      <c r="AW244" s="107">
        <v>0</v>
      </c>
      <c r="AX244" s="160">
        <v>20.551175772719137</v>
      </c>
      <c r="AY244" s="107">
        <v>0</v>
      </c>
      <c r="AZ244" s="160">
        <v>1.772679053423112E-2</v>
      </c>
      <c r="BA244" s="107">
        <v>0</v>
      </c>
      <c r="BB244" s="160">
        <v>133.97996514192593</v>
      </c>
      <c r="BC244" s="107">
        <v>0</v>
      </c>
      <c r="BD244"/>
      <c r="BE244"/>
      <c r="BF244"/>
      <c r="BG244"/>
      <c r="BH244"/>
      <c r="BI244"/>
      <c r="BJ244"/>
      <c r="BK244"/>
      <c r="BL244"/>
      <c r="BM244"/>
      <c r="BN244"/>
      <c r="BO244"/>
      <c r="BP244"/>
      <c r="BQ244"/>
      <c r="BR244"/>
      <c r="BS244"/>
      <c r="BT244"/>
      <c r="BU244"/>
      <c r="BV244"/>
      <c r="BW244"/>
      <c r="BX244"/>
      <c r="BY244"/>
      <c r="BZ244"/>
      <c r="CA244"/>
      <c r="CB244"/>
      <c r="CC244"/>
      <c r="CD244"/>
      <c r="CE244"/>
      <c r="CF244"/>
      <c r="CG244"/>
    </row>
    <row r="245" spans="1:85" ht="14.4">
      <c r="A245" s="158" t="s">
        <v>377</v>
      </c>
      <c r="B245" s="160">
        <v>0.18479548821673186</v>
      </c>
      <c r="C245" s="107">
        <v>0</v>
      </c>
      <c r="D245" s="160">
        <v>6.4230530493521298</v>
      </c>
      <c r="E245" s="107">
        <v>0</v>
      </c>
      <c r="F245" s="160">
        <v>9.2035327119158108</v>
      </c>
      <c r="G245" s="107">
        <v>0</v>
      </c>
      <c r="H245" s="160">
        <v>18.574200979823836</v>
      </c>
      <c r="I245" s="107">
        <v>0</v>
      </c>
      <c r="J245" s="160">
        <v>877.59039623663682</v>
      </c>
      <c r="K245" s="107">
        <v>0</v>
      </c>
      <c r="L245" s="160">
        <v>4.0218487380468897</v>
      </c>
      <c r="M245" s="107">
        <v>0</v>
      </c>
      <c r="N245" s="160">
        <v>0.14568864086472388</v>
      </c>
      <c r="O245" s="107">
        <v>0</v>
      </c>
      <c r="P245" s="160">
        <v>11.42454666202876</v>
      </c>
      <c r="Q245" s="107">
        <v>0</v>
      </c>
      <c r="R245" s="160">
        <v>12.030497037094044</v>
      </c>
      <c r="S245" s="107">
        <v>0</v>
      </c>
      <c r="T245" s="160">
        <v>687.97482219361882</v>
      </c>
      <c r="U245" s="107">
        <v>0</v>
      </c>
      <c r="V245" s="160">
        <v>2.6236940564453923</v>
      </c>
      <c r="W245" s="107">
        <v>0</v>
      </c>
      <c r="X245" s="160">
        <v>10.372769874922396</v>
      </c>
      <c r="Y245" s="107">
        <v>0</v>
      </c>
      <c r="Z245" s="160">
        <v>10.372769874922396</v>
      </c>
      <c r="AA245" s="107">
        <v>0</v>
      </c>
      <c r="AB245" s="160">
        <v>15.822355887537931</v>
      </c>
      <c r="AC245" s="107">
        <v>0</v>
      </c>
      <c r="AD245" s="160">
        <v>64.324146737881748</v>
      </c>
      <c r="AE245" s="107">
        <v>0</v>
      </c>
      <c r="AF245" s="160">
        <v>63.9763583459318</v>
      </c>
      <c r="AG245" s="107">
        <v>0</v>
      </c>
      <c r="AH245" s="160">
        <v>97.466610662845099</v>
      </c>
      <c r="AI245" s="107">
        <v>0</v>
      </c>
      <c r="AJ245" s="160">
        <v>64.324146737881748</v>
      </c>
      <c r="AK245" s="107">
        <v>0</v>
      </c>
      <c r="AL245" s="160">
        <v>60.240082704675977</v>
      </c>
      <c r="AM245" s="107">
        <v>0</v>
      </c>
      <c r="AN245" s="160">
        <v>19.938196124710153</v>
      </c>
      <c r="AO245" s="107">
        <v>0</v>
      </c>
      <c r="AP245" s="160">
        <v>24.154378549271776</v>
      </c>
      <c r="AQ245" s="107">
        <v>0</v>
      </c>
      <c r="AR245" s="160">
        <v>39.224961455745849</v>
      </c>
      <c r="AS245" s="107">
        <v>0</v>
      </c>
      <c r="AT245" s="160">
        <v>6.1812903489539578E-2</v>
      </c>
      <c r="AU245" s="107">
        <v>0</v>
      </c>
      <c r="AV245" s="160">
        <v>3.5670127023295928</v>
      </c>
      <c r="AW245" s="107">
        <v>0</v>
      </c>
      <c r="AX245" s="160">
        <v>215.12775935509603</v>
      </c>
      <c r="AY245" s="107">
        <v>0</v>
      </c>
      <c r="AZ245" s="160">
        <v>0.2261647588349987</v>
      </c>
      <c r="BA245" s="107">
        <v>0</v>
      </c>
      <c r="BB245" s="160">
        <v>1402.4895713128747</v>
      </c>
      <c r="BC245" s="107">
        <v>0</v>
      </c>
      <c r="BD245"/>
      <c r="BE245"/>
      <c r="BF245"/>
      <c r="BG245"/>
      <c r="BH245"/>
      <c r="BI245"/>
      <c r="BJ245"/>
      <c r="BK245"/>
      <c r="BL245"/>
      <c r="BM245"/>
      <c r="BN245"/>
      <c r="BO245"/>
      <c r="BP245"/>
      <c r="BQ245"/>
      <c r="BR245"/>
      <c r="BS245"/>
      <c r="BT245"/>
      <c r="BU245"/>
      <c r="BV245"/>
      <c r="BW245"/>
      <c r="BX245"/>
      <c r="BY245"/>
      <c r="BZ245"/>
      <c r="CA245"/>
      <c r="CB245"/>
      <c r="CC245"/>
      <c r="CD245"/>
      <c r="CE245"/>
      <c r="CF245"/>
      <c r="CG245"/>
    </row>
    <row r="246" spans="1:85" ht="14.4">
      <c r="A246" s="158" t="s">
        <v>378</v>
      </c>
      <c r="B246" s="160">
        <v>4.3809203193679409E-3</v>
      </c>
      <c r="C246" s="107">
        <v>0</v>
      </c>
      <c r="D246" s="160">
        <v>3.6904124158857937E-2</v>
      </c>
      <c r="E246" s="107">
        <v>0</v>
      </c>
      <c r="F246" s="160">
        <v>9.1635216005078443E-2</v>
      </c>
      <c r="G246" s="107">
        <v>0</v>
      </c>
      <c r="H246" s="160">
        <v>0.10468851225021271</v>
      </c>
      <c r="I246" s="107">
        <v>0</v>
      </c>
      <c r="J246" s="160">
        <v>2.5391446381115612</v>
      </c>
      <c r="K246" s="107">
        <v>0</v>
      </c>
      <c r="L246" s="160">
        <v>2.4123031638416646E-2</v>
      </c>
      <c r="M246" s="107">
        <v>0</v>
      </c>
      <c r="N246" s="160">
        <v>4.3543399010805587E-3</v>
      </c>
      <c r="O246" s="107">
        <v>0</v>
      </c>
      <c r="P246" s="160">
        <v>0.11380755297018853</v>
      </c>
      <c r="Q246" s="107">
        <v>0</v>
      </c>
      <c r="R246" s="160">
        <v>0.10024084132494142</v>
      </c>
      <c r="S246" s="107">
        <v>0</v>
      </c>
      <c r="T246" s="160">
        <v>4.5413947214518338</v>
      </c>
      <c r="U246" s="107">
        <v>0</v>
      </c>
      <c r="V246" s="160">
        <v>2.3172723986845729E-2</v>
      </c>
      <c r="W246" s="107">
        <v>0</v>
      </c>
      <c r="X246" s="160">
        <v>5.1679053602659411E-2</v>
      </c>
      <c r="Y246" s="107">
        <v>0</v>
      </c>
      <c r="Z246" s="160">
        <v>5.1679053602659411E-2</v>
      </c>
      <c r="AA246" s="107">
        <v>0</v>
      </c>
      <c r="AB246" s="160">
        <v>7.5854849017481019E-2</v>
      </c>
      <c r="AC246" s="107">
        <v>0</v>
      </c>
      <c r="AD246" s="160">
        <v>0.29519389405707191</v>
      </c>
      <c r="AE246" s="107">
        <v>0</v>
      </c>
      <c r="AF246" s="160">
        <v>0.29328916483036954</v>
      </c>
      <c r="AG246" s="107">
        <v>0</v>
      </c>
      <c r="AH246" s="160">
        <v>0.44417368063600876</v>
      </c>
      <c r="AI246" s="107">
        <v>0</v>
      </c>
      <c r="AJ246" s="160">
        <v>0.29519389405707191</v>
      </c>
      <c r="AK246" s="107">
        <v>0</v>
      </c>
      <c r="AL246" s="160">
        <v>0.27527388304581879</v>
      </c>
      <c r="AM246" s="107">
        <v>0</v>
      </c>
      <c r="AN246" s="160">
        <v>8.8167987172188184E-2</v>
      </c>
      <c r="AO246" s="107">
        <v>0</v>
      </c>
      <c r="AP246" s="160">
        <v>0.10879795135512428</v>
      </c>
      <c r="AQ246" s="107">
        <v>0</v>
      </c>
      <c r="AR246" s="160">
        <v>0.17345530542623508</v>
      </c>
      <c r="AS246" s="107">
        <v>0</v>
      </c>
      <c r="AT246" s="160">
        <v>1.1713970802974282E-3</v>
      </c>
      <c r="AU246" s="107">
        <v>0</v>
      </c>
      <c r="AV246" s="160">
        <v>2.2590400870077944E-2</v>
      </c>
      <c r="AW246" s="107">
        <v>0</v>
      </c>
      <c r="AX246" s="160">
        <v>0.95130880489708436</v>
      </c>
      <c r="AY246" s="107">
        <v>0</v>
      </c>
      <c r="AZ246" s="160">
        <v>2.7872757299034281E-3</v>
      </c>
      <c r="BA246" s="107">
        <v>0</v>
      </c>
      <c r="BB246" s="160">
        <v>6.2018991968582036</v>
      </c>
      <c r="BC246" s="107">
        <v>0</v>
      </c>
      <c r="BD246"/>
      <c r="BE246"/>
      <c r="BF246"/>
      <c r="BG246"/>
      <c r="BH246"/>
      <c r="BI246"/>
      <c r="BJ246"/>
      <c r="BK246"/>
      <c r="BL246"/>
      <c r="BM246"/>
      <c r="BN246"/>
      <c r="BO246"/>
      <c r="BP246"/>
      <c r="BQ246"/>
      <c r="BR246"/>
      <c r="BS246"/>
      <c r="BT246"/>
      <c r="BU246"/>
      <c r="BV246"/>
      <c r="BW246"/>
      <c r="BX246"/>
      <c r="BY246"/>
      <c r="BZ246"/>
      <c r="CA246"/>
      <c r="CB246"/>
      <c r="CC246"/>
      <c r="CD246"/>
      <c r="CE246"/>
      <c r="CF246"/>
      <c r="CG246"/>
    </row>
    <row r="247" spans="1:85" ht="14.4">
      <c r="A247" s="162" t="s">
        <v>379</v>
      </c>
      <c r="B247" s="165">
        <v>8.3543733890772513E-3</v>
      </c>
      <c r="C247" s="109">
        <v>0</v>
      </c>
      <c r="D247" s="165">
        <v>0.17271155550338113</v>
      </c>
      <c r="E247" s="109">
        <v>0</v>
      </c>
      <c r="F247" s="165">
        <v>0.26236363028659809</v>
      </c>
      <c r="G247" s="109">
        <v>0</v>
      </c>
      <c r="H247" s="165">
        <v>0.50916611462469907</v>
      </c>
      <c r="I247" s="109">
        <v>0</v>
      </c>
      <c r="J247" s="165">
        <v>6.2336128886444175</v>
      </c>
      <c r="K247" s="109">
        <v>0</v>
      </c>
      <c r="L247" s="165">
        <v>0.11155600555897521</v>
      </c>
      <c r="M247" s="109">
        <v>0</v>
      </c>
      <c r="N247" s="165">
        <v>9.0348459934581071E-3</v>
      </c>
      <c r="O247" s="109">
        <v>0</v>
      </c>
      <c r="P247" s="165">
        <v>0.61565886940840164</v>
      </c>
      <c r="Q247" s="109">
        <v>0</v>
      </c>
      <c r="R247" s="165">
        <v>0.62302881555085765</v>
      </c>
      <c r="S247" s="109">
        <v>0</v>
      </c>
      <c r="T247" s="165">
        <v>35.597676479330467</v>
      </c>
      <c r="U247" s="109">
        <v>0</v>
      </c>
      <c r="V247" s="165">
        <v>0.13588437825935878</v>
      </c>
      <c r="W247" s="109">
        <v>0</v>
      </c>
      <c r="X247" s="165">
        <v>0.27561873917362018</v>
      </c>
      <c r="Y247" s="109">
        <v>0</v>
      </c>
      <c r="Z247" s="165">
        <v>0.27561873917362018</v>
      </c>
      <c r="AA247" s="109">
        <v>0</v>
      </c>
      <c r="AB247" s="165">
        <v>0.4187327896752584</v>
      </c>
      <c r="AC247" s="109">
        <v>0</v>
      </c>
      <c r="AD247" s="165">
        <v>1.6964286898483367</v>
      </c>
      <c r="AE247" s="109">
        <v>0</v>
      </c>
      <c r="AF247" s="165">
        <v>1.6873099137862542</v>
      </c>
      <c r="AG247" s="109">
        <v>0</v>
      </c>
      <c r="AH247" s="165">
        <v>2.5691930537692134</v>
      </c>
      <c r="AI247" s="109">
        <v>0</v>
      </c>
      <c r="AJ247" s="165">
        <v>1.6964286898483367</v>
      </c>
      <c r="AK247" s="109">
        <v>0</v>
      </c>
      <c r="AL247" s="165">
        <v>1.588384723147795</v>
      </c>
      <c r="AM247" s="109">
        <v>0</v>
      </c>
      <c r="AN247" s="165">
        <v>0.52434534751293804</v>
      </c>
      <c r="AO247" s="109">
        <v>0</v>
      </c>
      <c r="AP247" s="165">
        <v>0.63611116202432016</v>
      </c>
      <c r="AQ247" s="109">
        <v>0</v>
      </c>
      <c r="AR247" s="165">
        <v>1.0315590195346047</v>
      </c>
      <c r="AS247" s="109">
        <v>0</v>
      </c>
      <c r="AT247" s="165">
        <v>2.511098732977923E-3</v>
      </c>
      <c r="AU247" s="109">
        <v>0</v>
      </c>
      <c r="AV247" s="165">
        <v>0.12261814235061341</v>
      </c>
      <c r="AW247" s="109">
        <v>0</v>
      </c>
      <c r="AX247" s="165">
        <v>5.6575448968991102</v>
      </c>
      <c r="AY247" s="109">
        <v>0</v>
      </c>
      <c r="AZ247" s="165">
        <v>6.7455561319772336E-3</v>
      </c>
      <c r="BA247" s="109">
        <v>0</v>
      </c>
      <c r="BB247" s="165">
        <v>36.883421000254174</v>
      </c>
      <c r="BC247" s="109">
        <v>0</v>
      </c>
      <c r="BD247"/>
      <c r="BE247"/>
      <c r="BF247"/>
      <c r="BG247"/>
      <c r="BH247"/>
      <c r="BI247"/>
      <c r="BJ247"/>
      <c r="BK247"/>
      <c r="BL247"/>
      <c r="BM247"/>
      <c r="BN247"/>
      <c r="BO247"/>
      <c r="BP247"/>
      <c r="BQ247"/>
      <c r="BR247"/>
      <c r="BS247"/>
      <c r="BT247"/>
      <c r="BU247"/>
      <c r="BV247"/>
      <c r="BW247"/>
      <c r="BX247"/>
      <c r="BY247"/>
      <c r="BZ247"/>
      <c r="CA247"/>
      <c r="CB247"/>
      <c r="CC247"/>
      <c r="CD247"/>
      <c r="CE247"/>
      <c r="CF247"/>
      <c r="CG247"/>
    </row>
    <row r="248" spans="1:85" ht="14.4">
      <c r="A248"/>
      <c r="B248"/>
      <c r="C248"/>
      <c r="D248" s="138"/>
      <c r="E248"/>
      <c r="F248" s="138"/>
      <c r="G248"/>
      <c r="H248" s="138"/>
      <c r="I248"/>
      <c r="J248" s="138"/>
      <c r="K248"/>
      <c r="L248" s="13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row>
    <row r="249" spans="1:85" ht="14.4">
      <c r="A249" s="144" t="s">
        <v>386</v>
      </c>
      <c r="B249"/>
      <c r="C249"/>
      <c r="D249"/>
      <c r="E249"/>
      <c r="F249"/>
      <c r="G249"/>
      <c r="H249"/>
      <c r="I249"/>
      <c r="J249"/>
      <c r="K249"/>
      <c r="L249"/>
      <c r="M249"/>
      <c r="N249"/>
      <c r="O249"/>
      <c r="P249"/>
      <c r="Q249"/>
      <c r="R249"/>
      <c r="S249"/>
      <c r="T249"/>
      <c r="U249"/>
      <c r="V249"/>
      <c r="W249"/>
      <c r="X249"/>
      <c r="Y249"/>
      <c r="Z249"/>
      <c r="AA249"/>
      <c r="AB249"/>
      <c r="AC249"/>
      <c r="AD249"/>
      <c r="AE249"/>
      <c r="AF249"/>
      <c r="AG249" s="1250"/>
      <c r="AH249" s="1250"/>
      <c r="AI249" s="1250"/>
      <c r="AJ249" s="1250"/>
      <c r="AK249" s="1250"/>
      <c r="AL249" s="1250"/>
      <c r="AM249" s="1250"/>
      <c r="AN249" s="1250"/>
      <c r="AO249" s="1250"/>
      <c r="AP249" s="1250"/>
      <c r="AQ249" s="1250"/>
      <c r="AR249" s="1250"/>
      <c r="AS249" s="1250"/>
      <c r="AT249" s="1250"/>
      <c r="AU249" s="1250"/>
      <c r="AV249" s="1250"/>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row>
    <row r="250" spans="1:85" ht="14.4">
      <c r="A250" s="143" t="s">
        <v>387</v>
      </c>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row>
    <row r="251" spans="1:85" ht="43.2">
      <c r="A251" s="167"/>
      <c r="B251" s="147" t="s">
        <v>251</v>
      </c>
      <c r="C251" s="148" t="s">
        <v>252</v>
      </c>
      <c r="D251" s="148" t="s">
        <v>253</v>
      </c>
      <c r="E251" s="148" t="s">
        <v>87</v>
      </c>
      <c r="F251" s="148" t="s">
        <v>254</v>
      </c>
      <c r="G251" s="148" t="s">
        <v>249</v>
      </c>
      <c r="H251" s="148" t="s">
        <v>255</v>
      </c>
      <c r="I251" s="148" t="s">
        <v>256</v>
      </c>
      <c r="J251" s="148" t="s">
        <v>257</v>
      </c>
      <c r="K251" s="148" t="s">
        <v>258</v>
      </c>
      <c r="L251" s="148" t="s">
        <v>259</v>
      </c>
      <c r="M251" s="148" t="s">
        <v>260</v>
      </c>
      <c r="N251" s="148" t="s">
        <v>261</v>
      </c>
      <c r="O251" s="148" t="s">
        <v>262</v>
      </c>
      <c r="P251" s="148" t="s">
        <v>263</v>
      </c>
      <c r="Q251" s="148" t="s">
        <v>264</v>
      </c>
      <c r="R251" s="148" t="s">
        <v>265</v>
      </c>
      <c r="S251" s="148" t="s">
        <v>266</v>
      </c>
      <c r="T251" s="148" t="s">
        <v>267</v>
      </c>
      <c r="U251" s="148" t="s">
        <v>244</v>
      </c>
      <c r="V251" s="148" t="s">
        <v>268</v>
      </c>
      <c r="W251" s="148" t="s">
        <v>269</v>
      </c>
      <c r="X251" s="148" t="s">
        <v>270</v>
      </c>
      <c r="Y251" s="148" t="s">
        <v>271</v>
      </c>
      <c r="Z251" s="148" t="s">
        <v>272</v>
      </c>
      <c r="AA251" s="148" t="s">
        <v>245</v>
      </c>
      <c r="AB251" s="148" t="s">
        <v>273</v>
      </c>
      <c r="AC251" s="148" t="s">
        <v>274</v>
      </c>
      <c r="AD251" s="148" t="s">
        <v>275</v>
      </c>
      <c r="AE251" s="148" t="s">
        <v>276</v>
      </c>
      <c r="AF251" s="148" t="s">
        <v>277</v>
      </c>
      <c r="AG251" s="148" t="s">
        <v>278</v>
      </c>
      <c r="AH251" s="148" t="s">
        <v>243</v>
      </c>
      <c r="AI251" s="148" t="s">
        <v>242</v>
      </c>
      <c r="AJ251" s="148" t="s">
        <v>279</v>
      </c>
      <c r="AK251" s="148" t="s">
        <v>280</v>
      </c>
      <c r="AL251" s="148" t="s">
        <v>281</v>
      </c>
      <c r="AM251" s="148" t="s">
        <v>282</v>
      </c>
      <c r="AN251" s="148" t="s">
        <v>283</v>
      </c>
      <c r="AO251" s="148" t="s">
        <v>284</v>
      </c>
      <c r="AP251" s="148" t="s">
        <v>285</v>
      </c>
      <c r="AQ251" s="148" t="s">
        <v>286</v>
      </c>
      <c r="AR251" s="148" t="s">
        <v>287</v>
      </c>
      <c r="AS251" s="148" t="s">
        <v>288</v>
      </c>
      <c r="AT251" s="148" t="s">
        <v>289</v>
      </c>
      <c r="AU251" s="148" t="s">
        <v>290</v>
      </c>
      <c r="AV251" s="148" t="s">
        <v>291</v>
      </c>
      <c r="AW251" s="148" t="s">
        <v>86</v>
      </c>
      <c r="AX251" s="148" t="s">
        <v>292</v>
      </c>
      <c r="AY251" s="148" t="s">
        <v>293</v>
      </c>
      <c r="AZ251" s="148" t="s">
        <v>294</v>
      </c>
      <c r="BA251" s="148" t="s">
        <v>295</v>
      </c>
      <c r="BB251" s="148" t="s">
        <v>246</v>
      </c>
      <c r="BC251" s="148" t="s">
        <v>296</v>
      </c>
      <c r="BD251" s="148" t="s">
        <v>297</v>
      </c>
      <c r="BE251" s="148" t="s">
        <v>298</v>
      </c>
      <c r="BF251" s="149" t="s">
        <v>299</v>
      </c>
      <c r="BG251"/>
      <c r="BH251"/>
      <c r="BI251"/>
      <c r="BJ251"/>
      <c r="BK251"/>
      <c r="BL251"/>
      <c r="BM251"/>
      <c r="BN251"/>
      <c r="BO251"/>
      <c r="BP251"/>
      <c r="BQ251"/>
      <c r="BR251"/>
      <c r="BS251"/>
      <c r="BT251"/>
      <c r="BU251"/>
      <c r="BV251"/>
      <c r="BW251"/>
      <c r="BX251"/>
      <c r="BY251"/>
      <c r="BZ251"/>
      <c r="CA251"/>
      <c r="CB251"/>
      <c r="CC251"/>
      <c r="CD251"/>
      <c r="CE251"/>
      <c r="CF251"/>
      <c r="CG251"/>
    </row>
    <row r="252" spans="1:85" ht="14.4">
      <c r="A252" s="249" t="s">
        <v>388</v>
      </c>
      <c r="B252" s="115"/>
      <c r="C252" s="236"/>
      <c r="D252" s="116"/>
      <c r="E252" s="236"/>
      <c r="F252" s="116"/>
      <c r="G252" s="236"/>
      <c r="H252" s="116"/>
      <c r="I252" s="236"/>
      <c r="J252" s="116"/>
      <c r="K252" s="236"/>
      <c r="L252" s="116"/>
      <c r="M252" s="236"/>
      <c r="N252" s="116"/>
      <c r="O252" s="236"/>
      <c r="P252" s="116"/>
      <c r="Q252" s="236"/>
      <c r="R252" s="116"/>
      <c r="S252" s="236"/>
      <c r="T252" s="116"/>
      <c r="U252" s="236"/>
      <c r="V252" s="116"/>
      <c r="W252" s="236"/>
      <c r="X252" s="116"/>
      <c r="Y252" s="236"/>
      <c r="Z252" s="116"/>
      <c r="AA252" s="236"/>
      <c r="AB252" s="116"/>
      <c r="AC252" s="236"/>
      <c r="AD252" s="236"/>
      <c r="AE252" s="236"/>
      <c r="AF252" s="116"/>
      <c r="AG252" s="236"/>
      <c r="AH252" s="116"/>
      <c r="AI252" s="236"/>
      <c r="AJ252" s="116"/>
      <c r="AK252" s="236"/>
      <c r="AL252" s="116"/>
      <c r="AM252" s="236"/>
      <c r="AN252" s="116"/>
      <c r="AO252" s="236"/>
      <c r="AP252" s="236"/>
      <c r="AQ252" s="236"/>
      <c r="AR252" s="236"/>
      <c r="AS252" s="236"/>
      <c r="AT252" s="116"/>
      <c r="AU252" s="236"/>
      <c r="AV252" s="116"/>
      <c r="AW252" s="236"/>
      <c r="AX252" s="116"/>
      <c r="AY252" s="236"/>
      <c r="AZ252" s="116"/>
      <c r="BA252" s="236"/>
      <c r="BB252" s="116"/>
      <c r="BC252" s="236"/>
      <c r="BD252" s="116"/>
      <c r="BE252" s="236"/>
      <c r="BF252" s="226"/>
      <c r="BG252"/>
      <c r="BH252"/>
      <c r="BI252"/>
      <c r="BJ252"/>
      <c r="BK252"/>
      <c r="BL252"/>
      <c r="BM252"/>
      <c r="BN252"/>
      <c r="BO252"/>
      <c r="BP252"/>
      <c r="BQ252"/>
      <c r="BR252"/>
      <c r="BS252"/>
      <c r="BT252"/>
      <c r="BU252"/>
      <c r="BV252"/>
      <c r="BW252"/>
      <c r="BX252"/>
      <c r="BY252"/>
      <c r="BZ252"/>
      <c r="CA252"/>
      <c r="CB252"/>
      <c r="CC252"/>
      <c r="CD252"/>
      <c r="CE252"/>
      <c r="CF252"/>
      <c r="CG252"/>
    </row>
    <row r="253" spans="1:85" ht="14.4">
      <c r="A253" s="170" t="s">
        <v>368</v>
      </c>
      <c r="B253" s="82"/>
      <c r="C253" s="137">
        <v>4.275490649974123</v>
      </c>
      <c r="D253" s="81">
        <v>28.115400241402202</v>
      </c>
      <c r="E253" s="137">
        <v>31.026243911848621</v>
      </c>
      <c r="F253" s="81">
        <v>26.557005706181489</v>
      </c>
      <c r="G253" s="137">
        <v>27.333687949547386</v>
      </c>
      <c r="H253" s="81"/>
      <c r="I253" s="137"/>
      <c r="J253" s="81">
        <v>28.277029373535729</v>
      </c>
      <c r="K253" s="137">
        <v>85.92696159883468</v>
      </c>
      <c r="L253" s="62">
        <v>22.877346551872421</v>
      </c>
      <c r="M253" s="137">
        <v>2.6355837988715223</v>
      </c>
      <c r="N253" s="81">
        <v>112.50214401530454</v>
      </c>
      <c r="O253" s="137">
        <v>122.64383017329698</v>
      </c>
      <c r="P253" s="81">
        <v>10.181270200562627</v>
      </c>
      <c r="Q253" s="137"/>
      <c r="R253" s="81">
        <v>35.156594032087256</v>
      </c>
      <c r="S253" s="137">
        <v>6.4576722320177247</v>
      </c>
      <c r="T253" s="81">
        <v>2.9327825004652075</v>
      </c>
      <c r="U253" s="137">
        <v>35.4509768998034</v>
      </c>
      <c r="V253" s="81"/>
      <c r="W253" s="137">
        <v>24.239861940084268</v>
      </c>
      <c r="X253" s="81">
        <v>1.7578297016043629</v>
      </c>
      <c r="Y253" s="137"/>
      <c r="Z253" s="81"/>
      <c r="AA253" s="137">
        <v>5.0638013814528504</v>
      </c>
      <c r="AB253" s="81">
        <v>67.207060044594201</v>
      </c>
      <c r="AC253" s="137">
        <v>1.7578297016043629</v>
      </c>
      <c r="AD253" s="137">
        <v>0.53816405246075794</v>
      </c>
      <c r="AE253" s="137"/>
      <c r="AF253" s="81">
        <v>35.156594032087256</v>
      </c>
      <c r="AG253" s="137">
        <v>1.1124336772093635</v>
      </c>
      <c r="AH253" s="81">
        <v>22.378495062148854</v>
      </c>
      <c r="AI253" s="137">
        <v>6.9013687268647237</v>
      </c>
      <c r="AJ253" s="81">
        <v>39.756510679044823</v>
      </c>
      <c r="AK253" s="137">
        <v>99.497441505514459</v>
      </c>
      <c r="AL253" s="137">
        <v>24.636971769641097</v>
      </c>
      <c r="AM253" s="137"/>
      <c r="AN253" s="81"/>
      <c r="AO253" s="137"/>
      <c r="AP253" s="137">
        <v>31.683020884953542</v>
      </c>
      <c r="AQ253" s="137"/>
      <c r="AR253" s="137"/>
      <c r="AS253" s="137"/>
      <c r="AT253" s="81"/>
      <c r="AU253" s="137">
        <v>0</v>
      </c>
      <c r="AV253" s="81">
        <v>13.959154181417563</v>
      </c>
      <c r="AW253" s="137">
        <v>0.10374303679833322</v>
      </c>
      <c r="AX253" s="137">
        <v>0.32437954447649509</v>
      </c>
      <c r="AY253" s="137"/>
      <c r="AZ253" s="81"/>
      <c r="BA253" s="137"/>
      <c r="BB253" s="81">
        <v>2.5193184501235828E-2</v>
      </c>
      <c r="BC253" s="137">
        <v>85.92696159883468</v>
      </c>
      <c r="BD253" s="81">
        <v>6.5761541324410429</v>
      </c>
      <c r="BE253" s="137">
        <v>22.153131061660741</v>
      </c>
      <c r="BF253" s="159"/>
      <c r="BG253"/>
      <c r="BH253"/>
      <c r="BI253"/>
      <c r="BJ253"/>
      <c r="BK253"/>
      <c r="BL253"/>
      <c r="BM253"/>
      <c r="BN253"/>
      <c r="BO253"/>
      <c r="BP253"/>
      <c r="BQ253"/>
      <c r="BR253"/>
      <c r="BS253"/>
      <c r="BT253"/>
      <c r="BU253"/>
      <c r="BV253"/>
      <c r="BW253"/>
      <c r="BX253"/>
      <c r="BY253"/>
      <c r="BZ253"/>
      <c r="CA253"/>
      <c r="CB253"/>
      <c r="CC253"/>
      <c r="CD253"/>
      <c r="CE253"/>
      <c r="CF253"/>
      <c r="CG253"/>
    </row>
    <row r="254" spans="1:85" ht="14.4">
      <c r="A254" s="170" t="s">
        <v>369</v>
      </c>
      <c r="B254" s="82"/>
      <c r="C254" s="137">
        <v>4.1860960580614037</v>
      </c>
      <c r="D254" s="81">
        <v>25.032755096437185</v>
      </c>
      <c r="E254" s="137">
        <v>30.885447078540164</v>
      </c>
      <c r="F254" s="81">
        <v>26.477169582339119</v>
      </c>
      <c r="G254" s="137">
        <v>24.191088806580005</v>
      </c>
      <c r="H254" s="81"/>
      <c r="I254" s="137"/>
      <c r="J254" s="81">
        <v>27.818678726192445</v>
      </c>
      <c r="K254" s="137">
        <v>81.693642227215307</v>
      </c>
      <c r="L254" s="62">
        <v>22.181135400192783</v>
      </c>
      <c r="M254" s="137">
        <v>2.065130380357957</v>
      </c>
      <c r="N254" s="81">
        <v>75.307226163069572</v>
      </c>
      <c r="O254" s="137">
        <v>96.098443070860583</v>
      </c>
      <c r="P254" s="81">
        <v>9.3379232039998818</v>
      </c>
      <c r="Q254" s="137"/>
      <c r="R254" s="81">
        <v>2.9943530405235106</v>
      </c>
      <c r="S254" s="137">
        <v>5.7293642054151892</v>
      </c>
      <c r="T254" s="81">
        <v>2.7909063649459842</v>
      </c>
      <c r="U254" s="137">
        <v>30.97082190300641</v>
      </c>
      <c r="V254" s="81"/>
      <c r="W254" s="137">
        <v>21.42528471481954</v>
      </c>
      <c r="X254" s="81">
        <v>0.14971765202617554</v>
      </c>
      <c r="Y254" s="137"/>
      <c r="Z254" s="81"/>
      <c r="AA254" s="137">
        <v>4.2851030993391204</v>
      </c>
      <c r="AB254" s="81">
        <v>64.648181692307929</v>
      </c>
      <c r="AC254" s="137">
        <v>0.14971765202617554</v>
      </c>
      <c r="AD254" s="137">
        <v>0.50569870565271757</v>
      </c>
      <c r="AE254" s="137"/>
      <c r="AF254" s="81">
        <v>2.9943530405235106</v>
      </c>
      <c r="AG254" s="137">
        <v>1.0248619069037375</v>
      </c>
      <c r="AH254" s="81">
        <v>18.543349938870058</v>
      </c>
      <c r="AI254" s="137">
        <v>6.7141345117148825</v>
      </c>
      <c r="AJ254" s="81">
        <v>39.198895178752743</v>
      </c>
      <c r="AK254" s="137">
        <v>99.343193943184076</v>
      </c>
      <c r="AL254" s="137">
        <v>21.745529982030909</v>
      </c>
      <c r="AM254" s="137"/>
      <c r="AN254" s="81"/>
      <c r="AO254" s="137"/>
      <c r="AP254" s="137">
        <v>31.577126622533086</v>
      </c>
      <c r="AQ254" s="137"/>
      <c r="AR254" s="137"/>
      <c r="AS254" s="137"/>
      <c r="AT254" s="81"/>
      <c r="AU254" s="137">
        <v>0</v>
      </c>
      <c r="AV254" s="81">
        <v>11.957986619216006</v>
      </c>
      <c r="AW254" s="137">
        <v>0.10313274882978068</v>
      </c>
      <c r="AX254" s="137">
        <v>0.25416989296713316</v>
      </c>
      <c r="AY254" s="137"/>
      <c r="AZ254" s="81"/>
      <c r="BA254" s="137"/>
      <c r="BB254" s="81">
        <v>2.4269347416082561E-2</v>
      </c>
      <c r="BC254" s="137">
        <v>81.693642227215307</v>
      </c>
      <c r="BD254" s="81">
        <v>6.508061269566392</v>
      </c>
      <c r="BE254" s="137">
        <v>17.91769868199561</v>
      </c>
      <c r="BF254" s="159"/>
      <c r="BG254"/>
      <c r="BH254"/>
      <c r="BI254"/>
      <c r="BJ254"/>
      <c r="BK254"/>
      <c r="BL254"/>
      <c r="BM254"/>
      <c r="BN254"/>
      <c r="BO254"/>
      <c r="BP254"/>
      <c r="BQ254"/>
      <c r="BR254"/>
      <c r="BS254"/>
      <c r="BT254"/>
      <c r="BU254"/>
      <c r="BV254"/>
      <c r="BW254"/>
      <c r="BX254"/>
      <c r="BY254"/>
      <c r="BZ254"/>
      <c r="CA254"/>
      <c r="CB254"/>
      <c r="CC254"/>
      <c r="CD254"/>
      <c r="CE254"/>
      <c r="CF254"/>
      <c r="CG254"/>
    </row>
    <row r="255" spans="1:85" ht="14.4">
      <c r="A255" s="170" t="s">
        <v>361</v>
      </c>
      <c r="B255" s="82"/>
      <c r="C255" s="137">
        <v>3.5167632849100072</v>
      </c>
      <c r="D255" s="81">
        <v>4.9885798388708418</v>
      </c>
      <c r="E255" s="137">
        <v>0.19449589828165761</v>
      </c>
      <c r="F255" s="81">
        <v>25.470086885305488</v>
      </c>
      <c r="G255" s="137">
        <v>6.578704542058472</v>
      </c>
      <c r="H255" s="81"/>
      <c r="I255" s="137"/>
      <c r="J255" s="81">
        <v>4.5403647805985932</v>
      </c>
      <c r="K255" s="137">
        <v>11.255143443311914</v>
      </c>
      <c r="L255" s="62">
        <v>17.706733955356544</v>
      </c>
      <c r="M255" s="137">
        <v>0.81766198028887083</v>
      </c>
      <c r="N255" s="81">
        <v>34.894679992502802</v>
      </c>
      <c r="O255" s="137">
        <v>38.048950328442366</v>
      </c>
      <c r="P255" s="81">
        <v>1.306311337823812</v>
      </c>
      <c r="Q255" s="137"/>
      <c r="R255" s="81">
        <v>0.60272052481397909</v>
      </c>
      <c r="S255" s="137">
        <v>1.0434585238818193</v>
      </c>
      <c r="T255" s="81">
        <v>0.46327981172816524</v>
      </c>
      <c r="U255" s="137">
        <v>6.7756498294050411</v>
      </c>
      <c r="V255" s="81"/>
      <c r="W255" s="137">
        <v>4.6044874554042341</v>
      </c>
      <c r="X255" s="81">
        <v>3.0136026240698957E-2</v>
      </c>
      <c r="Y255" s="137"/>
      <c r="Z255" s="81"/>
      <c r="AA255" s="137">
        <v>1.1108323478478352</v>
      </c>
      <c r="AB255" s="81">
        <v>3.6683369940710717</v>
      </c>
      <c r="AC255" s="137">
        <v>3.0136026240698957E-2</v>
      </c>
      <c r="AD255" s="137">
        <v>4.6453577460047676E-2</v>
      </c>
      <c r="AE255" s="137"/>
      <c r="AF255" s="81">
        <v>0.60272052481397909</v>
      </c>
      <c r="AG255" s="137">
        <v>0.12536486821848691</v>
      </c>
      <c r="AH255" s="81">
        <v>5.4963568530800551</v>
      </c>
      <c r="AI255" s="137">
        <v>0.34462382950009118</v>
      </c>
      <c r="AJ255" s="81">
        <v>0.79858963136442707</v>
      </c>
      <c r="AK255" s="137">
        <v>0.21549085016039513</v>
      </c>
      <c r="AL255" s="137">
        <v>4.1430252483054542</v>
      </c>
      <c r="AM255" s="137"/>
      <c r="AN255" s="81"/>
      <c r="AO255" s="137"/>
      <c r="AP255" s="137">
        <v>0.15170421235759457</v>
      </c>
      <c r="AQ255" s="137"/>
      <c r="AR255" s="137"/>
      <c r="AS255" s="137"/>
      <c r="AT255" s="81"/>
      <c r="AU255" s="137">
        <v>0</v>
      </c>
      <c r="AV255" s="81">
        <v>2.8951341390155623</v>
      </c>
      <c r="AW255" s="137">
        <v>4.3281656003984099E-3</v>
      </c>
      <c r="AX255" s="137">
        <v>0.10063532065093796</v>
      </c>
      <c r="AY255" s="137"/>
      <c r="AZ255" s="81"/>
      <c r="BA255" s="137"/>
      <c r="BB255" s="81">
        <v>1.319291680258164E-3</v>
      </c>
      <c r="BC255" s="137">
        <v>11.255143443311914</v>
      </c>
      <c r="BD255" s="81">
        <v>6.2138364176930718</v>
      </c>
      <c r="BE255" s="137">
        <v>6.2679786700450064</v>
      </c>
      <c r="BF255" s="159"/>
      <c r="BG255"/>
      <c r="BH255"/>
      <c r="BI255"/>
      <c r="BJ255"/>
      <c r="BK255"/>
      <c r="BL255"/>
      <c r="BM255"/>
      <c r="BN255"/>
      <c r="BO255"/>
      <c r="BP255"/>
      <c r="BQ255"/>
      <c r="BR255"/>
      <c r="BS255"/>
      <c r="BT255"/>
      <c r="BU255"/>
      <c r="BV255"/>
      <c r="BW255"/>
      <c r="BX255"/>
      <c r="BY255"/>
      <c r="BZ255"/>
      <c r="CA255"/>
      <c r="CB255"/>
      <c r="CC255"/>
      <c r="CD255"/>
      <c r="CE255"/>
      <c r="CF255"/>
      <c r="CG255"/>
    </row>
    <row r="256" spans="1:85" ht="14.4">
      <c r="A256" s="170" t="s">
        <v>360</v>
      </c>
      <c r="B256" s="82"/>
      <c r="C256" s="137">
        <v>0.45012298820271918</v>
      </c>
      <c r="D256" s="81">
        <v>18.722957884744279</v>
      </c>
      <c r="E256" s="137">
        <v>2.3308191726784067</v>
      </c>
      <c r="F256" s="81">
        <v>0.66931856185558902</v>
      </c>
      <c r="G256" s="137">
        <v>12.798039735035831</v>
      </c>
      <c r="H256" s="81"/>
      <c r="I256" s="137"/>
      <c r="J256" s="81">
        <v>4.0082232533932247</v>
      </c>
      <c r="K256" s="137">
        <v>38.754086171458233</v>
      </c>
      <c r="L256" s="62">
        <v>4.7167391779720473</v>
      </c>
      <c r="M256" s="137">
        <v>1.2219665382293232</v>
      </c>
      <c r="N256" s="81">
        <v>28.902461068289469</v>
      </c>
      <c r="O256" s="137">
        <v>56.862793228664202</v>
      </c>
      <c r="P256" s="81">
        <v>7.7336679975182108</v>
      </c>
      <c r="Q256" s="137"/>
      <c r="R256" s="81">
        <v>1.6117881162943553</v>
      </c>
      <c r="S256" s="137">
        <v>2.8508915247354683</v>
      </c>
      <c r="T256" s="81">
        <v>1.3754436095536695</v>
      </c>
      <c r="U256" s="137">
        <v>21.557615117605398</v>
      </c>
      <c r="V256" s="81"/>
      <c r="W256" s="137">
        <v>16.069574256154254</v>
      </c>
      <c r="X256" s="81">
        <v>8.0589405814717768E-2</v>
      </c>
      <c r="Y256" s="137"/>
      <c r="Z256" s="81"/>
      <c r="AA256" s="137">
        <v>2.8803209876106699</v>
      </c>
      <c r="AB256" s="81">
        <v>56.661947479203043</v>
      </c>
      <c r="AC256" s="137">
        <v>8.0589405814717768E-2</v>
      </c>
      <c r="AD256" s="137">
        <v>0.14474213319837528</v>
      </c>
      <c r="AE256" s="137"/>
      <c r="AF256" s="81">
        <v>1.6117881162943553</v>
      </c>
      <c r="AG256" s="137">
        <v>0.28894984302886895</v>
      </c>
      <c r="AH256" s="81">
        <v>9.9079277469506977</v>
      </c>
      <c r="AI256" s="137">
        <v>6.1940823642269525</v>
      </c>
      <c r="AJ256" s="81">
        <v>35.774612806554714</v>
      </c>
      <c r="AK256" s="137">
        <v>77.414853098890035</v>
      </c>
      <c r="AL256" s="137">
        <v>11.908268821964574</v>
      </c>
      <c r="AM256" s="137"/>
      <c r="AN256" s="81"/>
      <c r="AO256" s="137"/>
      <c r="AP256" s="137">
        <v>31.111386604223103</v>
      </c>
      <c r="AQ256" s="137"/>
      <c r="AR256" s="137"/>
      <c r="AS256" s="137"/>
      <c r="AT256" s="81"/>
      <c r="AU256" s="137">
        <v>0</v>
      </c>
      <c r="AV256" s="81">
        <v>7.9122790281028994</v>
      </c>
      <c r="AW256" s="137">
        <v>1.0412896943726144E-2</v>
      </c>
      <c r="AX256" s="137">
        <v>0.15039588162822437</v>
      </c>
      <c r="AY256" s="137"/>
      <c r="AZ256" s="81"/>
      <c r="BA256" s="137"/>
      <c r="BB256" s="81">
        <v>3.9398439356415245E-3</v>
      </c>
      <c r="BC256" s="137">
        <v>38.754086171458233</v>
      </c>
      <c r="BD256" s="81">
        <v>0.15981231087207634</v>
      </c>
      <c r="BE256" s="137">
        <v>10.206653957004743</v>
      </c>
      <c r="BF256" s="159"/>
      <c r="BG256"/>
      <c r="BH256"/>
      <c r="BI256"/>
      <c r="BJ256"/>
      <c r="BK256"/>
      <c r="BL256"/>
      <c r="BM256"/>
      <c r="BN256"/>
      <c r="BO256"/>
      <c r="BP256"/>
      <c r="BQ256"/>
      <c r="BR256"/>
      <c r="BS256"/>
      <c r="BT256"/>
      <c r="BU256"/>
      <c r="BV256"/>
      <c r="BW256"/>
      <c r="BX256"/>
      <c r="BY256"/>
      <c r="BZ256"/>
      <c r="CA256"/>
      <c r="CB256"/>
      <c r="CC256"/>
      <c r="CD256"/>
      <c r="CE256"/>
      <c r="CF256"/>
      <c r="CG256"/>
    </row>
    <row r="257" spans="1:85" ht="14.4">
      <c r="A257" s="170" t="s">
        <v>370</v>
      </c>
      <c r="B257" s="89"/>
      <c r="C257" s="163">
        <v>0.21920978494867677</v>
      </c>
      <c r="D257" s="91">
        <v>1.3212173728220669</v>
      </c>
      <c r="E257" s="163">
        <v>28.360132007580098</v>
      </c>
      <c r="F257" s="91">
        <v>0.3377641351780446</v>
      </c>
      <c r="G257" s="163">
        <v>4.8143445294857026</v>
      </c>
      <c r="H257" s="91"/>
      <c r="I257" s="163"/>
      <c r="J257" s="91">
        <v>19.270090692200622</v>
      </c>
      <c r="K257" s="163">
        <v>31.684412612445161</v>
      </c>
      <c r="L257" s="62">
        <v>-0.24233773313580864</v>
      </c>
      <c r="M257" s="163">
        <v>2.5501861839763097E-2</v>
      </c>
      <c r="N257" s="91">
        <v>11.51008510227731</v>
      </c>
      <c r="O257" s="163">
        <v>1.1866995137540124</v>
      </c>
      <c r="P257" s="91">
        <v>0.29794386865785755</v>
      </c>
      <c r="Q257" s="163"/>
      <c r="R257" s="91">
        <v>0.77984439941517647</v>
      </c>
      <c r="S257" s="163">
        <v>1.835014156797901</v>
      </c>
      <c r="T257" s="91">
        <v>0.95218294366414935</v>
      </c>
      <c r="U257" s="163">
        <v>2.63755695599597</v>
      </c>
      <c r="V257" s="91"/>
      <c r="W257" s="163">
        <v>0.75122300326105451</v>
      </c>
      <c r="X257" s="91">
        <v>3.8992219970758829E-2</v>
      </c>
      <c r="Y257" s="163"/>
      <c r="Z257" s="91"/>
      <c r="AA257" s="163">
        <v>0.29394976388061544</v>
      </c>
      <c r="AB257" s="91">
        <v>4.3178972190338083</v>
      </c>
      <c r="AC257" s="163">
        <v>3.8992219970758829E-2</v>
      </c>
      <c r="AD257" s="163">
        <v>0.31450299499429468</v>
      </c>
      <c r="AE257" s="163"/>
      <c r="AF257" s="91">
        <v>0.77984439941517647</v>
      </c>
      <c r="AG257" s="163">
        <v>0.61054719565638171</v>
      </c>
      <c r="AH257" s="91">
        <v>3.139065338839309</v>
      </c>
      <c r="AI257" s="163">
        <v>0.17542831798783809</v>
      </c>
      <c r="AJ257" s="91">
        <v>2.6256927408336046</v>
      </c>
      <c r="AK257" s="163">
        <v>21.712849994133656</v>
      </c>
      <c r="AL257" s="163">
        <v>5.6942359117608792</v>
      </c>
      <c r="AM257" s="163"/>
      <c r="AN257" s="91"/>
      <c r="AO257" s="163"/>
      <c r="AP257" s="163">
        <v>0.31403580595238872</v>
      </c>
      <c r="AQ257" s="163"/>
      <c r="AR257" s="163"/>
      <c r="AS257" s="163"/>
      <c r="AT257" s="91"/>
      <c r="AU257" s="163">
        <v>0</v>
      </c>
      <c r="AV257" s="91">
        <v>1.1505734520975448</v>
      </c>
      <c r="AW257" s="163">
        <v>8.8391686285656135E-2</v>
      </c>
      <c r="AX257" s="163">
        <v>3.1386906879708426E-3</v>
      </c>
      <c r="AY257" s="163"/>
      <c r="AZ257" s="91"/>
      <c r="BA257" s="163"/>
      <c r="BB257" s="91">
        <v>1.9010211800182874E-2</v>
      </c>
      <c r="BC257" s="163">
        <v>31.684412612445161</v>
      </c>
      <c r="BD257" s="91">
        <v>0.1344125410012442</v>
      </c>
      <c r="BE257" s="163">
        <v>1.4430660549458598</v>
      </c>
      <c r="BF257" s="164"/>
      <c r="BG257"/>
      <c r="BH257"/>
      <c r="BI257"/>
      <c r="BJ257"/>
      <c r="BK257"/>
      <c r="BL257"/>
      <c r="BM257"/>
      <c r="BN257"/>
      <c r="BO257"/>
      <c r="BP257"/>
      <c r="BQ257"/>
      <c r="BR257"/>
      <c r="BS257"/>
      <c r="BT257"/>
      <c r="BU257"/>
      <c r="BV257"/>
      <c r="BW257"/>
      <c r="BX257"/>
      <c r="BY257"/>
      <c r="BZ257"/>
      <c r="CA257"/>
      <c r="CB257"/>
      <c r="CC257"/>
      <c r="CD257"/>
      <c r="CE257"/>
      <c r="CF257"/>
      <c r="CG257"/>
    </row>
    <row r="258" spans="1:85" ht="14.4">
      <c r="A258" s="204" t="s">
        <v>389</v>
      </c>
      <c r="B258" s="117">
        <v>239.52095808383234</v>
      </c>
      <c r="C258" s="250">
        <v>1115.0927931178944</v>
      </c>
      <c r="D258" s="118">
        <v>3261.1932388434216</v>
      </c>
      <c r="E258" s="250">
        <v>589.6796637008207</v>
      </c>
      <c r="F258" s="118">
        <v>109.80568679318925</v>
      </c>
      <c r="G258" s="250">
        <v>1342.303445117092</v>
      </c>
      <c r="H258" s="118"/>
      <c r="I258" s="250"/>
      <c r="J258" s="118">
        <v>812.9654059891177</v>
      </c>
      <c r="K258" s="250">
        <v>2335.574102705189</v>
      </c>
      <c r="L258" s="119">
        <v>400.7610988826313</v>
      </c>
      <c r="M258" s="250">
        <v>222.03708194804963</v>
      </c>
      <c r="N258" s="118">
        <v>48170.013836851977</v>
      </c>
      <c r="O258" s="250">
        <v>10332.237655380459</v>
      </c>
      <c r="P258" s="118">
        <v>479.89312507126027</v>
      </c>
      <c r="Q258" s="250"/>
      <c r="R258" s="118">
        <v>20619.578435991305</v>
      </c>
      <c r="S258" s="250">
        <v>682.72252855263457</v>
      </c>
      <c r="T258" s="118">
        <v>506.43681361801737</v>
      </c>
      <c r="U258" s="250">
        <v>10848.381396021989</v>
      </c>
      <c r="V258" s="118"/>
      <c r="W258" s="163">
        <v>1138.2126428834176</v>
      </c>
      <c r="X258" s="118">
        <v>1258.5238319792061</v>
      </c>
      <c r="Y258" s="250"/>
      <c r="Z258" s="118"/>
      <c r="AA258" s="250">
        <v>384.37966258057412</v>
      </c>
      <c r="AB258" s="118">
        <v>2201.7797281277894</v>
      </c>
      <c r="AC258" s="250">
        <v>1258.5238319792061</v>
      </c>
      <c r="AD258" s="250">
        <v>76.929226399368545</v>
      </c>
      <c r="AE258" s="250"/>
      <c r="AF258" s="118">
        <v>20619.578435991305</v>
      </c>
      <c r="AG258" s="250">
        <v>45.717439099026407</v>
      </c>
      <c r="AH258" s="118">
        <v>1873.3385781032198</v>
      </c>
      <c r="AI258" s="163">
        <v>1461.7310107766091</v>
      </c>
      <c r="AJ258" s="118">
        <v>1017.4850981422488</v>
      </c>
      <c r="AK258" s="250">
        <v>920.12122810164783</v>
      </c>
      <c r="AL258" s="163">
        <v>11054.216273906073</v>
      </c>
      <c r="AM258" s="250"/>
      <c r="AN258" s="118"/>
      <c r="AO258" s="250"/>
      <c r="AP258" s="250">
        <v>399.99718446406837</v>
      </c>
      <c r="AQ258" s="250"/>
      <c r="AR258" s="250"/>
      <c r="AS258" s="250"/>
      <c r="AT258" s="118"/>
      <c r="AU258" s="163">
        <v>0</v>
      </c>
      <c r="AV258" s="118">
        <v>1433.3087022580162</v>
      </c>
      <c r="AW258" s="250">
        <v>26.479698046179806</v>
      </c>
      <c r="AX258" s="163">
        <v>27.327640855144569</v>
      </c>
      <c r="AY258" s="250"/>
      <c r="AZ258" s="118"/>
      <c r="BA258" s="250"/>
      <c r="BB258" s="118">
        <v>3.6149361508756392</v>
      </c>
      <c r="BC258" s="250">
        <v>2335.574102705189</v>
      </c>
      <c r="BD258" s="118">
        <v>54.662930639798596</v>
      </c>
      <c r="BE258" s="250">
        <v>1684.4577038183006</v>
      </c>
      <c r="BF258" s="251"/>
      <c r="BG258"/>
      <c r="BH258"/>
      <c r="BI258"/>
      <c r="BJ258"/>
      <c r="BK258"/>
      <c r="BL258"/>
      <c r="BM258"/>
      <c r="BN258"/>
      <c r="BO258"/>
      <c r="BP258"/>
      <c r="BQ258"/>
      <c r="BR258"/>
      <c r="BS258"/>
      <c r="BT258"/>
      <c r="BU258"/>
      <c r="BV258"/>
      <c r="BW258"/>
      <c r="BX258"/>
      <c r="BY258"/>
      <c r="BZ258"/>
      <c r="CA258"/>
      <c r="CB258"/>
      <c r="CC258"/>
      <c r="CD258"/>
      <c r="CE258"/>
      <c r="CF258"/>
      <c r="CG258"/>
    </row>
    <row r="259" spans="1:85" ht="14.4">
      <c r="A259" s="252" t="s">
        <v>390</v>
      </c>
      <c r="B259" s="86"/>
      <c r="C259" s="154"/>
      <c r="D259" s="88"/>
      <c r="E259" s="236"/>
      <c r="F259" s="88"/>
      <c r="G259" s="154"/>
      <c r="H259" s="88"/>
      <c r="I259" s="154"/>
      <c r="J259" s="88"/>
      <c r="K259" s="154"/>
      <c r="L259" s="62"/>
      <c r="M259" s="154"/>
      <c r="N259" s="88"/>
      <c r="O259" s="154">
        <v>0</v>
      </c>
      <c r="P259" s="88"/>
      <c r="Q259" s="154"/>
      <c r="R259" s="236"/>
      <c r="S259" s="154"/>
      <c r="T259" s="88"/>
      <c r="U259" s="154"/>
      <c r="V259" s="88"/>
      <c r="W259" s="137"/>
      <c r="X259" s="88"/>
      <c r="Y259" s="154"/>
      <c r="Z259" s="88"/>
      <c r="AA259" s="154"/>
      <c r="AB259" s="88"/>
      <c r="AC259" s="154"/>
      <c r="AD259" s="154"/>
      <c r="AE259" s="154"/>
      <c r="AF259" s="88"/>
      <c r="AG259" s="154"/>
      <c r="AH259" s="88"/>
      <c r="AI259" s="137"/>
      <c r="AJ259" s="88"/>
      <c r="AK259" s="154"/>
      <c r="AL259" s="137"/>
      <c r="AM259" s="154"/>
      <c r="AN259" s="88"/>
      <c r="AO259" s="154"/>
      <c r="AP259" s="154"/>
      <c r="AQ259" s="154"/>
      <c r="AR259" s="154"/>
      <c r="AS259" s="154"/>
      <c r="AT259" s="88"/>
      <c r="AU259" s="137"/>
      <c r="AV259" s="88"/>
      <c r="AW259" s="154"/>
      <c r="AX259" s="137"/>
      <c r="AY259" s="154"/>
      <c r="AZ259" s="88"/>
      <c r="BA259" s="154"/>
      <c r="BB259" s="88"/>
      <c r="BC259" s="154"/>
      <c r="BD259" s="88"/>
      <c r="BE259" s="154"/>
      <c r="BF259" s="155"/>
      <c r="BG259"/>
      <c r="BH259"/>
      <c r="BI259"/>
      <c r="BJ259"/>
      <c r="BK259"/>
      <c r="BL259"/>
      <c r="BM259"/>
      <c r="BN259"/>
      <c r="BO259"/>
      <c r="BP259"/>
      <c r="BQ259"/>
      <c r="BR259"/>
      <c r="BS259"/>
      <c r="BT259"/>
      <c r="BU259"/>
      <c r="BV259"/>
      <c r="BW259"/>
      <c r="BX259"/>
      <c r="BY259"/>
      <c r="BZ259"/>
      <c r="CA259"/>
      <c r="CB259"/>
      <c r="CC259"/>
      <c r="CD259"/>
      <c r="CE259"/>
      <c r="CF259"/>
      <c r="CG259"/>
    </row>
    <row r="260" spans="1:85" ht="14.4">
      <c r="A260" s="170" t="s">
        <v>372</v>
      </c>
      <c r="B260" s="82"/>
      <c r="C260" s="137">
        <v>90.380342386214622</v>
      </c>
      <c r="D260" s="81">
        <v>265.58007742826874</v>
      </c>
      <c r="E260" s="137">
        <v>170.70240511383832</v>
      </c>
      <c r="F260" s="81">
        <v>2234.7674475942158</v>
      </c>
      <c r="G260" s="137">
        <v>279.17550282412031</v>
      </c>
      <c r="H260" s="81"/>
      <c r="I260" s="137"/>
      <c r="J260" s="81">
        <v>489.36108194977629</v>
      </c>
      <c r="K260" s="137">
        <v>1117.9300770506961</v>
      </c>
      <c r="L260" s="62">
        <v>2990.1083072192032</v>
      </c>
      <c r="M260" s="137">
        <v>18.951601926991803</v>
      </c>
      <c r="N260" s="81">
        <v>831.27251480318853</v>
      </c>
      <c r="O260" s="137">
        <v>881.89077852167122</v>
      </c>
      <c r="P260" s="81">
        <v>183.2408586397965</v>
      </c>
      <c r="Q260" s="137"/>
      <c r="R260" s="81">
        <v>594.8717283150371</v>
      </c>
      <c r="S260" s="137">
        <v>84.172313895913106</v>
      </c>
      <c r="T260" s="81">
        <v>56.266593176347598</v>
      </c>
      <c r="U260" s="137">
        <v>356.94992422654531</v>
      </c>
      <c r="V260" s="81"/>
      <c r="W260" s="137">
        <v>226.70959348014372</v>
      </c>
      <c r="X260" s="81">
        <v>29.743586415751857</v>
      </c>
      <c r="Y260" s="137"/>
      <c r="Z260" s="81"/>
      <c r="AA260" s="137">
        <v>53.927572557965817</v>
      </c>
      <c r="AB260" s="81">
        <v>807.15382476019033</v>
      </c>
      <c r="AC260" s="137">
        <v>29.743586415751857</v>
      </c>
      <c r="AD260" s="137">
        <v>16.740515302242002</v>
      </c>
      <c r="AE260" s="137"/>
      <c r="AF260" s="81">
        <v>594.8717283150371</v>
      </c>
      <c r="AG260" s="137">
        <v>8.1806825250451887</v>
      </c>
      <c r="AH260" s="81">
        <v>237.53724911627106</v>
      </c>
      <c r="AI260" s="137">
        <v>82.487333367068388</v>
      </c>
      <c r="AJ260" s="81">
        <v>500.41728255217004</v>
      </c>
      <c r="AK260" s="137">
        <v>1078.5598687254869</v>
      </c>
      <c r="AL260" s="137">
        <v>428.08669843697942</v>
      </c>
      <c r="AM260" s="137"/>
      <c r="AN260" s="81"/>
      <c r="AO260" s="137"/>
      <c r="AP260" s="137">
        <v>4608.9233121404177</v>
      </c>
      <c r="AQ260" s="137"/>
      <c r="AR260" s="137"/>
      <c r="AS260" s="137"/>
      <c r="AT260" s="81"/>
      <c r="AU260" s="137">
        <v>0</v>
      </c>
      <c r="AV260" s="81">
        <v>189.32811195758109</v>
      </c>
      <c r="AW260" s="137">
        <v>2.9863922393198372</v>
      </c>
      <c r="AX260" s="137">
        <v>2.3325048525528373</v>
      </c>
      <c r="AY260" s="137"/>
      <c r="AZ260" s="81"/>
      <c r="BA260" s="137"/>
      <c r="BB260" s="81">
        <v>0.199595532061177</v>
      </c>
      <c r="BC260" s="137">
        <v>1117.9300770506961</v>
      </c>
      <c r="BD260" s="81">
        <v>50.361833045339829</v>
      </c>
      <c r="BE260" s="137">
        <v>178.35328310748508</v>
      </c>
      <c r="BF260" s="159"/>
      <c r="BG260"/>
      <c r="BH260"/>
      <c r="BI260"/>
      <c r="BJ260"/>
      <c r="BK260"/>
      <c r="BL260"/>
      <c r="BM260"/>
      <c r="BN260"/>
      <c r="BO260"/>
      <c r="BP260"/>
      <c r="BQ260"/>
      <c r="BR260"/>
      <c r="BS260"/>
      <c r="BT260"/>
      <c r="BU260"/>
      <c r="BV260"/>
      <c r="BW260"/>
      <c r="BX260"/>
      <c r="BY260"/>
      <c r="BZ260"/>
      <c r="CA260"/>
      <c r="CB260"/>
      <c r="CC260"/>
      <c r="CD260"/>
      <c r="CE260"/>
      <c r="CF260"/>
      <c r="CG260"/>
    </row>
    <row r="261" spans="1:85" ht="14.4">
      <c r="A261" s="170" t="s">
        <v>373</v>
      </c>
      <c r="B261" s="82"/>
      <c r="C261" s="137">
        <v>424.37408787285023</v>
      </c>
      <c r="D261" s="81">
        <v>1135.6864667760155</v>
      </c>
      <c r="E261" s="137">
        <v>297.49978946936869</v>
      </c>
      <c r="F261" s="81">
        <v>583.51275568605399</v>
      </c>
      <c r="G261" s="137">
        <v>7821.0192668171176</v>
      </c>
      <c r="H261" s="81"/>
      <c r="I261" s="137"/>
      <c r="J261" s="81">
        <v>475.22476441244214</v>
      </c>
      <c r="K261" s="137">
        <v>36820.970002819442</v>
      </c>
      <c r="L261" s="62">
        <v>21201.227513855818</v>
      </c>
      <c r="M261" s="137">
        <v>67.405366028250725</v>
      </c>
      <c r="N261" s="81">
        <v>2947.2131808539079</v>
      </c>
      <c r="O261" s="137">
        <v>3136.6303994877044</v>
      </c>
      <c r="P261" s="81">
        <v>440.85807691632175</v>
      </c>
      <c r="Q261" s="137"/>
      <c r="R261" s="81">
        <v>395.55871058176382</v>
      </c>
      <c r="S261" s="137">
        <v>253.95971801774658</v>
      </c>
      <c r="T261" s="81">
        <v>192.29393713338095</v>
      </c>
      <c r="U261" s="137">
        <v>1377.9388397462303</v>
      </c>
      <c r="V261" s="81"/>
      <c r="W261" s="137">
        <v>933.62929164939555</v>
      </c>
      <c r="X261" s="81">
        <v>19.777935529088193</v>
      </c>
      <c r="Y261" s="137"/>
      <c r="Z261" s="81"/>
      <c r="AA261" s="137">
        <v>157.23046437557434</v>
      </c>
      <c r="AB261" s="81">
        <v>1526.4971721751717</v>
      </c>
      <c r="AC261" s="137">
        <v>19.777935529088193</v>
      </c>
      <c r="AD261" s="137">
        <v>38.455234534918795</v>
      </c>
      <c r="AE261" s="137"/>
      <c r="AF261" s="81">
        <v>395.55871058176382</v>
      </c>
      <c r="AG261" s="137">
        <v>53.007772479564963</v>
      </c>
      <c r="AH261" s="81">
        <v>786.35022654544309</v>
      </c>
      <c r="AI261" s="137">
        <v>340.7461725660707</v>
      </c>
      <c r="AJ261" s="81">
        <v>1020.5415946680611</v>
      </c>
      <c r="AK261" s="137">
        <v>3967.9895299381842</v>
      </c>
      <c r="AL261" s="137">
        <v>1301.9854697423746</v>
      </c>
      <c r="AM261" s="137"/>
      <c r="AN261" s="81"/>
      <c r="AO261" s="137"/>
      <c r="AP261" s="137">
        <v>4711.7461761680124</v>
      </c>
      <c r="AQ261" s="137"/>
      <c r="AR261" s="137"/>
      <c r="AS261" s="137"/>
      <c r="AT261" s="81"/>
      <c r="AU261" s="137">
        <v>0</v>
      </c>
      <c r="AV261" s="81">
        <v>582.72587484306416</v>
      </c>
      <c r="AW261" s="137">
        <v>18.088491093172966</v>
      </c>
      <c r="AX261" s="137">
        <v>8.2960450496308589</v>
      </c>
      <c r="AY261" s="137"/>
      <c r="AZ261" s="81"/>
      <c r="BA261" s="137"/>
      <c r="BB261" s="81">
        <v>27.640225203450697</v>
      </c>
      <c r="BC261" s="137">
        <v>36820.970002819442</v>
      </c>
      <c r="BD261" s="81">
        <v>220.23793783172587</v>
      </c>
      <c r="BE261" s="137">
        <v>1963.2450132895412</v>
      </c>
      <c r="BF261" s="159"/>
      <c r="BG261"/>
      <c r="BH261"/>
      <c r="BI261"/>
      <c r="BJ261"/>
      <c r="BK261"/>
      <c r="BL261"/>
      <c r="BM261"/>
      <c r="BN261"/>
      <c r="BO261"/>
      <c r="BP261"/>
      <c r="BQ261"/>
      <c r="BR261"/>
      <c r="BS261"/>
      <c r="BT261"/>
      <c r="BU261"/>
      <c r="BV261"/>
      <c r="BW261"/>
      <c r="BX261"/>
      <c r="BY261"/>
      <c r="BZ261"/>
      <c r="CA261"/>
      <c r="CB261"/>
      <c r="CC261"/>
      <c r="CD261"/>
      <c r="CE261"/>
      <c r="CF261"/>
      <c r="CG261"/>
    </row>
    <row r="262" spans="1:85" ht="14.4">
      <c r="A262" s="170" t="s">
        <v>391</v>
      </c>
      <c r="B262" s="82"/>
      <c r="C262" s="137">
        <v>239.98610642821922</v>
      </c>
      <c r="D262" s="81">
        <v>1748.2897089608816</v>
      </c>
      <c r="E262" s="137">
        <v>435.6080463824598</v>
      </c>
      <c r="F262" s="81">
        <v>916.83735332926278</v>
      </c>
      <c r="G262" s="137">
        <v>1741.6948725798172</v>
      </c>
      <c r="H262" s="81"/>
      <c r="I262" s="137"/>
      <c r="J262" s="81">
        <v>1023.5858057901448</v>
      </c>
      <c r="K262" s="137">
        <v>3773.8676378796122</v>
      </c>
      <c r="L262" s="62">
        <v>2325.3279836012516</v>
      </c>
      <c r="M262" s="137">
        <v>119.38969794800674</v>
      </c>
      <c r="N262" s="81">
        <v>6787.8023537433</v>
      </c>
      <c r="O262" s="137">
        <v>5555.6608922266105</v>
      </c>
      <c r="P262" s="81">
        <v>796.57802446616108</v>
      </c>
      <c r="Q262" s="137"/>
      <c r="R262" s="81">
        <v>447.79684011586619</v>
      </c>
      <c r="S262" s="137">
        <v>1138.9812024038843</v>
      </c>
      <c r="T262" s="81">
        <v>922.88277532509767</v>
      </c>
      <c r="U262" s="137">
        <v>3048.7662181358955</v>
      </c>
      <c r="V262" s="81"/>
      <c r="W262" s="137">
        <v>1470.9913071840222</v>
      </c>
      <c r="X262" s="81">
        <v>22.389842005793312</v>
      </c>
      <c r="Y262" s="137"/>
      <c r="Z262" s="81"/>
      <c r="AA262" s="137">
        <v>253.47656060899078</v>
      </c>
      <c r="AB262" s="81">
        <v>2159.3603515099021</v>
      </c>
      <c r="AC262" s="137">
        <v>22.389842005793312</v>
      </c>
      <c r="AD262" s="137">
        <v>291.80005384056597</v>
      </c>
      <c r="AE262" s="137"/>
      <c r="AF262" s="81">
        <v>447.79684011586619</v>
      </c>
      <c r="AG262" s="137">
        <v>111.30693784103381</v>
      </c>
      <c r="AH262" s="81">
        <v>2635.8943997940746</v>
      </c>
      <c r="AI262" s="137">
        <v>841.39391409468737</v>
      </c>
      <c r="AJ262" s="81">
        <v>1379.3951879239155</v>
      </c>
      <c r="AK262" s="137">
        <v>5406.4393328535543</v>
      </c>
      <c r="AL262" s="137">
        <v>5788.7628643734661</v>
      </c>
      <c r="AM262" s="137"/>
      <c r="AN262" s="81"/>
      <c r="AO262" s="137"/>
      <c r="AP262" s="137">
        <v>1464.6537740258111</v>
      </c>
      <c r="AQ262" s="137"/>
      <c r="AR262" s="137"/>
      <c r="AS262" s="137"/>
      <c r="AT262" s="81"/>
      <c r="AU262" s="137">
        <v>0</v>
      </c>
      <c r="AV262" s="81">
        <v>1021.7588199946455</v>
      </c>
      <c r="AW262" s="137">
        <v>14.977018820812448</v>
      </c>
      <c r="AX262" s="137">
        <v>14.694116670523906</v>
      </c>
      <c r="AY262" s="137"/>
      <c r="AZ262" s="81"/>
      <c r="BA262" s="137"/>
      <c r="BB262" s="81">
        <v>14.857152033415076</v>
      </c>
      <c r="BC262" s="137">
        <v>3773.8676378796122</v>
      </c>
      <c r="BD262" s="81">
        <v>2407.0092646789467</v>
      </c>
      <c r="BE262" s="137">
        <v>1040.1607911344659</v>
      </c>
      <c r="BF262" s="159"/>
      <c r="BG262"/>
      <c r="BH262"/>
      <c r="BI262"/>
      <c r="BJ262"/>
      <c r="BK262"/>
      <c r="BL262"/>
      <c r="BM262"/>
      <c r="BN262"/>
      <c r="BO262"/>
      <c r="BP262"/>
      <c r="BQ262"/>
      <c r="BR262"/>
      <c r="BS262"/>
      <c r="BT262"/>
      <c r="BU262"/>
      <c r="BV262"/>
      <c r="BW262"/>
      <c r="BX262"/>
      <c r="BY262"/>
      <c r="BZ262"/>
      <c r="CA262"/>
      <c r="CB262"/>
      <c r="CC262"/>
      <c r="CD262"/>
      <c r="CE262"/>
      <c r="CF262"/>
      <c r="CG262"/>
    </row>
    <row r="263" spans="1:85" ht="14.4">
      <c r="A263" s="170" t="s">
        <v>375</v>
      </c>
      <c r="B263" s="82"/>
      <c r="C263" s="137">
        <v>125.61819087525424</v>
      </c>
      <c r="D263" s="81">
        <v>165.70941830707761</v>
      </c>
      <c r="E263" s="137">
        <v>33.585270962430805</v>
      </c>
      <c r="F263" s="81">
        <v>1122.7565157936115</v>
      </c>
      <c r="G263" s="137">
        <v>169.2398243515554</v>
      </c>
      <c r="H263" s="81"/>
      <c r="I263" s="137"/>
      <c r="J263" s="81">
        <v>413.79082701511072</v>
      </c>
      <c r="K263" s="137">
        <v>486.25404232227203</v>
      </c>
      <c r="L263" s="62">
        <v>1446.2435261325077</v>
      </c>
      <c r="M263" s="137">
        <v>17.2760320816048</v>
      </c>
      <c r="N263" s="81">
        <v>1583.1406650438012</v>
      </c>
      <c r="O263" s="137">
        <v>803.92008237111452</v>
      </c>
      <c r="P263" s="81">
        <v>283.17831882765284</v>
      </c>
      <c r="Q263" s="137"/>
      <c r="R263" s="81">
        <v>39.743946791833771</v>
      </c>
      <c r="S263" s="137">
        <v>111.16060366269213</v>
      </c>
      <c r="T263" s="81">
        <v>74.273419696760499</v>
      </c>
      <c r="U263" s="137">
        <v>272.30287383590411</v>
      </c>
      <c r="V263" s="81"/>
      <c r="W263" s="137">
        <v>139.35135187567695</v>
      </c>
      <c r="X263" s="81">
        <v>1.9871973395916886</v>
      </c>
      <c r="Y263" s="137"/>
      <c r="Z263" s="81"/>
      <c r="AA263" s="137">
        <v>32.416039078833663</v>
      </c>
      <c r="AB263" s="81">
        <v>158.97852004261983</v>
      </c>
      <c r="AC263" s="137">
        <v>1.9871973395916886</v>
      </c>
      <c r="AD263" s="137">
        <v>19.478224088301438</v>
      </c>
      <c r="AE263" s="137"/>
      <c r="AF263" s="81">
        <v>39.743946791833771</v>
      </c>
      <c r="AG263" s="137">
        <v>18.731595825291596</v>
      </c>
      <c r="AH263" s="81">
        <v>254.64151981461151</v>
      </c>
      <c r="AI263" s="137">
        <v>30.743581548697428</v>
      </c>
      <c r="AJ263" s="81">
        <v>80.301590171362335</v>
      </c>
      <c r="AK263" s="137">
        <v>284.14714566121904</v>
      </c>
      <c r="AL263" s="137">
        <v>1143.6731129892423</v>
      </c>
      <c r="AM263" s="137"/>
      <c r="AN263" s="81"/>
      <c r="AO263" s="137"/>
      <c r="AP263" s="137">
        <v>48.031463938629358</v>
      </c>
      <c r="AQ263" s="137"/>
      <c r="AR263" s="137"/>
      <c r="AS263" s="137"/>
      <c r="AT263" s="81"/>
      <c r="AU263" s="137">
        <v>0</v>
      </c>
      <c r="AV263" s="81">
        <v>160.68180390396185</v>
      </c>
      <c r="AW263" s="137">
        <v>3.0790374136251142</v>
      </c>
      <c r="AX263" s="137">
        <v>2.1262808715821291</v>
      </c>
      <c r="AY263" s="137"/>
      <c r="AZ263" s="81"/>
      <c r="BA263" s="137"/>
      <c r="BB263" s="81">
        <v>0.45716333713209828</v>
      </c>
      <c r="BC263" s="137">
        <v>486.25404232227203</v>
      </c>
      <c r="BD263" s="81">
        <v>71.113551246264308</v>
      </c>
      <c r="BE263" s="137">
        <v>143.16237856881042</v>
      </c>
      <c r="BF263" s="159"/>
      <c r="BG263"/>
      <c r="BH263"/>
      <c r="BI263"/>
      <c r="BJ263"/>
      <c r="BK263"/>
      <c r="BL263"/>
      <c r="BM263"/>
      <c r="BN263"/>
      <c r="BO263"/>
      <c r="BP263"/>
      <c r="BQ263"/>
      <c r="BR263"/>
      <c r="BS263"/>
      <c r="BT263"/>
      <c r="BU263"/>
      <c r="BV263"/>
      <c r="BW263"/>
      <c r="BX263"/>
      <c r="BY263"/>
      <c r="BZ263"/>
      <c r="CA263"/>
      <c r="CB263"/>
      <c r="CC263"/>
      <c r="CD263"/>
      <c r="CE263"/>
      <c r="CF263"/>
      <c r="CG263"/>
    </row>
    <row r="264" spans="1:85" ht="14.4">
      <c r="A264" s="170" t="s">
        <v>376</v>
      </c>
      <c r="B264" s="82"/>
      <c r="C264" s="137">
        <v>95.199352402205861</v>
      </c>
      <c r="D264" s="81">
        <v>108.55735330826852</v>
      </c>
      <c r="E264" s="137">
        <v>27.749355233952773</v>
      </c>
      <c r="F264" s="81">
        <v>499.50635120084331</v>
      </c>
      <c r="G264" s="137">
        <v>98.637501697788721</v>
      </c>
      <c r="H264" s="81"/>
      <c r="I264" s="137"/>
      <c r="J264" s="81">
        <v>209.60777780853135</v>
      </c>
      <c r="K264" s="137">
        <v>298.22841660414775</v>
      </c>
      <c r="L264" s="62">
        <v>687.62801577662083</v>
      </c>
      <c r="M264" s="137">
        <v>9.758336855803849</v>
      </c>
      <c r="N264" s="81">
        <v>1714.5090203681757</v>
      </c>
      <c r="O264" s="137">
        <v>454.09286877141437</v>
      </c>
      <c r="P264" s="81">
        <v>180.51145961056224</v>
      </c>
      <c r="Q264" s="137"/>
      <c r="R264" s="81">
        <v>31.326947275959423</v>
      </c>
      <c r="S264" s="137">
        <v>84.976022006354412</v>
      </c>
      <c r="T264" s="81">
        <v>65.131914964278735</v>
      </c>
      <c r="U264" s="137">
        <v>189.79552838059243</v>
      </c>
      <c r="V264" s="81"/>
      <c r="W264" s="137">
        <v>91.541268120972006</v>
      </c>
      <c r="X264" s="81">
        <v>1.5663473637979712</v>
      </c>
      <c r="Y264" s="137"/>
      <c r="Z264" s="81"/>
      <c r="AA264" s="137">
        <v>20.293662881895262</v>
      </c>
      <c r="AB264" s="81">
        <v>120.28006394715311</v>
      </c>
      <c r="AC264" s="137">
        <v>1.5663473637979712</v>
      </c>
      <c r="AD264" s="137">
        <v>17.661712827178473</v>
      </c>
      <c r="AE264" s="137"/>
      <c r="AF264" s="81">
        <v>31.326947275959423</v>
      </c>
      <c r="AG264" s="137">
        <v>9.8823505003000314</v>
      </c>
      <c r="AH264" s="81">
        <v>180.65111537249172</v>
      </c>
      <c r="AI264" s="137">
        <v>26.728709867637811</v>
      </c>
      <c r="AJ264" s="81">
        <v>69.518655309708976</v>
      </c>
      <c r="AK264" s="137">
        <v>276.69627583456338</v>
      </c>
      <c r="AL264" s="137">
        <v>899.80758173513937</v>
      </c>
      <c r="AM264" s="137"/>
      <c r="AN264" s="81"/>
      <c r="AO264" s="137"/>
      <c r="AP264" s="137">
        <v>44.372824733022291</v>
      </c>
      <c r="AQ264" s="137"/>
      <c r="AR264" s="137"/>
      <c r="AS264" s="137"/>
      <c r="AT264" s="81"/>
      <c r="AU264" s="137">
        <v>0</v>
      </c>
      <c r="AV264" s="81">
        <v>115.4138766803041</v>
      </c>
      <c r="AW264" s="137">
        <v>0.53696271424692688</v>
      </c>
      <c r="AX264" s="137">
        <v>1.2010260745604737</v>
      </c>
      <c r="AY264" s="137"/>
      <c r="AZ264" s="81"/>
      <c r="BA264" s="137"/>
      <c r="BB264" s="81">
        <v>0.4384359045411611</v>
      </c>
      <c r="BC264" s="137">
        <v>298.22841660414775</v>
      </c>
      <c r="BD264" s="81">
        <v>24.639795157947056</v>
      </c>
      <c r="BE264" s="137">
        <v>82.301255131074484</v>
      </c>
      <c r="BF264" s="159"/>
      <c r="BG264"/>
      <c r="BH264"/>
      <c r="BI264"/>
      <c r="BJ264"/>
      <c r="BK264"/>
      <c r="BL264"/>
      <c r="BM264"/>
      <c r="BN264"/>
      <c r="BO264"/>
      <c r="BP264"/>
      <c r="BQ264"/>
      <c r="BR264"/>
      <c r="BS264"/>
      <c r="BT264"/>
      <c r="BU264"/>
      <c r="BV264"/>
      <c r="BW264"/>
      <c r="BX264"/>
      <c r="BY264"/>
      <c r="BZ264"/>
      <c r="CA264"/>
      <c r="CB264"/>
      <c r="CC264"/>
      <c r="CD264"/>
      <c r="CE264"/>
      <c r="CF264"/>
      <c r="CG264"/>
    </row>
    <row r="265" spans="1:85" ht="14.4">
      <c r="A265" s="170" t="s">
        <v>377</v>
      </c>
      <c r="B265" s="82"/>
      <c r="C265" s="137">
        <v>125.33288224144533</v>
      </c>
      <c r="D265" s="81">
        <v>873.78360771599569</v>
      </c>
      <c r="E265" s="137">
        <v>115.16649170375183</v>
      </c>
      <c r="F265" s="81">
        <v>3904.5519149600764</v>
      </c>
      <c r="G265" s="137">
        <v>1382.6348412728412</v>
      </c>
      <c r="H265" s="81"/>
      <c r="I265" s="137"/>
      <c r="J265" s="81">
        <v>3692.4900211551458</v>
      </c>
      <c r="K265" s="137">
        <v>1919.2899979317453</v>
      </c>
      <c r="L265" s="62">
        <v>9797.04594131046</v>
      </c>
      <c r="M265" s="137">
        <v>99.928701995435091</v>
      </c>
      <c r="N265" s="81">
        <v>22983.004616646718</v>
      </c>
      <c r="O265" s="137">
        <v>4650.0660545165138</v>
      </c>
      <c r="P265" s="81">
        <v>350.13810183971799</v>
      </c>
      <c r="Q265" s="137"/>
      <c r="R265" s="81">
        <v>232.05200104112546</v>
      </c>
      <c r="S265" s="137">
        <v>910.02062564863968</v>
      </c>
      <c r="T265" s="81">
        <v>548.31537129491915</v>
      </c>
      <c r="U265" s="137">
        <v>7236.9507901262696</v>
      </c>
      <c r="V265" s="81"/>
      <c r="W265" s="137">
        <v>771.42334982567058</v>
      </c>
      <c r="X265" s="81">
        <v>11.602600052056275</v>
      </c>
      <c r="Y265" s="137"/>
      <c r="Z265" s="81"/>
      <c r="AA265" s="137">
        <v>196.58710246530137</v>
      </c>
      <c r="AB265" s="81">
        <v>1008.8337766962412</v>
      </c>
      <c r="AC265" s="137">
        <v>11.602600052056275</v>
      </c>
      <c r="AD265" s="137">
        <v>1951.9584756474931</v>
      </c>
      <c r="AE265" s="137"/>
      <c r="AF265" s="81">
        <v>232.05200104112546</v>
      </c>
      <c r="AG265" s="137">
        <v>76.746919049116542</v>
      </c>
      <c r="AH265" s="81">
        <v>11513.35929154051</v>
      </c>
      <c r="AI265" s="137">
        <v>141.20084279041819</v>
      </c>
      <c r="AJ265" s="81">
        <v>473.48954103153091</v>
      </c>
      <c r="AK265" s="137">
        <v>910.94494541715903</v>
      </c>
      <c r="AL265" s="137">
        <v>11393.557221331293</v>
      </c>
      <c r="AM265" s="137"/>
      <c r="AN265" s="81"/>
      <c r="AO265" s="137"/>
      <c r="AP265" s="137">
        <v>415.83542488048738</v>
      </c>
      <c r="AQ265" s="137"/>
      <c r="AR265" s="137"/>
      <c r="AS265" s="137"/>
      <c r="AT265" s="81"/>
      <c r="AU265" s="137">
        <v>0</v>
      </c>
      <c r="AV265" s="81">
        <v>969.84624432984447</v>
      </c>
      <c r="AW265" s="137">
        <v>1.6478395530232821</v>
      </c>
      <c r="AX265" s="137">
        <v>12.298917168668934</v>
      </c>
      <c r="AY265" s="137"/>
      <c r="AZ265" s="81"/>
      <c r="BA265" s="137"/>
      <c r="BB265" s="81">
        <v>0.23925377644050166</v>
      </c>
      <c r="BC265" s="137">
        <v>1919.2899979317453</v>
      </c>
      <c r="BD265" s="81">
        <v>2998.10435771117</v>
      </c>
      <c r="BE265" s="137">
        <v>786.9240287836069</v>
      </c>
      <c r="BF265" s="159"/>
      <c r="BG265"/>
      <c r="BH265"/>
      <c r="BI265"/>
      <c r="BJ265"/>
      <c r="BK265"/>
      <c r="BL265"/>
      <c r="BM265"/>
      <c r="BN265"/>
      <c r="BO265"/>
      <c r="BP265"/>
      <c r="BQ265"/>
      <c r="BR265"/>
      <c r="BS265"/>
      <c r="BT265"/>
      <c r="BU265"/>
      <c r="BV265"/>
      <c r="BW265"/>
      <c r="BX265"/>
      <c r="BY265"/>
      <c r="BZ265"/>
      <c r="CA265"/>
      <c r="CB265"/>
      <c r="CC265"/>
      <c r="CD265"/>
      <c r="CE265"/>
      <c r="CF265"/>
      <c r="CG265"/>
    </row>
    <row r="266" spans="1:85" ht="14.4">
      <c r="A266" s="170" t="s">
        <v>378</v>
      </c>
      <c r="B266" s="82"/>
      <c r="C266" s="137">
        <v>7.7911652028071732</v>
      </c>
      <c r="D266" s="81">
        <v>10.83603868959937</v>
      </c>
      <c r="E266" s="137">
        <v>4.2532520214263583</v>
      </c>
      <c r="F266" s="81">
        <v>2.4820924045097006</v>
      </c>
      <c r="G266" s="137">
        <v>7.9282525472817014</v>
      </c>
      <c r="H266" s="81"/>
      <c r="I266" s="137"/>
      <c r="J266" s="81">
        <v>5.4318274472689785</v>
      </c>
      <c r="K266" s="137">
        <v>25.079905420359896</v>
      </c>
      <c r="L266" s="62">
        <v>7.2223731680576222</v>
      </c>
      <c r="M266" s="137">
        <v>0.5201209089610328</v>
      </c>
      <c r="N266" s="81">
        <v>29.28478514968322</v>
      </c>
      <c r="O266" s="137">
        <v>24.203222244540491</v>
      </c>
      <c r="P266" s="81">
        <v>6.3780595225611991</v>
      </c>
      <c r="Q266" s="137"/>
      <c r="R266" s="81">
        <v>9.8189626905501513</v>
      </c>
      <c r="S266" s="137">
        <v>10.43175161538843</v>
      </c>
      <c r="T266" s="81">
        <v>10.138704106247346</v>
      </c>
      <c r="U266" s="137">
        <v>20.275671167713401</v>
      </c>
      <c r="V266" s="81"/>
      <c r="W266" s="137">
        <v>9.0084964765905795</v>
      </c>
      <c r="X266" s="81">
        <v>0.49094813452750757</v>
      </c>
      <c r="Y266" s="137"/>
      <c r="Z266" s="81"/>
      <c r="AA266" s="137">
        <v>1.4673069948595954</v>
      </c>
      <c r="AB266" s="81">
        <v>10.79970416025604</v>
      </c>
      <c r="AC266" s="137">
        <v>0.49094813452750757</v>
      </c>
      <c r="AD266" s="137">
        <v>2.5161608732301293</v>
      </c>
      <c r="AE266" s="137"/>
      <c r="AF266" s="81">
        <v>9.8189626905501513</v>
      </c>
      <c r="AG266" s="137">
        <v>0.69022374337232772</v>
      </c>
      <c r="AH266" s="81">
        <v>19.058934397063485</v>
      </c>
      <c r="AI266" s="137">
        <v>4.3986360110970457</v>
      </c>
      <c r="AJ266" s="81">
        <v>7.980285888034425</v>
      </c>
      <c r="AK266" s="137">
        <v>43.88627456744689</v>
      </c>
      <c r="AL266" s="137">
        <v>59.118642093254216</v>
      </c>
      <c r="AM266" s="137"/>
      <c r="AN266" s="81"/>
      <c r="AO266" s="137"/>
      <c r="AP266" s="137">
        <v>7.3756726489125972</v>
      </c>
      <c r="AQ266" s="137"/>
      <c r="AR266" s="137"/>
      <c r="AS266" s="137"/>
      <c r="AT266" s="81"/>
      <c r="AU266" s="137">
        <v>0</v>
      </c>
      <c r="AV266" s="81">
        <v>10.809781611334166</v>
      </c>
      <c r="AW266" s="137">
        <v>0.10855087119837439</v>
      </c>
      <c r="AX266" s="137">
        <v>6.401488110289634E-2</v>
      </c>
      <c r="AY266" s="137"/>
      <c r="AZ266" s="81"/>
      <c r="BA266" s="137"/>
      <c r="BB266" s="81">
        <v>0.33271872165922006</v>
      </c>
      <c r="BC266" s="137">
        <v>25.079905420359896</v>
      </c>
      <c r="BD266" s="81">
        <v>1.6029524857274455</v>
      </c>
      <c r="BE266" s="137">
        <v>5.6637228293883579</v>
      </c>
      <c r="BF266" s="159"/>
      <c r="BG266"/>
      <c r="BH266"/>
      <c r="BI266"/>
      <c r="BJ266"/>
      <c r="BK266"/>
      <c r="BL266"/>
      <c r="BM266"/>
      <c r="BN266"/>
      <c r="BO266"/>
      <c r="BP266"/>
      <c r="BQ266"/>
      <c r="BR266"/>
      <c r="BS266"/>
      <c r="BT266"/>
      <c r="BU266"/>
      <c r="BV266"/>
      <c r="BW266"/>
      <c r="BX266"/>
      <c r="BY266"/>
      <c r="BZ266"/>
      <c r="CA266"/>
      <c r="CB266"/>
      <c r="CC266"/>
      <c r="CD266"/>
      <c r="CE266"/>
      <c r="CF266"/>
      <c r="CG266"/>
    </row>
    <row r="267" spans="1:85" ht="14.4">
      <c r="A267" s="170" t="s">
        <v>379</v>
      </c>
      <c r="B267" s="82"/>
      <c r="C267" s="137">
        <v>14.882046440174404</v>
      </c>
      <c r="D267" s="81">
        <v>33.6792690791046</v>
      </c>
      <c r="E267" s="137">
        <v>7.2315462857963944</v>
      </c>
      <c r="F267" s="81">
        <v>6.2696402840498848</v>
      </c>
      <c r="G267" s="137">
        <v>25.331465500499018</v>
      </c>
      <c r="H267" s="81"/>
      <c r="I267" s="137"/>
      <c r="J267" s="81">
        <v>10.416848451371237</v>
      </c>
      <c r="K267" s="137">
        <v>69.594042886456862</v>
      </c>
      <c r="L267" s="62">
        <v>18.887704722957359</v>
      </c>
      <c r="M267" s="137">
        <v>2.7206939969333401</v>
      </c>
      <c r="N267" s="81">
        <v>72.843463358802182</v>
      </c>
      <c r="O267" s="137">
        <v>126.60433436275915</v>
      </c>
      <c r="P267" s="81">
        <v>17.955423208829444</v>
      </c>
      <c r="Q267" s="137"/>
      <c r="R267" s="81">
        <v>7.572422356949656</v>
      </c>
      <c r="S267" s="137">
        <v>27.923369128229471</v>
      </c>
      <c r="T267" s="81">
        <v>24.894197600733548</v>
      </c>
      <c r="U267" s="137">
        <v>63.026561369099056</v>
      </c>
      <c r="V267" s="81"/>
      <c r="W267" s="137">
        <v>29.055259616174851</v>
      </c>
      <c r="X267" s="81">
        <v>0.37862111784748281</v>
      </c>
      <c r="Y267" s="137"/>
      <c r="Z267" s="81"/>
      <c r="AA267" s="137">
        <v>5.4911723950658864</v>
      </c>
      <c r="AB267" s="81">
        <v>39.131615951726459</v>
      </c>
      <c r="AC267" s="137">
        <v>0.37862111784748281</v>
      </c>
      <c r="AD267" s="137">
        <v>7.440154681631209</v>
      </c>
      <c r="AE267" s="137"/>
      <c r="AF267" s="81">
        <v>7.572422356949656</v>
      </c>
      <c r="AG267" s="137">
        <v>1.0286025827070855</v>
      </c>
      <c r="AH267" s="81">
        <v>61.218228179421502</v>
      </c>
      <c r="AI267" s="137">
        <v>10.026272239728288</v>
      </c>
      <c r="AJ267" s="81">
        <v>24.860302693356289</v>
      </c>
      <c r="AK267" s="137">
        <v>109.49150736403885</v>
      </c>
      <c r="AL267" s="137">
        <v>137.57660032276368</v>
      </c>
      <c r="AM267" s="137"/>
      <c r="AN267" s="81"/>
      <c r="AO267" s="137"/>
      <c r="AP267" s="137">
        <v>18.41219205221477</v>
      </c>
      <c r="AQ267" s="137"/>
      <c r="AR267" s="137"/>
      <c r="AS267" s="137"/>
      <c r="AT267" s="81"/>
      <c r="AU267" s="137">
        <v>0</v>
      </c>
      <c r="AV267" s="81">
        <v>27.474462997595559</v>
      </c>
      <c r="AW267" s="137">
        <v>9.4057881736307483E-2</v>
      </c>
      <c r="AX267" s="137">
        <v>0.33485464577641111</v>
      </c>
      <c r="AY267" s="137"/>
      <c r="AZ267" s="81"/>
      <c r="BA267" s="137"/>
      <c r="BB267" s="81">
        <v>8.2482848808545783E-2</v>
      </c>
      <c r="BC267" s="137">
        <v>69.594042886456862</v>
      </c>
      <c r="BD267" s="81">
        <v>2.189224779317855</v>
      </c>
      <c r="BE267" s="137">
        <v>22.311850553592599</v>
      </c>
      <c r="BF267" s="159"/>
      <c r="BG267"/>
      <c r="BH267"/>
      <c r="BI267"/>
      <c r="BJ267"/>
      <c r="BK267"/>
      <c r="BL267"/>
      <c r="BM267"/>
      <c r="BN267"/>
      <c r="BO267"/>
      <c r="BP267"/>
      <c r="BQ267"/>
      <c r="BR267"/>
      <c r="BS267"/>
      <c r="BT267"/>
      <c r="BU267"/>
      <c r="BV267"/>
      <c r="BW267"/>
      <c r="BX267"/>
      <c r="BY267"/>
      <c r="BZ267"/>
      <c r="CA267"/>
      <c r="CB267"/>
      <c r="CC267"/>
      <c r="CD267"/>
      <c r="CE267"/>
      <c r="CF267"/>
      <c r="CG267"/>
    </row>
    <row r="268" spans="1:85" ht="14.4">
      <c r="A268" s="170" t="s">
        <v>380</v>
      </c>
      <c r="B268" s="82"/>
      <c r="C268" s="137">
        <v>612.84997234921286</v>
      </c>
      <c r="D268" s="81">
        <v>4273.9537708294993</v>
      </c>
      <c r="E268" s="137">
        <v>2787.3026718229835</v>
      </c>
      <c r="F268" s="81">
        <v>3354.8818789452607</v>
      </c>
      <c r="G268" s="137">
        <v>28478.051281703716</v>
      </c>
      <c r="H268" s="81"/>
      <c r="I268" s="137"/>
      <c r="J268" s="81">
        <v>3013.6114882794686</v>
      </c>
      <c r="K268" s="139">
        <v>167148.18617883683</v>
      </c>
      <c r="L268" s="62">
        <v>3670.5005777883134</v>
      </c>
      <c r="M268" s="137">
        <v>329.29239145655515</v>
      </c>
      <c r="N268" s="81">
        <v>12555.068426433681</v>
      </c>
      <c r="O268" s="137">
        <v>15323.238878782193</v>
      </c>
      <c r="P268" s="81">
        <v>1668.4776713918195</v>
      </c>
      <c r="Q268" s="137"/>
      <c r="R268" s="81">
        <v>456.04665647673551</v>
      </c>
      <c r="S268" s="137">
        <v>818.35396290420545</v>
      </c>
      <c r="T268" s="81">
        <v>405.06879744521035</v>
      </c>
      <c r="U268" s="137">
        <v>5127.602780551153</v>
      </c>
      <c r="V268" s="81"/>
      <c r="W268" s="137">
        <v>3675.9483465157714</v>
      </c>
      <c r="X268" s="81">
        <v>22.802332823836778</v>
      </c>
      <c r="Y268" s="137"/>
      <c r="Z268" s="81"/>
      <c r="AA268" s="137">
        <v>666.74154583888469</v>
      </c>
      <c r="AB268" s="81">
        <v>8459.7630246508106</v>
      </c>
      <c r="AC268" s="137">
        <v>22.802332823836778</v>
      </c>
      <c r="AD268" s="137">
        <v>60.41843376833387</v>
      </c>
      <c r="AE268" s="137"/>
      <c r="AF268" s="81">
        <v>456.04665647673551</v>
      </c>
      <c r="AG268" s="137">
        <v>121.0954840821143</v>
      </c>
      <c r="AH268" s="81">
        <v>2792.1783153082765</v>
      </c>
      <c r="AI268" s="137">
        <v>1238.1201906841454</v>
      </c>
      <c r="AJ268" s="81">
        <v>5260.7255950123526</v>
      </c>
      <c r="AK268" s="137">
        <v>16009.683590072378</v>
      </c>
      <c r="AL268" s="137">
        <v>3233.7013886275449</v>
      </c>
      <c r="AM268" s="137"/>
      <c r="AN268" s="81"/>
      <c r="AO268" s="137"/>
      <c r="AP268" s="137">
        <v>5621.6762704845978</v>
      </c>
      <c r="AQ268" s="137"/>
      <c r="AR268" s="137"/>
      <c r="AS268" s="137"/>
      <c r="AT268" s="81"/>
      <c r="AU268" s="137">
        <v>0</v>
      </c>
      <c r="AV268" s="81">
        <v>1935.9408081220136</v>
      </c>
      <c r="AW268" s="137">
        <v>9.9279536517452787</v>
      </c>
      <c r="AX268" s="137">
        <v>40.528294333114481</v>
      </c>
      <c r="AY268" s="137"/>
      <c r="AZ268" s="81"/>
      <c r="BA268" s="137"/>
      <c r="BB268" s="81">
        <v>2.5349717940182863</v>
      </c>
      <c r="BC268" s="137">
        <v>167148.18617883683</v>
      </c>
      <c r="BD268" s="81">
        <v>951.27656517346509</v>
      </c>
      <c r="BE268" s="137">
        <v>8709.6663345329198</v>
      </c>
      <c r="BF268" s="159"/>
      <c r="BG268"/>
      <c r="BH268"/>
      <c r="BI268"/>
      <c r="BJ268"/>
      <c r="BK268"/>
      <c r="BL268"/>
      <c r="BM268"/>
      <c r="BN268"/>
      <c r="BO268"/>
      <c r="BP268"/>
      <c r="BQ268"/>
      <c r="BR268"/>
      <c r="BS268"/>
      <c r="BT268"/>
      <c r="BU268"/>
      <c r="BV268"/>
      <c r="BW268"/>
      <c r="BX268"/>
      <c r="BY268"/>
      <c r="BZ268"/>
      <c r="CA268"/>
      <c r="CB268"/>
      <c r="CC268"/>
      <c r="CD268"/>
      <c r="CE268"/>
      <c r="CF268"/>
      <c r="CG268"/>
    </row>
    <row r="269" spans="1:85" ht="14.4">
      <c r="A269" s="170" t="s">
        <v>381</v>
      </c>
      <c r="B269" s="82"/>
      <c r="C269" s="137">
        <v>1.0776694260117843</v>
      </c>
      <c r="D269" s="81">
        <v>40.072047751036571</v>
      </c>
      <c r="E269" s="137">
        <v>4.9046524160475604</v>
      </c>
      <c r="F269" s="81">
        <v>3.6326593419377358</v>
      </c>
      <c r="G269" s="137">
        <v>28.890399232491646</v>
      </c>
      <c r="H269" s="81"/>
      <c r="I269" s="137"/>
      <c r="J269" s="81">
        <v>9.8959019941378195</v>
      </c>
      <c r="K269" s="137">
        <v>71.908171003927009</v>
      </c>
      <c r="L269" s="62">
        <v>15.936644041588869</v>
      </c>
      <c r="M269" s="137">
        <v>3.125506793563197</v>
      </c>
      <c r="N269" s="81">
        <v>110.55732426035524</v>
      </c>
      <c r="O269" s="137">
        <v>145.44182755994274</v>
      </c>
      <c r="P269" s="81">
        <v>16.57934419079151</v>
      </c>
      <c r="Q269" s="137"/>
      <c r="R269" s="81">
        <v>758.85906049343134</v>
      </c>
      <c r="S269" s="137">
        <v>9.4455544263398643</v>
      </c>
      <c r="T269" s="81">
        <v>4.3105443759520217</v>
      </c>
      <c r="U269" s="137">
        <v>50.651543503878294</v>
      </c>
      <c r="V269" s="81"/>
      <c r="W269" s="137">
        <v>34.396547189289805</v>
      </c>
      <c r="X269" s="81">
        <v>37.942953024671567</v>
      </c>
      <c r="Y269" s="137"/>
      <c r="Z269" s="81"/>
      <c r="AA269" s="137">
        <v>5.8047354719125721</v>
      </c>
      <c r="AB269" s="81">
        <v>35.838931825938161</v>
      </c>
      <c r="AC269" s="137">
        <v>37.942953024671567</v>
      </c>
      <c r="AD269" s="137">
        <v>0.94024181053032319</v>
      </c>
      <c r="AE269" s="137"/>
      <c r="AF269" s="81">
        <v>758.85906049343134</v>
      </c>
      <c r="AG269" s="137">
        <v>1.5459331850479843</v>
      </c>
      <c r="AH269" s="81">
        <v>29.484396776476114</v>
      </c>
      <c r="AI269" s="137">
        <v>12.534623950467051</v>
      </c>
      <c r="AJ269" s="81">
        <v>23.903023653125004</v>
      </c>
      <c r="AK269" s="137">
        <v>125.6522657128907</v>
      </c>
      <c r="AL269" s="137">
        <v>35.453742375040015</v>
      </c>
      <c r="AM269" s="137"/>
      <c r="AN269" s="81"/>
      <c r="AO269" s="137"/>
      <c r="AP269" s="137">
        <v>38.252113307402958</v>
      </c>
      <c r="AQ269" s="137"/>
      <c r="AR269" s="137"/>
      <c r="AS269" s="137"/>
      <c r="AT269" s="81"/>
      <c r="AU269" s="137">
        <v>0</v>
      </c>
      <c r="AV269" s="81">
        <v>18.238040117404562</v>
      </c>
      <c r="AW269" s="137">
        <v>6.0938229029025182E-2</v>
      </c>
      <c r="AX269" s="137">
        <v>0.38467775920777814</v>
      </c>
      <c r="AY269" s="137"/>
      <c r="AZ269" s="81"/>
      <c r="BA269" s="137"/>
      <c r="BB269" s="81">
        <v>1.9604885638519282E-2</v>
      </c>
      <c r="BC269" s="137">
        <v>71.908171003927009</v>
      </c>
      <c r="BD269" s="81">
        <v>5.8117069047581698</v>
      </c>
      <c r="BE269" s="137">
        <v>25.100635056165444</v>
      </c>
      <c r="BF269" s="159"/>
      <c r="BG269"/>
      <c r="BH269"/>
      <c r="BI269"/>
      <c r="BJ269"/>
      <c r="BK269"/>
      <c r="BL269"/>
      <c r="BM269"/>
      <c r="BN269"/>
      <c r="BO269"/>
      <c r="BP269"/>
      <c r="BQ269"/>
      <c r="BR269"/>
      <c r="BS269"/>
      <c r="BT269"/>
      <c r="BU269"/>
      <c r="BV269"/>
      <c r="BW269"/>
      <c r="BX269"/>
      <c r="BY269"/>
      <c r="BZ269"/>
      <c r="CA269"/>
      <c r="CB269"/>
      <c r="CC269"/>
      <c r="CD269"/>
      <c r="CE269"/>
      <c r="CF269"/>
      <c r="CG269"/>
    </row>
    <row r="270" spans="1:85" ht="14.4">
      <c r="A270" s="170" t="s">
        <v>382</v>
      </c>
      <c r="B270" s="82"/>
      <c r="C270"/>
      <c r="D270"/>
      <c r="E270"/>
      <c r="F270"/>
      <c r="G270" s="137">
        <v>0</v>
      </c>
      <c r="H270" s="81"/>
      <c r="I270" s="137"/>
      <c r="J270" s="81">
        <v>0</v>
      </c>
      <c r="K270"/>
      <c r="L270"/>
      <c r="M270"/>
      <c r="N270" s="81">
        <v>32.114066162375508</v>
      </c>
      <c r="O270" s="137">
        <v>0</v>
      </c>
      <c r="P270" s="81">
        <v>0</v>
      </c>
      <c r="Q270" s="137"/>
      <c r="R270"/>
      <c r="S270"/>
      <c r="T270"/>
      <c r="U270" s="137">
        <v>0</v>
      </c>
      <c r="V270" s="81"/>
      <c r="W270"/>
      <c r="X270" s="81"/>
      <c r="Y270" s="137"/>
      <c r="Z270" s="81"/>
      <c r="AA270" s="137">
        <v>0</v>
      </c>
      <c r="AB270"/>
      <c r="AC270" s="137">
        <v>0</v>
      </c>
      <c r="AD270"/>
      <c r="AE270" s="137"/>
      <c r="AF270" s="81">
        <v>0</v>
      </c>
      <c r="AG270"/>
      <c r="AH270"/>
      <c r="AI270" s="137">
        <v>0</v>
      </c>
      <c r="AJ270"/>
      <c r="AK270"/>
      <c r="AL270" s="137"/>
      <c r="AM270" s="137"/>
      <c r="AN270" s="81"/>
      <c r="AO270" s="137"/>
      <c r="AP270"/>
      <c r="AQ270" s="137"/>
      <c r="AR270" s="137"/>
      <c r="AS270" s="137"/>
      <c r="AT270" s="81"/>
      <c r="AU270" s="137">
        <v>0</v>
      </c>
      <c r="AV270"/>
      <c r="AW270"/>
      <c r="AX270" s="137"/>
      <c r="AY270" s="137"/>
      <c r="AZ270" s="81"/>
      <c r="BA270" s="137"/>
      <c r="BB270" s="81">
        <v>0</v>
      </c>
      <c r="BC270" s="137">
        <v>0</v>
      </c>
      <c r="BD270" s="81">
        <v>0</v>
      </c>
      <c r="BE270" s="137">
        <v>0</v>
      </c>
      <c r="BF270" s="159"/>
      <c r="BG270"/>
      <c r="BH270"/>
      <c r="BI270"/>
      <c r="BJ270"/>
      <c r="BK270"/>
      <c r="BL270"/>
      <c r="BM270"/>
      <c r="BN270"/>
      <c r="BO270"/>
      <c r="BP270"/>
      <c r="BQ270"/>
      <c r="BR270"/>
      <c r="BS270"/>
      <c r="BT270"/>
      <c r="BU270"/>
      <c r="BV270"/>
      <c r="BW270"/>
      <c r="BX270"/>
      <c r="BY270"/>
      <c r="BZ270"/>
      <c r="CA270"/>
      <c r="CB270"/>
      <c r="CC270"/>
      <c r="CD270"/>
      <c r="CE270"/>
      <c r="CF270"/>
      <c r="CG270"/>
    </row>
    <row r="271" spans="1:85" ht="14.4">
      <c r="A271" s="170" t="s">
        <v>383</v>
      </c>
      <c r="B271" s="82"/>
      <c r="C271" s="137"/>
      <c r="D271" s="81"/>
      <c r="E271" s="137"/>
      <c r="F271" s="81"/>
      <c r="G271" s="137">
        <v>0</v>
      </c>
      <c r="H271" s="81"/>
      <c r="I271" s="137"/>
      <c r="J271" s="81">
        <v>0</v>
      </c>
      <c r="K271"/>
      <c r="L271"/>
      <c r="M271"/>
      <c r="N271" s="81">
        <v>5.0079881616657165</v>
      </c>
      <c r="O271" s="137">
        <v>0</v>
      </c>
      <c r="P271" s="81">
        <v>0</v>
      </c>
      <c r="Q271" s="137"/>
      <c r="R271" s="81"/>
      <c r="S271" s="137"/>
      <c r="T271" s="81"/>
      <c r="U271" s="137">
        <v>0</v>
      </c>
      <c r="V271" s="81"/>
      <c r="W271" s="137"/>
      <c r="X271" s="81"/>
      <c r="Y271" s="137"/>
      <c r="Z271" s="81"/>
      <c r="AA271" s="137">
        <v>0</v>
      </c>
      <c r="AB271" s="81"/>
      <c r="AC271" s="137">
        <v>0</v>
      </c>
      <c r="AD271" s="137"/>
      <c r="AE271" s="137"/>
      <c r="AF271" s="81">
        <v>0</v>
      </c>
      <c r="AG271" s="137"/>
      <c r="AH271" s="81"/>
      <c r="AI271" s="137">
        <v>0</v>
      </c>
      <c r="AJ271" s="81"/>
      <c r="AK271" s="137"/>
      <c r="AL271" s="137"/>
      <c r="AM271" s="137"/>
      <c r="AN271" s="81"/>
      <c r="AO271" s="137"/>
      <c r="AP271" s="137"/>
      <c r="AQ271" s="137"/>
      <c r="AR271" s="137"/>
      <c r="AS271" s="137"/>
      <c r="AT271" s="81"/>
      <c r="AU271" s="137">
        <v>0</v>
      </c>
      <c r="AV271" s="81"/>
      <c r="AW271" s="137"/>
      <c r="AX271" s="137"/>
      <c r="AY271" s="137"/>
      <c r="AZ271" s="81"/>
      <c r="BA271" s="137"/>
      <c r="BB271" s="81">
        <v>0</v>
      </c>
      <c r="BC271" s="137">
        <v>0</v>
      </c>
      <c r="BD271" s="81">
        <v>0</v>
      </c>
      <c r="BE271" s="137">
        <v>0</v>
      </c>
      <c r="BF271" s="159"/>
      <c r="BG271"/>
      <c r="BH271"/>
      <c r="BI271"/>
      <c r="BJ271"/>
      <c r="BK271"/>
      <c r="BL271"/>
      <c r="BM271"/>
      <c r="BN271"/>
      <c r="BO271"/>
      <c r="BP271"/>
      <c r="BQ271"/>
      <c r="BR271"/>
      <c r="BS271"/>
      <c r="BT271"/>
      <c r="BU271"/>
      <c r="BV271"/>
      <c r="BW271"/>
      <c r="BX271"/>
      <c r="BY271"/>
      <c r="BZ271"/>
      <c r="CA271"/>
      <c r="CB271"/>
      <c r="CC271"/>
      <c r="CD271"/>
      <c r="CE271"/>
      <c r="CF271"/>
      <c r="CG271"/>
    </row>
    <row r="272" spans="1:85" ht="14.4">
      <c r="A272" s="253" t="s">
        <v>384</v>
      </c>
      <c r="B272" s="79"/>
      <c r="C272" s="139">
        <v>1143831.7047838606</v>
      </c>
      <c r="D272" s="78">
        <v>1720741.8181319407</v>
      </c>
      <c r="E272" s="139">
        <v>275415.74605584692</v>
      </c>
      <c r="F272" s="78">
        <v>252058.55452254889</v>
      </c>
      <c r="G272" s="139">
        <v>2549210.9542943868</v>
      </c>
      <c r="H272" s="78"/>
      <c r="I272" s="139"/>
      <c r="J272" s="78">
        <v>686394.46531771228</v>
      </c>
      <c r="K272" s="139">
        <v>3107455.921164826</v>
      </c>
      <c r="L272" s="58">
        <v>2099633.5012717759</v>
      </c>
      <c r="M272" s="139">
        <v>156615.67519215529</v>
      </c>
      <c r="N272" s="78">
        <v>7260163.2403231822</v>
      </c>
      <c r="O272" s="139">
        <v>7287928.4957538433</v>
      </c>
      <c r="P272" s="78">
        <v>627027.37956441077</v>
      </c>
      <c r="Q272" s="139"/>
      <c r="R272" s="78">
        <v>216355.97575543795</v>
      </c>
      <c r="S272" s="139">
        <v>429784.73311349167</v>
      </c>
      <c r="T272" s="78">
        <v>205447.85644833875</v>
      </c>
      <c r="U272" s="139">
        <v>2222148.2782340148</v>
      </c>
      <c r="V272" s="78"/>
      <c r="W272" s="139">
        <v>1477539.950464902</v>
      </c>
      <c r="X272" s="78">
        <v>10817.798787771899</v>
      </c>
      <c r="Y272" s="139"/>
      <c r="Z272" s="78"/>
      <c r="AA272" s="139">
        <v>271521.3161820001</v>
      </c>
      <c r="AB272" s="78">
        <v>1592074.8645627676</v>
      </c>
      <c r="AC272" s="139">
        <v>10817.798787771899</v>
      </c>
      <c r="AD272" s="139">
        <v>38735.937273706266</v>
      </c>
      <c r="AE272" s="139"/>
      <c r="AF272" s="78">
        <v>216355.97575543795</v>
      </c>
      <c r="AG272" s="139">
        <v>81575.622049667538</v>
      </c>
      <c r="AH272" s="78">
        <v>1398643.3963373797</v>
      </c>
      <c r="AI272" s="139">
        <v>538311.95676457067</v>
      </c>
      <c r="AJ272" s="78">
        <v>925967.45035076409</v>
      </c>
      <c r="AK272" s="139">
        <v>4884712.3559547858</v>
      </c>
      <c r="AL272" s="139">
        <v>1583617.7860429557</v>
      </c>
      <c r="AM272" s="139"/>
      <c r="AN272" s="78"/>
      <c r="AO272" s="139"/>
      <c r="AP272" s="139">
        <v>1963612.1962881051</v>
      </c>
      <c r="AQ272" s="139"/>
      <c r="AR272" s="139"/>
      <c r="AS272" s="139"/>
      <c r="AT272" s="78"/>
      <c r="AU272" s="139">
        <v>0</v>
      </c>
      <c r="AV272" s="78">
        <v>840386.83262010152</v>
      </c>
      <c r="AW272" s="139">
        <v>8038.3690849226496</v>
      </c>
      <c r="AX272" s="139">
        <v>19275.775408265265</v>
      </c>
      <c r="AY272" s="139"/>
      <c r="AZ272" s="78"/>
      <c r="BA272" s="139"/>
      <c r="BB272" s="78">
        <v>1974.9549870198275</v>
      </c>
      <c r="BC272" s="139">
        <v>3107455.921164826</v>
      </c>
      <c r="BD272" s="78">
        <v>1982963.1076478148</v>
      </c>
      <c r="BE272" s="139">
        <v>2662281.9392032973</v>
      </c>
      <c r="BF272" s="159"/>
      <c r="BG272"/>
      <c r="BH272"/>
      <c r="BI272"/>
      <c r="BJ272"/>
      <c r="BK272"/>
      <c r="BL272"/>
      <c r="BM272"/>
      <c r="BN272"/>
      <c r="BO272"/>
      <c r="BP272"/>
      <c r="BQ272"/>
      <c r="BR272"/>
      <c r="BS272"/>
      <c r="BT272"/>
      <c r="BU272"/>
      <c r="BV272"/>
      <c r="BW272"/>
      <c r="BX272"/>
      <c r="BY272"/>
      <c r="BZ272"/>
      <c r="CA272"/>
      <c r="CB272"/>
      <c r="CC272"/>
      <c r="CD272"/>
      <c r="CE272"/>
      <c r="CF272"/>
      <c r="CG272"/>
    </row>
    <row r="273" spans="1:85" ht="14.4">
      <c r="A273" s="175" t="s">
        <v>392</v>
      </c>
      <c r="B273" s="112">
        <v>0</v>
      </c>
      <c r="C273" s="112">
        <v>1144780.263750955</v>
      </c>
      <c r="D273" s="112">
        <v>1723354.1928686686</v>
      </c>
      <c r="E273" s="112">
        <v>276415.2682209512</v>
      </c>
      <c r="F273" s="112">
        <v>259940.52835029562</v>
      </c>
      <c r="G273" s="112">
        <v>2562371.2244117586</v>
      </c>
      <c r="H273" s="112">
        <v>0</v>
      </c>
      <c r="I273" s="112">
        <v>0</v>
      </c>
      <c r="J273" s="112">
        <v>688666.42246243719</v>
      </c>
      <c r="K273" s="112">
        <v>3168801.660861779</v>
      </c>
      <c r="L273" s="112">
        <v>2142268.8868272398</v>
      </c>
      <c r="M273" s="112">
        <v>156780.66373620549</v>
      </c>
      <c r="N273" s="112">
        <v>7267385.3746594703</v>
      </c>
      <c r="O273" s="112">
        <v>7295606.045974669</v>
      </c>
      <c r="P273" s="112">
        <v>628291.2572185162</v>
      </c>
      <c r="Q273" s="112">
        <v>0</v>
      </c>
      <c r="R273" s="112">
        <v>218831.58490150544</v>
      </c>
      <c r="S273" s="112">
        <v>430446.14971535234</v>
      </c>
      <c r="T273" s="112">
        <v>205925.39685066225</v>
      </c>
      <c r="U273" s="112">
        <v>2225426.1046269792</v>
      </c>
      <c r="V273" s="112">
        <v>0</v>
      </c>
      <c r="W273" s="112">
        <v>1479713.6604419355</v>
      </c>
      <c r="X273" s="112">
        <v>10941.579245075272</v>
      </c>
      <c r="Y273" s="112">
        <v>0</v>
      </c>
      <c r="Z273" s="112">
        <v>0</v>
      </c>
      <c r="AA273" s="112">
        <v>271936.46689382452</v>
      </c>
      <c r="AB273" s="112">
        <v>1596989.2752538312</v>
      </c>
      <c r="AC273" s="112">
        <v>10941.579245075272</v>
      </c>
      <c r="AD273" s="112">
        <v>38848.541534000746</v>
      </c>
      <c r="AE273" s="112">
        <v>0</v>
      </c>
      <c r="AF273" s="112">
        <v>218831.58490150544</v>
      </c>
      <c r="AG273" s="112">
        <v>81684.416438386106</v>
      </c>
      <c r="AH273" s="112">
        <v>1400619.413976935</v>
      </c>
      <c r="AI273" s="112">
        <v>539104.50055807328</v>
      </c>
      <c r="AJ273" s="112">
        <v>929130.79243491101</v>
      </c>
      <c r="AK273" s="112">
        <v>4894309.2796641206</v>
      </c>
      <c r="AL273" s="112">
        <v>1586997.9667531557</v>
      </c>
      <c r="AM273" s="112">
        <v>0</v>
      </c>
      <c r="AN273" s="112">
        <v>0</v>
      </c>
      <c r="AO273" s="112">
        <v>0</v>
      </c>
      <c r="AP273" s="112">
        <v>1985380.8465068259</v>
      </c>
      <c r="AQ273" s="112">
        <v>0</v>
      </c>
      <c r="AR273" s="112">
        <v>0</v>
      </c>
      <c r="AS273" s="112">
        <v>0</v>
      </c>
      <c r="AT273" s="112">
        <v>0</v>
      </c>
      <c r="AU273" s="112">
        <v>0</v>
      </c>
      <c r="AV273" s="112">
        <v>841892.61732474179</v>
      </c>
      <c r="AW273" s="112">
        <v>8076.101445786373</v>
      </c>
      <c r="AX273" s="112">
        <v>19296.081690609903</v>
      </c>
      <c r="AY273" s="112">
        <v>0</v>
      </c>
      <c r="AZ273" s="112">
        <v>0</v>
      </c>
      <c r="BA273" s="112">
        <v>0</v>
      </c>
      <c r="BB273" s="112">
        <v>2019.0116993668407</v>
      </c>
      <c r="BC273" s="112">
        <v>3168801.660861779</v>
      </c>
      <c r="BD273" s="112">
        <v>1983466.1568821606</v>
      </c>
      <c r="BE273" s="112">
        <v>2665922.9062422467</v>
      </c>
      <c r="BF273" s="120">
        <v>0</v>
      </c>
      <c r="BG273"/>
      <c r="BH273"/>
      <c r="BI273"/>
      <c r="BJ273"/>
      <c r="BK273"/>
      <c r="BL273"/>
      <c r="BM273"/>
      <c r="BN273"/>
      <c r="BO273"/>
      <c r="BP273"/>
      <c r="BQ273"/>
      <c r="BR273"/>
      <c r="BS273"/>
      <c r="BT273"/>
      <c r="BU273"/>
      <c r="BV273"/>
      <c r="BW273"/>
      <c r="BX273"/>
      <c r="BY273"/>
      <c r="BZ273"/>
      <c r="CA273"/>
      <c r="CB273"/>
      <c r="CC273"/>
      <c r="CD273"/>
      <c r="CE273"/>
      <c r="CF273"/>
      <c r="CG273"/>
    </row>
    <row r="274" spans="1:85" ht="14.4">
      <c r="A274" s="179" t="s">
        <v>393</v>
      </c>
      <c r="B274" s="121">
        <v>0</v>
      </c>
      <c r="C274" s="121">
        <v>1163337.3966802629</v>
      </c>
      <c r="D274" s="121">
        <v>1861657.6842754206</v>
      </c>
      <c r="E274" s="121">
        <v>360815.85795085708</v>
      </c>
      <c r="F274" s="121">
        <v>360907.72434321337</v>
      </c>
      <c r="G274" s="121">
        <v>3418904.2315969998</v>
      </c>
      <c r="H274" s="121">
        <v>0</v>
      </c>
      <c r="I274" s="121">
        <v>0</v>
      </c>
      <c r="J274" s="121">
        <v>781173.62605756498</v>
      </c>
      <c r="K274" s="121">
        <v>8169448.5396751883</v>
      </c>
      <c r="L274" s="121">
        <v>2256000.5078686853</v>
      </c>
      <c r="M274" s="121">
        <v>167446.84035625358</v>
      </c>
      <c r="N274" s="121">
        <v>7970809.4247732572</v>
      </c>
      <c r="O274" s="121">
        <v>7791944.1834862428</v>
      </c>
      <c r="P274" s="121">
        <v>682538.05279007857</v>
      </c>
      <c r="Q274" s="121">
        <v>0</v>
      </c>
      <c r="R274" s="121">
        <v>439590.29877921892</v>
      </c>
      <c r="S274" s="121">
        <v>457411.73416828841</v>
      </c>
      <c r="T274" s="121">
        <v>219173.22562916443</v>
      </c>
      <c r="U274" s="121">
        <v>2392056.5388639625</v>
      </c>
      <c r="V274" s="121">
        <v>0</v>
      </c>
      <c r="W274" s="121">
        <v>1598647.1785507817</v>
      </c>
      <c r="X274" s="121">
        <v>21979.514938960947</v>
      </c>
      <c r="Y274" s="121">
        <v>0</v>
      </c>
      <c r="Z274" s="121">
        <v>0</v>
      </c>
      <c r="AA274" s="121">
        <v>293390.0577436554</v>
      </c>
      <c r="AB274" s="121">
        <v>1858874.2417769064</v>
      </c>
      <c r="AC274" s="121">
        <v>21979.514938960947</v>
      </c>
      <c r="AD274" s="121">
        <v>40905.696874571877</v>
      </c>
      <c r="AE274" s="121">
        <v>0</v>
      </c>
      <c r="AF274" s="121">
        <v>439590.29877921892</v>
      </c>
      <c r="AG274" s="121">
        <v>85715.101623551207</v>
      </c>
      <c r="AH274" s="121">
        <v>1491875.5680930996</v>
      </c>
      <c r="AI274" s="121">
        <v>579422.43457893829</v>
      </c>
      <c r="AJ274" s="121">
        <v>1092425.9406235823</v>
      </c>
      <c r="AK274" s="121">
        <v>5405700.9191878969</v>
      </c>
      <c r="AL274" s="121">
        <v>1693041.1398026424</v>
      </c>
      <c r="AM274" s="121">
        <v>0</v>
      </c>
      <c r="AN274" s="121">
        <v>0</v>
      </c>
      <c r="AO274" s="121">
        <v>0</v>
      </c>
      <c r="AP274" s="121">
        <v>2163349.6263001878</v>
      </c>
      <c r="AQ274" s="121">
        <v>0</v>
      </c>
      <c r="AR274" s="121">
        <v>0</v>
      </c>
      <c r="AS274" s="121">
        <v>0</v>
      </c>
      <c r="AT274" s="121">
        <v>0</v>
      </c>
      <c r="AU274" s="121">
        <v>0</v>
      </c>
      <c r="AV274" s="121">
        <v>904562.63835882919</v>
      </c>
      <c r="AW274" s="121">
        <v>8388.5906011333063</v>
      </c>
      <c r="AX274" s="121">
        <v>20608.841890000436</v>
      </c>
      <c r="AY274" s="121">
        <v>0</v>
      </c>
      <c r="AZ274" s="121">
        <v>0</v>
      </c>
      <c r="BA274" s="121">
        <v>0</v>
      </c>
      <c r="BB274" s="121">
        <v>2099.9059926079012</v>
      </c>
      <c r="BC274" s="121">
        <v>8169448.5396751883</v>
      </c>
      <c r="BD274" s="121">
        <v>2013400.7945093289</v>
      </c>
      <c r="BE274" s="121">
        <v>2932323.4363816609</v>
      </c>
      <c r="BF274" s="110">
        <v>0</v>
      </c>
      <c r="BG274"/>
      <c r="BH274"/>
      <c r="BI274"/>
      <c r="BJ274"/>
      <c r="BK274"/>
      <c r="BL274"/>
      <c r="BM274"/>
      <c r="BN274"/>
      <c r="BO274"/>
      <c r="BP274"/>
      <c r="BQ274"/>
      <c r="BR274"/>
      <c r="BS274"/>
      <c r="BT274"/>
      <c r="BU274"/>
      <c r="BV274"/>
      <c r="BW274"/>
      <c r="BX274"/>
      <c r="BY274"/>
      <c r="BZ274"/>
      <c r="CA274"/>
      <c r="CB274"/>
      <c r="CC274"/>
      <c r="CD274"/>
      <c r="CE274"/>
      <c r="CF274"/>
      <c r="CG274"/>
    </row>
    <row r="275" spans="1:85" ht="14.4">
      <c r="A275" s="252" t="s">
        <v>394</v>
      </c>
      <c r="B275" s="86"/>
      <c r="C275" s="154"/>
      <c r="D275" s="88"/>
      <c r="E275" s="154"/>
      <c r="F275" s="88"/>
      <c r="G275" s="154"/>
      <c r="H275" s="88"/>
      <c r="I275" s="154"/>
      <c r="J275" s="88"/>
      <c r="K275" s="154"/>
      <c r="L275" s="122"/>
      <c r="M275" s="154"/>
      <c r="N275" s="88"/>
      <c r="O275" s="154"/>
      <c r="P275" s="88"/>
      <c r="Q275" s="154"/>
      <c r="R275" s="88"/>
      <c r="S275" s="154"/>
      <c r="T275" s="88"/>
      <c r="U275" s="154"/>
      <c r="V275" s="88"/>
      <c r="W275" s="154"/>
      <c r="X275" s="88"/>
      <c r="Y275" s="154"/>
      <c r="Z275" s="88"/>
      <c r="AA275" s="154"/>
      <c r="AB275" s="88"/>
      <c r="AC275" s="154"/>
      <c r="AD275" s="154"/>
      <c r="AE275" s="154"/>
      <c r="AF275" s="88"/>
      <c r="AG275" s="154"/>
      <c r="AH275" s="88"/>
      <c r="AI275" s="154"/>
      <c r="AJ275" s="88"/>
      <c r="AK275" s="154"/>
      <c r="AL275" s="154"/>
      <c r="AM275" s="154"/>
      <c r="AN275" s="88"/>
      <c r="AO275" s="154"/>
      <c r="AP275" s="154"/>
      <c r="AQ275" s="154"/>
      <c r="AR275" s="154"/>
      <c r="AS275" s="154"/>
      <c r="AT275" s="88"/>
      <c r="AU275" s="154"/>
      <c r="AV275" s="88"/>
      <c r="AW275" s="154"/>
      <c r="AX275" s="154"/>
      <c r="AY275" s="154"/>
      <c r="AZ275" s="88"/>
      <c r="BA275" s="154"/>
      <c r="BB275" s="88"/>
      <c r="BC275" s="154"/>
      <c r="BD275" s="88"/>
      <c r="BE275" s="154"/>
      <c r="BF275" s="155"/>
      <c r="BG275"/>
      <c r="BH275"/>
      <c r="BI275"/>
      <c r="BJ275"/>
      <c r="BK275"/>
      <c r="BL275"/>
      <c r="BM275"/>
      <c r="BN275"/>
      <c r="BO275"/>
      <c r="BP275"/>
      <c r="BQ275"/>
      <c r="BR275"/>
      <c r="BS275"/>
      <c r="BT275"/>
      <c r="BU275"/>
      <c r="BV275"/>
      <c r="BW275"/>
      <c r="BX275"/>
      <c r="BY275"/>
      <c r="BZ275"/>
      <c r="CA275"/>
      <c r="CB275"/>
      <c r="CC275"/>
      <c r="CD275"/>
      <c r="CE275"/>
      <c r="CF275"/>
      <c r="CG275"/>
    </row>
    <row r="276" spans="1:85" ht="14.4">
      <c r="A276" s="170" t="s">
        <v>372</v>
      </c>
      <c r="B276" s="82"/>
      <c r="C276" s="137">
        <v>1.0040349151108603</v>
      </c>
      <c r="D276" s="81">
        <v>15.962768541342326</v>
      </c>
      <c r="E276" s="137">
        <v>60.935940430616235</v>
      </c>
      <c r="F276" s="81">
        <v>1.788047517445509</v>
      </c>
      <c r="G276" s="137">
        <v>20.184452614392683</v>
      </c>
      <c r="H276" s="81"/>
      <c r="I276" s="137"/>
      <c r="J276" s="81">
        <v>43.034393812863613</v>
      </c>
      <c r="K276" s="137">
        <v>91.60763866218123</v>
      </c>
      <c r="L276" s="62">
        <v>2.8759256417689056</v>
      </c>
      <c r="M276" s="137">
        <v>1.2806386929202953</v>
      </c>
      <c r="N276" s="81">
        <v>54.748794994784099</v>
      </c>
      <c r="O276" s="137">
        <v>59.593033784438624</v>
      </c>
      <c r="P276" s="81">
        <v>5.9604600114451642</v>
      </c>
      <c r="Q276" s="137"/>
      <c r="R276" s="81">
        <v>4.6194611879620542</v>
      </c>
      <c r="S276" s="137">
        <v>7.3995634213993666</v>
      </c>
      <c r="T276" s="81">
        <v>4.6477579141102714</v>
      </c>
      <c r="U276" s="137">
        <v>23.855529773200509</v>
      </c>
      <c r="V276" s="81"/>
      <c r="W276" s="137">
        <v>13.032184451804346</v>
      </c>
      <c r="X276" s="81">
        <v>0.23097305939810273</v>
      </c>
      <c r="Y276" s="137"/>
      <c r="Z276" s="81"/>
      <c r="AA276" s="137">
        <v>5.2736680264039881</v>
      </c>
      <c r="AB276" s="81">
        <v>247.83064703759129</v>
      </c>
      <c r="AC276" s="137">
        <v>0.23097305939810273</v>
      </c>
      <c r="AD276" s="137">
        <v>1.5068269604523759</v>
      </c>
      <c r="AE276" s="137"/>
      <c r="AF276" s="81">
        <v>4.6194611879620542</v>
      </c>
      <c r="AG276" s="137">
        <v>1.4499013927608158</v>
      </c>
      <c r="AH276" s="81">
        <v>19.641753582594262</v>
      </c>
      <c r="AI276" s="137">
        <v>3.9074449688089867</v>
      </c>
      <c r="AJ276" s="81">
        <v>148.33254396187135</v>
      </c>
      <c r="AK276" s="137">
        <v>128.51779080450441</v>
      </c>
      <c r="AL276" s="137">
        <v>30.912105142380359</v>
      </c>
      <c r="AM276" s="137"/>
      <c r="AN276" s="81"/>
      <c r="AO276" s="137"/>
      <c r="AP276" s="137">
        <v>15.634476791850291</v>
      </c>
      <c r="AQ276" s="137"/>
      <c r="AR276" s="137"/>
      <c r="AS276" s="137"/>
      <c r="AT276" s="81"/>
      <c r="AU276" s="137">
        <v>0</v>
      </c>
      <c r="AV276" s="81">
        <v>9.4953674215851063</v>
      </c>
      <c r="AW276" s="137">
        <v>0.26517807158185613</v>
      </c>
      <c r="AX276" s="137">
        <v>0.15761706989788249</v>
      </c>
      <c r="AY276" s="137"/>
      <c r="AZ276" s="81"/>
      <c r="BA276" s="137"/>
      <c r="BB276" s="81">
        <v>5.2092470676317018E-2</v>
      </c>
      <c r="BC276" s="137">
        <v>91.60763866218123</v>
      </c>
      <c r="BD276" s="81">
        <v>0.63379500417957679</v>
      </c>
      <c r="BE276" s="137">
        <v>12.778338204928334</v>
      </c>
      <c r="BF276" s="159"/>
      <c r="BG276"/>
      <c r="BH276"/>
      <c r="BI276"/>
      <c r="BJ276"/>
      <c r="BK276"/>
      <c r="BL276"/>
      <c r="BM276"/>
      <c r="BN276"/>
      <c r="BO276"/>
      <c r="BP276"/>
      <c r="BQ276"/>
      <c r="BR276"/>
      <c r="BS276"/>
      <c r="BT276"/>
      <c r="BU276"/>
      <c r="BV276"/>
      <c r="BW276"/>
      <c r="BX276"/>
      <c r="BY276"/>
      <c r="BZ276"/>
      <c r="CA276"/>
      <c r="CB276"/>
      <c r="CC276"/>
      <c r="CD276"/>
      <c r="CE276"/>
      <c r="CF276"/>
      <c r="CG276"/>
    </row>
    <row r="277" spans="1:85" ht="14.4">
      <c r="A277" s="170" t="s">
        <v>373</v>
      </c>
      <c r="B277" s="82"/>
      <c r="C277" s="137">
        <v>3.3682252226861937</v>
      </c>
      <c r="D277" s="81">
        <v>111.54419522110516</v>
      </c>
      <c r="E277" s="137">
        <v>47.070222071222254</v>
      </c>
      <c r="F277" s="81">
        <v>4.6211586079495905</v>
      </c>
      <c r="G277" s="137">
        <v>102.24093758455615</v>
      </c>
      <c r="H277" s="81"/>
      <c r="I277" s="137"/>
      <c r="J277" s="81">
        <v>45.418075373572421</v>
      </c>
      <c r="K277" s="137">
        <v>227.88883275000387</v>
      </c>
      <c r="L277" s="62">
        <v>26.390887761105294</v>
      </c>
      <c r="M277" s="137">
        <v>14.528019371922603</v>
      </c>
      <c r="N277" s="81">
        <v>397.04131662184068</v>
      </c>
      <c r="O277" s="137">
        <v>676.04450344828558</v>
      </c>
      <c r="P277" s="81">
        <v>38.003791886689825</v>
      </c>
      <c r="Q277" s="137"/>
      <c r="R277" s="81">
        <v>9.8774864518474779</v>
      </c>
      <c r="S277" s="137">
        <v>27.27410096084748</v>
      </c>
      <c r="T277" s="81">
        <v>11.072016512378351</v>
      </c>
      <c r="U277" s="137">
        <v>152.75361240419412</v>
      </c>
      <c r="V277" s="81"/>
      <c r="W277" s="137">
        <v>98.633446339760837</v>
      </c>
      <c r="X277" s="81">
        <v>0.4938743225923739</v>
      </c>
      <c r="Y277" s="137"/>
      <c r="Z277" s="81"/>
      <c r="AA277" s="137">
        <v>24.528736053514145</v>
      </c>
      <c r="AB277" s="81">
        <v>302.26289074617171</v>
      </c>
      <c r="AC277" s="137">
        <v>0.4938743225923739</v>
      </c>
      <c r="AD277" s="137">
        <v>2.8653654393099819</v>
      </c>
      <c r="AE277" s="137"/>
      <c r="AF277" s="81">
        <v>9.8774864518474779</v>
      </c>
      <c r="AG277" s="137">
        <v>3.1385525115587276</v>
      </c>
      <c r="AH277" s="81">
        <v>113.54443626461679</v>
      </c>
      <c r="AI277" s="137">
        <v>20.105127510070663</v>
      </c>
      <c r="AJ277" s="81">
        <v>165.74716039664986</v>
      </c>
      <c r="AK277" s="137">
        <v>272.31912324081645</v>
      </c>
      <c r="AL277" s="137">
        <v>117.45865056965859</v>
      </c>
      <c r="AM277" s="137"/>
      <c r="AN277" s="81"/>
      <c r="AO277" s="137"/>
      <c r="AP277" s="137">
        <v>74.226386051766625</v>
      </c>
      <c r="AQ277" s="137"/>
      <c r="AR277" s="137"/>
      <c r="AS277" s="137"/>
      <c r="AT277" s="81"/>
      <c r="AU277" s="137">
        <v>0</v>
      </c>
      <c r="AV277" s="81">
        <v>62.902944879630006</v>
      </c>
      <c r="AW277" s="137">
        <v>0.16429775493124596</v>
      </c>
      <c r="AX277" s="137">
        <v>1.7880639226981665</v>
      </c>
      <c r="AY277" s="137"/>
      <c r="AZ277" s="81"/>
      <c r="BA277" s="137"/>
      <c r="BB277" s="81">
        <v>5.5136773926089129E-2</v>
      </c>
      <c r="BC277" s="137">
        <v>227.88883275000387</v>
      </c>
      <c r="BD277" s="81">
        <v>2.1835537959646736</v>
      </c>
      <c r="BE277" s="137">
        <v>112.52359644002986</v>
      </c>
      <c r="BF277" s="159"/>
      <c r="BG277"/>
      <c r="BH277"/>
      <c r="BI277"/>
      <c r="BJ277"/>
      <c r="BK277"/>
      <c r="BL277"/>
      <c r="BM277"/>
      <c r="BN277"/>
      <c r="BO277"/>
      <c r="BP277"/>
      <c r="BQ277"/>
      <c r="BR277"/>
      <c r="BS277"/>
      <c r="BT277"/>
      <c r="BU277"/>
      <c r="BV277"/>
      <c r="BW277"/>
      <c r="BX277"/>
      <c r="BY277"/>
      <c r="BZ277"/>
      <c r="CA277"/>
      <c r="CB277"/>
      <c r="CC277"/>
      <c r="CD277"/>
      <c r="CE277"/>
      <c r="CF277"/>
      <c r="CG277"/>
    </row>
    <row r="278" spans="1:85" ht="14.4">
      <c r="A278" s="170" t="s">
        <v>374</v>
      </c>
      <c r="B278" s="82"/>
      <c r="C278" s="137">
        <v>6.9539949619914969</v>
      </c>
      <c r="D278" s="81">
        <v>203.18851727101446</v>
      </c>
      <c r="E278" s="137">
        <v>71.374941819495604</v>
      </c>
      <c r="F278" s="81">
        <v>12.728974924850514</v>
      </c>
      <c r="G278" s="137">
        <v>195.4383427589633</v>
      </c>
      <c r="H278" s="81"/>
      <c r="I278" s="137"/>
      <c r="J278" s="81">
        <v>73.519975748609994</v>
      </c>
      <c r="K278" s="137">
        <v>381.25863972167878</v>
      </c>
      <c r="L278" s="62">
        <v>51.298913568618637</v>
      </c>
      <c r="M278" s="137">
        <v>30.257977131763887</v>
      </c>
      <c r="N278" s="81">
        <v>842.29183888287776</v>
      </c>
      <c r="O278" s="137">
        <v>1408.0198134183677</v>
      </c>
      <c r="P278" s="81">
        <v>71.352092428161797</v>
      </c>
      <c r="Q278" s="137"/>
      <c r="R278" s="81">
        <v>17.757863555974264</v>
      </c>
      <c r="S278" s="137">
        <v>82.378088613211304</v>
      </c>
      <c r="T278" s="81">
        <v>49.42023854495767</v>
      </c>
      <c r="U278" s="137">
        <v>322.63489373902178</v>
      </c>
      <c r="V278" s="81"/>
      <c r="W278" s="137">
        <v>181.52113599713368</v>
      </c>
      <c r="X278" s="81">
        <v>0.88789317779871324</v>
      </c>
      <c r="Y278" s="137"/>
      <c r="Z278" s="81"/>
      <c r="AA278" s="137">
        <v>48.60886793189762</v>
      </c>
      <c r="AB278" s="81">
        <v>519.95715810411616</v>
      </c>
      <c r="AC278" s="137">
        <v>0.88789317779871324</v>
      </c>
      <c r="AD278" s="137">
        <v>16.400056165627035</v>
      </c>
      <c r="AE278" s="137"/>
      <c r="AF278" s="81">
        <v>17.757863555974264</v>
      </c>
      <c r="AG278" s="137">
        <v>6.0141243279697898</v>
      </c>
      <c r="AH278" s="81">
        <v>290.26126824394845</v>
      </c>
      <c r="AI278" s="137">
        <v>28.118163318386191</v>
      </c>
      <c r="AJ278" s="81">
        <v>270.53258922946333</v>
      </c>
      <c r="AK278" s="137">
        <v>341.76881343736244</v>
      </c>
      <c r="AL278" s="137">
        <v>373.40602237966135</v>
      </c>
      <c r="AM278" s="137"/>
      <c r="AN278" s="81"/>
      <c r="AO278" s="137"/>
      <c r="AP278" s="137">
        <v>93.734096677114053</v>
      </c>
      <c r="AQ278" s="137"/>
      <c r="AR278" s="137"/>
      <c r="AS278" s="137"/>
      <c r="AT278" s="81"/>
      <c r="AU278" s="137">
        <v>0</v>
      </c>
      <c r="AV278" s="81">
        <v>129.60000677075308</v>
      </c>
      <c r="AW278" s="137">
        <v>0.25277557623391983</v>
      </c>
      <c r="AX278" s="137">
        <v>3.7240587239094016</v>
      </c>
      <c r="AY278" s="137"/>
      <c r="AZ278" s="81"/>
      <c r="BA278" s="137"/>
      <c r="BB278" s="81">
        <v>9.5595127474007668E-2</v>
      </c>
      <c r="BC278" s="137">
        <v>381.25863972167878</v>
      </c>
      <c r="BD278" s="81">
        <v>5.682705620121264</v>
      </c>
      <c r="BE278" s="137">
        <v>230.7506564261418</v>
      </c>
      <c r="BF278" s="159"/>
      <c r="BG278"/>
      <c r="BH278"/>
      <c r="BI278"/>
      <c r="BJ278"/>
      <c r="BK278"/>
      <c r="BL278"/>
      <c r="BM278"/>
      <c r="BN278"/>
      <c r="BO278"/>
      <c r="BP278"/>
      <c r="BQ278"/>
      <c r="BR278"/>
      <c r="BS278"/>
      <c r="BT278"/>
      <c r="BU278"/>
      <c r="BV278"/>
      <c r="BW278"/>
      <c r="BX278"/>
      <c r="BY278"/>
      <c r="BZ278"/>
      <c r="CA278"/>
      <c r="CB278"/>
      <c r="CC278"/>
      <c r="CD278"/>
      <c r="CE278"/>
      <c r="CF278"/>
      <c r="CG278"/>
    </row>
    <row r="279" spans="1:85" ht="14.4">
      <c r="A279" s="170" t="s">
        <v>375</v>
      </c>
      <c r="B279" s="160"/>
      <c r="C279" s="137">
        <v>0.65146148539802384</v>
      </c>
      <c r="D279" s="81">
        <v>19.151952207295682</v>
      </c>
      <c r="E279" s="137">
        <v>13.917674261003445</v>
      </c>
      <c r="F279" s="81">
        <v>0.73912844757320262</v>
      </c>
      <c r="G279" s="137">
        <v>21.160518149917891</v>
      </c>
      <c r="H279" s="137"/>
      <c r="I279" s="137"/>
      <c r="J279" s="81">
        <v>11.602545080413027</v>
      </c>
      <c r="K279" s="137">
        <v>40.274118993082055</v>
      </c>
      <c r="L279" s="62">
        <v>4.1323395229000299</v>
      </c>
      <c r="M279" s="137">
        <v>3.4409281327025276</v>
      </c>
      <c r="N279" s="81">
        <v>90.974178645162283</v>
      </c>
      <c r="O279" s="137">
        <v>160.11959313393109</v>
      </c>
      <c r="P279" s="81">
        <v>5.8569776613191724</v>
      </c>
      <c r="Q279" s="137"/>
      <c r="R279" s="81">
        <v>1.6465161048276367</v>
      </c>
      <c r="S279" s="137">
        <v>7.9810956079457664</v>
      </c>
      <c r="T279" s="81">
        <v>4.1668053366937308</v>
      </c>
      <c r="U279" s="137">
        <v>30.910146542028063</v>
      </c>
      <c r="V279" s="137"/>
      <c r="W279" s="137">
        <v>17.299038871357254</v>
      </c>
      <c r="X279" s="81">
        <v>8.2325805241381833E-2</v>
      </c>
      <c r="Y279" s="137"/>
      <c r="Z279" s="137"/>
      <c r="AA279" s="137">
        <v>5.3162283336649052</v>
      </c>
      <c r="AB279" s="81">
        <v>54.09903028919895</v>
      </c>
      <c r="AC279" s="137">
        <v>8.2325805241381833E-2</v>
      </c>
      <c r="AD279" s="137">
        <v>1.2259209136511262</v>
      </c>
      <c r="AE279" s="137"/>
      <c r="AF279" s="81">
        <v>1.6465161048276367</v>
      </c>
      <c r="AG279" s="137">
        <v>0.75445159026382358</v>
      </c>
      <c r="AH279" s="81">
        <v>29.271322682534173</v>
      </c>
      <c r="AI279" s="137">
        <v>1.2419294842718296</v>
      </c>
      <c r="AJ279" s="81">
        <v>26.387496510141411</v>
      </c>
      <c r="AK279" s="137">
        <v>26.459915103318618</v>
      </c>
      <c r="AL279" s="137">
        <v>34.836328672947701</v>
      </c>
      <c r="AM279" s="137"/>
      <c r="AN279" s="137"/>
      <c r="AO279" s="137"/>
      <c r="AP279" s="137">
        <v>1.4393953945020073</v>
      </c>
      <c r="AQ279" s="137"/>
      <c r="AR279" s="137"/>
      <c r="AS279" s="137"/>
      <c r="AT279" s="137"/>
      <c r="AU279" s="137">
        <v>0</v>
      </c>
      <c r="AV279" s="81">
        <v>13.358780779449676</v>
      </c>
      <c r="AW279" s="137">
        <v>4.3490181823568945E-2</v>
      </c>
      <c r="AX279" s="137">
        <v>0.42349884710184954</v>
      </c>
      <c r="AY279" s="137"/>
      <c r="AZ279" s="137"/>
      <c r="BA279" s="137"/>
      <c r="BB279" s="81">
        <v>1.3935286276640134E-2</v>
      </c>
      <c r="BC279" s="137">
        <v>40.274118993082055</v>
      </c>
      <c r="BD279" s="81">
        <v>0.49852441482521437</v>
      </c>
      <c r="BE279" s="137">
        <v>26.132953529182323</v>
      </c>
      <c r="BF279" s="159"/>
      <c r="BG279"/>
      <c r="BH279"/>
      <c r="BI279"/>
      <c r="BJ279"/>
      <c r="BK279"/>
      <c r="BL279"/>
      <c r="BM279"/>
      <c r="BN279"/>
      <c r="BO279"/>
      <c r="BP279"/>
      <c r="BQ279"/>
      <c r="BR279"/>
      <c r="BS279"/>
      <c r="BT279"/>
      <c r="BU279"/>
      <c r="BV279"/>
      <c r="BW279"/>
      <c r="BX279"/>
      <c r="BY279"/>
      <c r="BZ279"/>
      <c r="CA279"/>
      <c r="CB279"/>
      <c r="CC279"/>
      <c r="CD279"/>
      <c r="CE279"/>
      <c r="CF279"/>
      <c r="CG279"/>
    </row>
    <row r="280" spans="1:85" ht="14.4">
      <c r="A280" s="170" t="s">
        <v>376</v>
      </c>
      <c r="B280" s="160"/>
      <c r="C280" s="137">
        <v>0.54988427461372502</v>
      </c>
      <c r="D280" s="81">
        <v>16.055302602608169</v>
      </c>
      <c r="E280" s="137">
        <v>11.526309542429702</v>
      </c>
      <c r="F280" s="81">
        <v>0.63489827621365158</v>
      </c>
      <c r="G280" s="137">
        <v>17.694831005450673</v>
      </c>
      <c r="H280" s="137"/>
      <c r="I280" s="137"/>
      <c r="J280" s="81">
        <v>9.6447638475003004</v>
      </c>
      <c r="K280" s="137">
        <v>33.600232552912928</v>
      </c>
      <c r="L280" s="62">
        <v>3.4604407809416586</v>
      </c>
      <c r="M280" s="137">
        <v>2.8791943712331522</v>
      </c>
      <c r="N280" s="81">
        <v>73.832587903250911</v>
      </c>
      <c r="O280" s="137">
        <v>133.97996514192593</v>
      </c>
      <c r="P280" s="81">
        <v>4.9636497653322804</v>
      </c>
      <c r="Q280" s="137"/>
      <c r="R280" s="81">
        <v>1.3731777639195319</v>
      </c>
      <c r="S280" s="137">
        <v>6.9546913828276198</v>
      </c>
      <c r="T280" s="81">
        <v>3.7469360916061558</v>
      </c>
      <c r="U280" s="137">
        <v>26.159720982533834</v>
      </c>
      <c r="V280" s="137"/>
      <c r="W280" s="137">
        <v>14.494935760416444</v>
      </c>
      <c r="X280" s="81">
        <v>6.8658888195976597E-2</v>
      </c>
      <c r="Y280" s="137"/>
      <c r="Z280" s="137"/>
      <c r="AA280" s="137">
        <v>4.4958243820807304</v>
      </c>
      <c r="AB280" s="81">
        <v>48.643752599218288</v>
      </c>
      <c r="AC280" s="137">
        <v>6.8658888195976597E-2</v>
      </c>
      <c r="AD280" s="137">
        <v>1.1089424718414918</v>
      </c>
      <c r="AE280" s="137"/>
      <c r="AF280" s="81">
        <v>1.3731777639195319</v>
      </c>
      <c r="AG280" s="137">
        <v>0.64074231348282451</v>
      </c>
      <c r="AH280" s="81">
        <v>24.970682588030691</v>
      </c>
      <c r="AI280" s="137">
        <v>1.0475727011153599</v>
      </c>
      <c r="AJ280" s="81">
        <v>24.076467126919237</v>
      </c>
      <c r="AK280" s="137">
        <v>23.476371694237759</v>
      </c>
      <c r="AL280" s="137">
        <v>30.384997607468943</v>
      </c>
      <c r="AM280" s="137"/>
      <c r="AN280" s="137"/>
      <c r="AO280" s="137"/>
      <c r="AP280" s="137">
        <v>1.2208213701158352</v>
      </c>
      <c r="AQ280" s="137"/>
      <c r="AR280" s="137"/>
      <c r="AS280" s="137"/>
      <c r="AT280" s="137"/>
      <c r="AU280" s="137">
        <v>0</v>
      </c>
      <c r="AV280" s="81">
        <v>11.255708183775171</v>
      </c>
      <c r="AW280" s="137">
        <v>3.7405423116563266E-2</v>
      </c>
      <c r="AX280" s="137">
        <v>0.35436238415177257</v>
      </c>
      <c r="AY280" s="137"/>
      <c r="AZ280" s="137"/>
      <c r="BA280" s="137"/>
      <c r="BB280" s="81">
        <v>1.1865607931980701E-2</v>
      </c>
      <c r="BC280" s="137">
        <v>33.600232552912928</v>
      </c>
      <c r="BD280" s="81">
        <v>0.42200660103543342</v>
      </c>
      <c r="BE280" s="137">
        <v>21.86358143352577</v>
      </c>
      <c r="BF280" s="159"/>
      <c r="BG280"/>
      <c r="BH280"/>
      <c r="BI280"/>
      <c r="BJ280"/>
      <c r="BK280"/>
      <c r="BL280"/>
      <c r="BM280"/>
      <c r="BN280"/>
      <c r="BO280"/>
      <c r="BP280"/>
      <c r="BQ280"/>
      <c r="BR280"/>
      <c r="BS280"/>
      <c r="BT280"/>
      <c r="BU280"/>
      <c r="BV280"/>
      <c r="BW280"/>
      <c r="BX280"/>
      <c r="BY280"/>
      <c r="BZ280"/>
      <c r="CA280"/>
      <c r="CB280"/>
      <c r="CC280"/>
      <c r="CD280"/>
      <c r="CE280"/>
      <c r="CF280"/>
      <c r="CG280"/>
    </row>
    <row r="281" spans="1:85" ht="14.4">
      <c r="A281" s="170" t="s">
        <v>377</v>
      </c>
      <c r="B281" s="160"/>
      <c r="C281" s="137">
        <v>4.8982690036823575</v>
      </c>
      <c r="D281" s="81">
        <v>164.88147506622479</v>
      </c>
      <c r="E281" s="137">
        <v>28.608110053073148</v>
      </c>
      <c r="F281" s="81">
        <v>4.5045083270434905</v>
      </c>
      <c r="G281" s="137">
        <v>170.09934812274471</v>
      </c>
      <c r="H281" s="137"/>
      <c r="I281" s="137"/>
      <c r="J281" s="81">
        <v>38.704521925499137</v>
      </c>
      <c r="K281" s="137">
        <v>249.94316598692225</v>
      </c>
      <c r="L281" s="62">
        <v>36.740021214872087</v>
      </c>
      <c r="M281" s="137">
        <v>30.13913367688744</v>
      </c>
      <c r="N281" s="81">
        <v>903.07427449037993</v>
      </c>
      <c r="O281" s="137">
        <v>1402.4895713128747</v>
      </c>
      <c r="P281" s="81">
        <v>50.144300399695581</v>
      </c>
      <c r="Q281" s="137"/>
      <c r="R281" s="81">
        <v>11.114898693915801</v>
      </c>
      <c r="S281" s="137">
        <v>62.352523278821437</v>
      </c>
      <c r="T281" s="81">
        <v>30.784688875009927</v>
      </c>
      <c r="U281" s="137">
        <v>260.01276413008395</v>
      </c>
      <c r="V281" s="137"/>
      <c r="W281" s="137">
        <v>150.13579795960095</v>
      </c>
      <c r="X281" s="81">
        <v>0.55574493469579012</v>
      </c>
      <c r="Y281" s="137"/>
      <c r="Z281" s="137"/>
      <c r="AA281" s="137">
        <v>42.171814490240223</v>
      </c>
      <c r="AB281" s="81">
        <v>167.44759599560103</v>
      </c>
      <c r="AC281" s="137">
        <v>0.55574493469579012</v>
      </c>
      <c r="AD281" s="137">
        <v>8.4407410983050823</v>
      </c>
      <c r="AE281" s="137"/>
      <c r="AF281" s="81">
        <v>11.114898693915801</v>
      </c>
      <c r="AG281" s="137">
        <v>5.0399443122574077</v>
      </c>
      <c r="AH281" s="81">
        <v>240.57156327890297</v>
      </c>
      <c r="AI281" s="137">
        <v>10.589375396234137</v>
      </c>
      <c r="AJ281" s="81">
        <v>49.213671077165344</v>
      </c>
      <c r="AK281" s="137">
        <v>63.747222652540799</v>
      </c>
      <c r="AL281" s="137">
        <v>272.06105827943986</v>
      </c>
      <c r="AM281" s="137"/>
      <c r="AN281" s="137"/>
      <c r="AO281" s="137"/>
      <c r="AP281" s="137">
        <v>11.87125267134882</v>
      </c>
      <c r="AQ281" s="137"/>
      <c r="AR281" s="137"/>
      <c r="AS281" s="137"/>
      <c r="AT281" s="137"/>
      <c r="AU281" s="137">
        <v>0</v>
      </c>
      <c r="AV281" s="81">
        <v>112.95647021759038</v>
      </c>
      <c r="AW281" s="137">
        <v>9.4079460929413966E-2</v>
      </c>
      <c r="AX281" s="137">
        <v>3.7094318371553774</v>
      </c>
      <c r="AY281" s="137"/>
      <c r="AZ281" s="137"/>
      <c r="BA281" s="137"/>
      <c r="BB281" s="81">
        <v>6.1812903489539578E-2</v>
      </c>
      <c r="BC281" s="137">
        <v>249.94316598692225</v>
      </c>
      <c r="BD281" s="81">
        <v>3.690638509308672</v>
      </c>
      <c r="BE281" s="137">
        <v>224.8110383730677</v>
      </c>
      <c r="BF281" s="159"/>
      <c r="BG281"/>
      <c r="BH281"/>
      <c r="BI281"/>
      <c r="BJ281"/>
      <c r="BK281"/>
      <c r="BL281"/>
      <c r="BM281"/>
      <c r="BN281"/>
      <c r="BO281"/>
      <c r="BP281"/>
      <c r="BQ281"/>
      <c r="BR281"/>
      <c r="BS281"/>
      <c r="BT281"/>
      <c r="BU281"/>
      <c r="BV281"/>
      <c r="BW281"/>
      <c r="BX281"/>
      <c r="BY281"/>
      <c r="BZ281"/>
      <c r="CA281"/>
      <c r="CB281"/>
      <c r="CC281"/>
      <c r="CD281"/>
      <c r="CE281"/>
      <c r="CF281"/>
      <c r="CG281"/>
    </row>
    <row r="282" spans="1:85" ht="14.4">
      <c r="A282" s="170" t="s">
        <v>378</v>
      </c>
      <c r="B282" s="160"/>
      <c r="C282" s="137">
        <v>3.3048118371344234E-2</v>
      </c>
      <c r="D282" s="81">
        <v>0.78739933135936258</v>
      </c>
      <c r="E282" s="137">
        <v>1.4473194166653673</v>
      </c>
      <c r="F282" s="81">
        <v>4.4771509514447499E-2</v>
      </c>
      <c r="G282" s="137">
        <v>0.97660870904265074</v>
      </c>
      <c r="H282" s="137"/>
      <c r="I282" s="137"/>
      <c r="J282" s="81">
        <v>1.062284869153957</v>
      </c>
      <c r="K282" s="137">
        <v>2.6023104699107305</v>
      </c>
      <c r="L282" s="62">
        <v>0.15919165824889356</v>
      </c>
      <c r="M282" s="137">
        <v>0.13327718991144727</v>
      </c>
      <c r="N282" s="81">
        <v>3.6765462761890242</v>
      </c>
      <c r="O282" s="137">
        <v>6.2018991968582036</v>
      </c>
      <c r="P282" s="81">
        <v>0.30187904326260323</v>
      </c>
      <c r="Q282" s="137"/>
      <c r="R282" s="81">
        <v>9.8598930343859345E-2</v>
      </c>
      <c r="S282" s="137">
        <v>0.6373439856811951</v>
      </c>
      <c r="T282" s="81">
        <v>0.47573749670884113</v>
      </c>
      <c r="U282" s="137">
        <v>1.5462563790025752</v>
      </c>
      <c r="V282" s="137"/>
      <c r="W282" s="137">
        <v>0.69832761435099466</v>
      </c>
      <c r="X282" s="81">
        <v>4.9299465171929674E-3</v>
      </c>
      <c r="Y282" s="137"/>
      <c r="Z282" s="137"/>
      <c r="AA282" s="137">
        <v>0.22898928503381233</v>
      </c>
      <c r="AB282" s="81">
        <v>3.1252212327724962</v>
      </c>
      <c r="AC282" s="137">
        <v>4.9299465171929674E-3</v>
      </c>
      <c r="AD282" s="137">
        <v>0.14249999288838777</v>
      </c>
      <c r="AE282" s="137"/>
      <c r="AF282" s="81">
        <v>9.8598930343859345E-2</v>
      </c>
      <c r="AG282" s="137">
        <v>4.336626239024035E-2</v>
      </c>
      <c r="AH282" s="81">
        <v>1.6866748097778392</v>
      </c>
      <c r="AI282" s="137">
        <v>5.9914029346697921E-2</v>
      </c>
      <c r="AJ282" s="81">
        <v>1.6267539417790062</v>
      </c>
      <c r="AK282" s="137">
        <v>1.7171175173328237</v>
      </c>
      <c r="AL282" s="137">
        <v>2.973290192343939</v>
      </c>
      <c r="AM282" s="137"/>
      <c r="AN282" s="137"/>
      <c r="AO282" s="137"/>
      <c r="AP282" s="137">
        <v>0.13387587301206622</v>
      </c>
      <c r="AQ282" s="137"/>
      <c r="AR282" s="137"/>
      <c r="AS282" s="137"/>
      <c r="AT282" s="137"/>
      <c r="AU282" s="137">
        <v>0</v>
      </c>
      <c r="AV282" s="81">
        <v>0.63306514751528653</v>
      </c>
      <c r="AW282" s="137">
        <v>4.6559322179087698E-3</v>
      </c>
      <c r="AX282" s="137">
        <v>1.6403346450639664E-2</v>
      </c>
      <c r="AY282" s="137"/>
      <c r="AZ282" s="137"/>
      <c r="BA282" s="137"/>
      <c r="BB282" s="81">
        <v>1.1713970802974282E-3</v>
      </c>
      <c r="BC282" s="137">
        <v>2.6023104699107305</v>
      </c>
      <c r="BD282" s="81">
        <v>2.4933195030672799E-2</v>
      </c>
      <c r="BE282" s="137">
        <v>1.0537107939945844</v>
      </c>
      <c r="BF282" s="159"/>
      <c r="BG282"/>
      <c r="BH282"/>
      <c r="BI282"/>
      <c r="BJ282"/>
      <c r="BK282"/>
      <c r="BL282"/>
      <c r="BM282"/>
      <c r="BN282"/>
      <c r="BO282"/>
      <c r="BP282"/>
      <c r="BQ282"/>
      <c r="BR282"/>
      <c r="BS282"/>
      <c r="BT282"/>
      <c r="BU282"/>
      <c r="BV282"/>
      <c r="BW282"/>
      <c r="BX282"/>
      <c r="BY282"/>
      <c r="BZ282"/>
      <c r="CA282"/>
      <c r="CB282"/>
      <c r="CC282"/>
      <c r="CD282"/>
      <c r="CE282"/>
      <c r="CF282"/>
      <c r="CG282"/>
    </row>
    <row r="283" spans="1:85" ht="14.4">
      <c r="A283" s="171" t="s">
        <v>379</v>
      </c>
      <c r="B283" s="165"/>
      <c r="C283" s="163">
        <v>0.15208875484613485</v>
      </c>
      <c r="D283" s="91">
        <v>4.3881468343401551</v>
      </c>
      <c r="E283" s="163">
        <v>1.9718527003108031</v>
      </c>
      <c r="F283" s="91">
        <v>0.22167641117358938</v>
      </c>
      <c r="G283" s="163">
        <v>4.6851037234530883</v>
      </c>
      <c r="H283" s="163"/>
      <c r="I283" s="163"/>
      <c r="J283" s="91">
        <v>1.8528202175483717</v>
      </c>
      <c r="K283" s="163">
        <v>7.9582141178287618</v>
      </c>
      <c r="L283" s="123">
        <v>1.0285829412451546</v>
      </c>
      <c r="M283" s="163">
        <v>0.7926150601939761</v>
      </c>
      <c r="N283" s="91">
        <v>13.908833270076777</v>
      </c>
      <c r="O283" s="163">
        <v>36.883421000254174</v>
      </c>
      <c r="P283" s="91">
        <v>1.4358204571378761</v>
      </c>
      <c r="Q283" s="163"/>
      <c r="R283" s="91">
        <v>0.36722859462273327</v>
      </c>
      <c r="S283" s="163">
        <v>2.1853153573395221</v>
      </c>
      <c r="T283" s="91">
        <v>1.3358348185297984</v>
      </c>
      <c r="U283" s="163">
        <v>7.5207113856177834</v>
      </c>
      <c r="V283" s="163"/>
      <c r="W283" s="163">
        <v>3.9783114482424886</v>
      </c>
      <c r="X283" s="91">
        <v>1.8361429731136664E-2</v>
      </c>
      <c r="Y283" s="163"/>
      <c r="Z283" s="163"/>
      <c r="AA283" s="163">
        <v>1.2377163106127675</v>
      </c>
      <c r="AB283" s="91">
        <v>14.859964846781711</v>
      </c>
      <c r="AC283" s="163">
        <v>1.8361429731136664E-2</v>
      </c>
      <c r="AD283" s="163">
        <v>0.4204733718494777</v>
      </c>
      <c r="AE283" s="163"/>
      <c r="AF283" s="91">
        <v>0.36722859462273327</v>
      </c>
      <c r="AG283" s="163">
        <v>0.15272726252131461</v>
      </c>
      <c r="AH283" s="91">
        <v>7.4603343183099202</v>
      </c>
      <c r="AI283" s="163">
        <v>0.28835753838070327</v>
      </c>
      <c r="AJ283" s="91">
        <v>7.4914723945275226</v>
      </c>
      <c r="AK283" s="163">
        <v>3.8475708365973582</v>
      </c>
      <c r="AL283" s="163">
        <v>9.8966893229844999</v>
      </c>
      <c r="AM283" s="163"/>
      <c r="AN283" s="163"/>
      <c r="AO283" s="163"/>
      <c r="AP283" s="163">
        <v>0.39858862124622418</v>
      </c>
      <c r="AQ283" s="163"/>
      <c r="AR283" s="163"/>
      <c r="AS283" s="163"/>
      <c r="AT283" s="163"/>
      <c r="AU283" s="163">
        <v>0</v>
      </c>
      <c r="AV283" s="91">
        <v>3.1536515073482234</v>
      </c>
      <c r="AW283" s="163">
        <v>6.6550616399415558E-3</v>
      </c>
      <c r="AX283" s="163">
        <v>9.7552622793104754E-2</v>
      </c>
      <c r="AY283" s="163"/>
      <c r="AZ283" s="163"/>
      <c r="BA283" s="163"/>
      <c r="BB283" s="91">
        <v>2.511098732977923E-3</v>
      </c>
      <c r="BC283" s="163">
        <v>7.9582141178287618</v>
      </c>
      <c r="BD283" s="91">
        <v>0.12764033981656925</v>
      </c>
      <c r="BE283" s="163">
        <v>5.9674903295755373</v>
      </c>
      <c r="BF283" s="164"/>
      <c r="BG283"/>
      <c r="BH283"/>
      <c r="BI283"/>
      <c r="BJ283"/>
      <c r="BK283"/>
      <c r="BL283"/>
      <c r="BM283"/>
      <c r="BN283"/>
      <c r="BO283"/>
      <c r="BP283"/>
      <c r="BQ283"/>
      <c r="BR283"/>
      <c r="BS283"/>
      <c r="BT283"/>
      <c r="BU283"/>
      <c r="BV283"/>
      <c r="BW283"/>
      <c r="BX283"/>
      <c r="BY283"/>
      <c r="BZ283"/>
      <c r="CA283"/>
      <c r="CB283"/>
      <c r="CC283"/>
      <c r="CD283"/>
      <c r="CE283"/>
      <c r="CF283"/>
      <c r="CG283"/>
    </row>
    <row r="284" spans="1:85" ht="14.4">
      <c r="A284" s="143"/>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row>
    <row r="285" spans="1:85" ht="14.4">
      <c r="A285" s="143" t="s">
        <v>395</v>
      </c>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row>
    <row r="286" spans="1:85" ht="12.75" customHeight="1">
      <c r="A286" s="1239"/>
      <c r="B286" s="1242" t="s">
        <v>396</v>
      </c>
      <c r="C286" s="1243"/>
      <c r="D286" s="1243"/>
      <c r="E286" s="1243"/>
      <c r="F286" s="1243"/>
      <c r="G286" s="1243"/>
      <c r="H286" s="1243"/>
      <c r="I286" s="1243"/>
      <c r="J286" s="1243"/>
      <c r="K286" s="1243"/>
      <c r="L286" s="1243"/>
      <c r="M286" s="1243"/>
      <c r="N286" s="1244"/>
      <c r="O286" s="1242" t="s">
        <v>397</v>
      </c>
      <c r="P286" s="1243"/>
      <c r="Q286" s="1243"/>
      <c r="R286" s="1243"/>
      <c r="S286" s="1243"/>
      <c r="T286" s="1243"/>
      <c r="U286" s="1243"/>
      <c r="V286" s="1243"/>
      <c r="W286" s="1244"/>
      <c r="X286" s="1245" t="s">
        <v>398</v>
      </c>
      <c r="Y286" s="1246"/>
      <c r="Z286" s="1246"/>
      <c r="AA286" s="1246"/>
      <c r="AB286" s="1246"/>
      <c r="AC286" s="1246"/>
      <c r="AD286" s="1246"/>
      <c r="AE286" s="1246"/>
      <c r="AF286" s="1251"/>
      <c r="AG286" s="1242" t="s">
        <v>399</v>
      </c>
      <c r="AH286" s="1243"/>
      <c r="AI286" s="1243"/>
      <c r="AJ286" s="1243"/>
      <c r="AK286" s="1244"/>
      <c r="AL286" s="1242" t="s">
        <v>400</v>
      </c>
      <c r="AM286" s="1243"/>
      <c r="AN286" s="1243"/>
      <c r="AO286" s="1243"/>
      <c r="AP286" s="1243"/>
      <c r="AQ286" s="1243"/>
      <c r="AR286" s="1243"/>
      <c r="AS286" s="1243"/>
      <c r="AT286" s="1243"/>
      <c r="AU286" s="1243"/>
      <c r="AV286" s="1243"/>
      <c r="AW286" s="1243"/>
      <c r="AX286" s="1243"/>
      <c r="AY286" s="1243"/>
      <c r="AZ286" s="1243"/>
      <c r="BA286" s="1243"/>
      <c r="BB286" s="1243"/>
      <c r="BC286" s="1243"/>
      <c r="BD286" s="1243"/>
      <c r="BE286" s="1243"/>
      <c r="BF286" s="1243"/>
      <c r="BG286" s="1243"/>
      <c r="BH286" s="1243"/>
      <c r="BI286" s="1243"/>
      <c r="BJ286" s="1243"/>
      <c r="BK286" s="1243"/>
      <c r="BL286" s="1243"/>
      <c r="BM286" s="1243"/>
      <c r="BN286" s="1243"/>
      <c r="BO286" s="1243"/>
      <c r="BP286" s="1243"/>
      <c r="BQ286" s="1243"/>
      <c r="BR286" s="1243"/>
      <c r="BS286" s="1243"/>
      <c r="BT286" s="1243"/>
      <c r="BU286" s="1243"/>
      <c r="BV286" s="1243"/>
      <c r="BW286" s="1243"/>
      <c r="BX286" s="1243"/>
      <c r="BY286" s="1243"/>
      <c r="BZ286" s="1243"/>
      <c r="CA286" s="1243"/>
      <c r="CB286" s="1243"/>
      <c r="CC286" s="1243"/>
      <c r="CD286" s="1243"/>
      <c r="CE286" s="1243"/>
      <c r="CF286" s="1243"/>
      <c r="CG286" s="1244"/>
    </row>
    <row r="287" spans="1:85" ht="12.75" customHeight="1">
      <c r="A287" s="1240"/>
      <c r="B287" s="1252" t="s">
        <v>401</v>
      </c>
      <c r="C287" s="1253"/>
      <c r="D287" s="1253"/>
      <c r="E287" s="1253"/>
      <c r="F287" s="1253"/>
      <c r="G287" s="1253"/>
      <c r="H287" s="1254"/>
      <c r="I287" s="1242" t="s">
        <v>402</v>
      </c>
      <c r="J287" s="1243"/>
      <c r="K287" s="1243"/>
      <c r="L287" s="1243"/>
      <c r="M287" s="1243"/>
      <c r="N287" s="1244"/>
      <c r="O287" s="1242" t="s">
        <v>401</v>
      </c>
      <c r="P287" s="1243"/>
      <c r="Q287" s="1243"/>
      <c r="R287" s="1243"/>
      <c r="S287" s="1244"/>
      <c r="T287" s="1242" t="s">
        <v>402</v>
      </c>
      <c r="U287" s="1243"/>
      <c r="V287" s="1243"/>
      <c r="W287" s="1244"/>
      <c r="X287" s="1242" t="s">
        <v>401</v>
      </c>
      <c r="Y287" s="1243"/>
      <c r="Z287" s="1243"/>
      <c r="AA287" s="1243"/>
      <c r="AB287" s="1244"/>
      <c r="AC287" s="1242" t="s">
        <v>402</v>
      </c>
      <c r="AD287" s="1243"/>
      <c r="AE287" s="1243"/>
      <c r="AF287" s="1244"/>
      <c r="AG287" s="1239" t="s">
        <v>403</v>
      </c>
      <c r="AH287" s="1242" t="s">
        <v>404</v>
      </c>
      <c r="AI287" s="1243"/>
      <c r="AJ287" s="1244"/>
      <c r="AK287" s="1239" t="s">
        <v>190</v>
      </c>
      <c r="AL287" s="1242" t="s">
        <v>405</v>
      </c>
      <c r="AM287" s="1243"/>
      <c r="AN287" s="1243"/>
      <c r="AO287" s="1243"/>
      <c r="AP287" s="1243"/>
      <c r="AQ287" s="1244"/>
      <c r="AR287" s="1242" t="s">
        <v>406</v>
      </c>
      <c r="AS287" s="1243"/>
      <c r="AT287" s="1243"/>
      <c r="AU287" s="1243"/>
      <c r="AV287" s="1243"/>
      <c r="AW287" s="1244"/>
      <c r="AX287" s="1242" t="s">
        <v>407</v>
      </c>
      <c r="AY287" s="1243"/>
      <c r="AZ287" s="1243"/>
      <c r="BA287" s="1243"/>
      <c r="BB287" s="1243"/>
      <c r="BC287" s="1244"/>
      <c r="BD287" s="1242" t="s">
        <v>408</v>
      </c>
      <c r="BE287" s="1243"/>
      <c r="BF287" s="1243"/>
      <c r="BG287" s="1243"/>
      <c r="BH287" s="1243"/>
      <c r="BI287" s="1244"/>
      <c r="BJ287" s="1242" t="s">
        <v>409</v>
      </c>
      <c r="BK287" s="1243"/>
      <c r="BL287" s="1243"/>
      <c r="BM287" s="1243"/>
      <c r="BN287" s="1243"/>
      <c r="BO287" s="1244"/>
      <c r="BP287" s="1242" t="s">
        <v>410</v>
      </c>
      <c r="BQ287" s="1243"/>
      <c r="BR287" s="1243"/>
      <c r="BS287" s="1243"/>
      <c r="BT287" s="1243"/>
      <c r="BU287" s="1244"/>
      <c r="BV287" s="1242" t="s">
        <v>411</v>
      </c>
      <c r="BW287" s="1243"/>
      <c r="BX287" s="1243"/>
      <c r="BY287" s="1243"/>
      <c r="BZ287" s="1243"/>
      <c r="CA287" s="1244"/>
      <c r="CB287" s="1242" t="s">
        <v>412</v>
      </c>
      <c r="CC287" s="1243"/>
      <c r="CD287" s="1243"/>
      <c r="CE287" s="1243"/>
      <c r="CF287" s="1243"/>
      <c r="CG287" s="1244"/>
    </row>
    <row r="288" spans="1:85" ht="52.8">
      <c r="A288" s="1241"/>
      <c r="B288" s="215" t="s">
        <v>182</v>
      </c>
      <c r="C288" s="216" t="s">
        <v>413</v>
      </c>
      <c r="D288" s="216" t="s">
        <v>414</v>
      </c>
      <c r="E288" s="216" t="s">
        <v>415</v>
      </c>
      <c r="F288" s="216" t="s">
        <v>334</v>
      </c>
      <c r="G288" s="216" t="s">
        <v>186</v>
      </c>
      <c r="H288" s="217" t="s">
        <v>416</v>
      </c>
      <c r="I288" s="215" t="s">
        <v>182</v>
      </c>
      <c r="J288" s="216" t="s">
        <v>413</v>
      </c>
      <c r="K288" s="216" t="s">
        <v>414</v>
      </c>
      <c r="L288" s="216" t="s">
        <v>415</v>
      </c>
      <c r="M288" s="216" t="s">
        <v>186</v>
      </c>
      <c r="N288" s="217" t="s">
        <v>416</v>
      </c>
      <c r="O288" s="215" t="s">
        <v>182</v>
      </c>
      <c r="P288" s="216" t="s">
        <v>417</v>
      </c>
      <c r="Q288" s="216" t="s">
        <v>185</v>
      </c>
      <c r="R288" s="216" t="s">
        <v>186</v>
      </c>
      <c r="S288" s="217" t="s">
        <v>416</v>
      </c>
      <c r="T288" s="215" t="s">
        <v>182</v>
      </c>
      <c r="U288" s="216" t="s">
        <v>417</v>
      </c>
      <c r="V288" s="216" t="s">
        <v>186</v>
      </c>
      <c r="W288" s="217" t="s">
        <v>416</v>
      </c>
      <c r="X288" s="215" t="s">
        <v>182</v>
      </c>
      <c r="Y288" s="216" t="s">
        <v>417</v>
      </c>
      <c r="Z288" s="216" t="s">
        <v>334</v>
      </c>
      <c r="AA288" s="216" t="s">
        <v>186</v>
      </c>
      <c r="AB288" s="217" t="s">
        <v>416</v>
      </c>
      <c r="AC288" s="215" t="s">
        <v>182</v>
      </c>
      <c r="AD288" s="216" t="s">
        <v>417</v>
      </c>
      <c r="AE288" s="216" t="s">
        <v>186</v>
      </c>
      <c r="AF288" s="217" t="s">
        <v>416</v>
      </c>
      <c r="AG288" s="1241"/>
      <c r="AH288" s="215" t="s">
        <v>418</v>
      </c>
      <c r="AI288" s="216" t="s">
        <v>419</v>
      </c>
      <c r="AJ288" s="217" t="s">
        <v>420</v>
      </c>
      <c r="AK288" s="1241"/>
      <c r="AL288" s="254" t="s">
        <v>191</v>
      </c>
      <c r="AM288" s="255" t="s">
        <v>192</v>
      </c>
      <c r="AN288" s="255" t="s">
        <v>193</v>
      </c>
      <c r="AO288" s="255" t="s">
        <v>194</v>
      </c>
      <c r="AP288" s="255" t="s">
        <v>195</v>
      </c>
      <c r="AQ288" s="216" t="s">
        <v>421</v>
      </c>
      <c r="AR288" s="254" t="s">
        <v>191</v>
      </c>
      <c r="AS288" s="255" t="s">
        <v>192</v>
      </c>
      <c r="AT288" s="255" t="s">
        <v>193</v>
      </c>
      <c r="AU288" s="255" t="s">
        <v>194</v>
      </c>
      <c r="AV288" s="255" t="s">
        <v>195</v>
      </c>
      <c r="AW288" s="217" t="s">
        <v>421</v>
      </c>
      <c r="AX288" s="254" t="s">
        <v>191</v>
      </c>
      <c r="AY288" s="255" t="s">
        <v>192</v>
      </c>
      <c r="AZ288" s="255" t="s">
        <v>193</v>
      </c>
      <c r="BA288" s="255" t="s">
        <v>194</v>
      </c>
      <c r="BB288" s="255" t="s">
        <v>195</v>
      </c>
      <c r="BC288" s="216" t="s">
        <v>421</v>
      </c>
      <c r="BD288" s="254" t="s">
        <v>191</v>
      </c>
      <c r="BE288" s="255" t="s">
        <v>192</v>
      </c>
      <c r="BF288" s="255" t="s">
        <v>193</v>
      </c>
      <c r="BG288" s="255" t="s">
        <v>194</v>
      </c>
      <c r="BH288" s="255" t="s">
        <v>195</v>
      </c>
      <c r="BI288" s="216" t="s">
        <v>421</v>
      </c>
      <c r="BJ288" s="254" t="s">
        <v>191</v>
      </c>
      <c r="BK288" s="255" t="s">
        <v>192</v>
      </c>
      <c r="BL288" s="255" t="s">
        <v>193</v>
      </c>
      <c r="BM288" s="255" t="s">
        <v>194</v>
      </c>
      <c r="BN288" s="255" t="s">
        <v>195</v>
      </c>
      <c r="BO288" s="216" t="s">
        <v>421</v>
      </c>
      <c r="BP288" s="254" t="s">
        <v>191</v>
      </c>
      <c r="BQ288" s="255" t="s">
        <v>192</v>
      </c>
      <c r="BR288" s="255" t="s">
        <v>193</v>
      </c>
      <c r="BS288" s="255" t="s">
        <v>194</v>
      </c>
      <c r="BT288" s="255" t="s">
        <v>195</v>
      </c>
      <c r="BU288" s="216" t="s">
        <v>421</v>
      </c>
      <c r="BV288" s="254" t="s">
        <v>191</v>
      </c>
      <c r="BW288" s="255" t="s">
        <v>192</v>
      </c>
      <c r="BX288" s="255" t="s">
        <v>193</v>
      </c>
      <c r="BY288" s="255" t="s">
        <v>194</v>
      </c>
      <c r="BZ288" s="255" t="s">
        <v>195</v>
      </c>
      <c r="CA288" s="217" t="s">
        <v>421</v>
      </c>
      <c r="CB288" s="254" t="s">
        <v>191</v>
      </c>
      <c r="CC288" s="255" t="s">
        <v>192</v>
      </c>
      <c r="CD288" s="255" t="s">
        <v>193</v>
      </c>
      <c r="CE288" s="255" t="s">
        <v>194</v>
      </c>
      <c r="CF288" s="255" t="s">
        <v>195</v>
      </c>
      <c r="CG288" s="217" t="s">
        <v>421</v>
      </c>
    </row>
    <row r="289" spans="1:85" ht="14.4">
      <c r="A289" s="143" t="s">
        <v>388</v>
      </c>
      <c r="B289" s="169"/>
      <c r="C289" s="236"/>
      <c r="D289" s="236"/>
      <c r="E289" s="236"/>
      <c r="F289" s="236"/>
      <c r="G289" s="236"/>
      <c r="H289" s="226"/>
      <c r="I289"/>
      <c r="J289"/>
      <c r="K289"/>
      <c r="L289"/>
      <c r="M289"/>
      <c r="N289"/>
      <c r="O289" s="169"/>
      <c r="P289" s="236"/>
      <c r="Q289" s="236"/>
      <c r="R289" s="236"/>
      <c r="S289" s="226"/>
      <c r="T289"/>
      <c r="U289"/>
      <c r="V289"/>
      <c r="W289"/>
      <c r="X289" s="169"/>
      <c r="Y289" s="236"/>
      <c r="Z289" s="236"/>
      <c r="AA289" s="236"/>
      <c r="AB289" s="226"/>
      <c r="AC289"/>
      <c r="AD289"/>
      <c r="AE289"/>
      <c r="AF289"/>
      <c r="AG289" s="153"/>
      <c r="AH289"/>
      <c r="AI289"/>
      <c r="AJ289"/>
      <c r="AK289" s="153"/>
      <c r="AL289" s="169"/>
      <c r="AM289" s="236"/>
      <c r="AN289" s="236"/>
      <c r="AO289" s="236"/>
      <c r="AP289" s="236"/>
      <c r="AQ289" s="236"/>
      <c r="AR289" s="169"/>
      <c r="AS289" s="236"/>
      <c r="AT289" s="236"/>
      <c r="AU289" s="236"/>
      <c r="AV289" s="236"/>
      <c r="AW289" s="226"/>
      <c r="AX289" s="169"/>
      <c r="AY289" s="236"/>
      <c r="AZ289" s="236"/>
      <c r="BA289" s="236"/>
      <c r="BB289" s="236"/>
      <c r="BC289" s="236"/>
      <c r="BD289"/>
      <c r="BE289"/>
      <c r="BF289"/>
      <c r="BG289"/>
      <c r="BH289"/>
      <c r="BI289"/>
      <c r="BJ289" s="169"/>
      <c r="BK289" s="236"/>
      <c r="BL289" s="236"/>
      <c r="BM289" s="236"/>
      <c r="BN289" s="236"/>
      <c r="BO289" s="236"/>
      <c r="BP289" s="169"/>
      <c r="BQ289" s="236"/>
      <c r="BR289" s="236"/>
      <c r="BS289" s="236"/>
      <c r="BT289" s="236"/>
      <c r="BU289" s="236"/>
      <c r="BV289" s="169"/>
      <c r="BW289" s="236"/>
      <c r="BX289" s="236"/>
      <c r="BY289" s="236"/>
      <c r="BZ289" s="236"/>
      <c r="CA289" s="226"/>
      <c r="CB289" s="169"/>
      <c r="CC289" s="236"/>
      <c r="CD289" s="236"/>
      <c r="CE289" s="236"/>
      <c r="CF289" s="236"/>
      <c r="CG289" s="226"/>
    </row>
    <row r="290" spans="1:85" ht="14.4">
      <c r="A290" t="s">
        <v>368</v>
      </c>
      <c r="B290" s="160">
        <v>9.9816689259519392E-2</v>
      </c>
      <c r="C290" s="137">
        <v>10.32956108632378</v>
      </c>
      <c r="D290" s="137">
        <v>14.029693369488067</v>
      </c>
      <c r="E290" s="137">
        <v>12.327632519232495</v>
      </c>
      <c r="F290" s="137">
        <v>28.277029373535729</v>
      </c>
      <c r="G290" s="137">
        <v>80.145033771358399</v>
      </c>
      <c r="H290" s="159">
        <v>1.288020109685369</v>
      </c>
      <c r="I290" s="137">
        <v>9.9816689259519392E-2</v>
      </c>
      <c r="J290" s="137">
        <v>10.552551570129546</v>
      </c>
      <c r="K290" s="137">
        <v>14.313871483809919</v>
      </c>
      <c r="L290" s="137">
        <v>12.583664323516949</v>
      </c>
      <c r="M290" s="137">
        <v>104.2679182795404</v>
      </c>
      <c r="N290" s="137">
        <v>105.55593838922576</v>
      </c>
      <c r="O290" s="160">
        <v>0.1003854931251011</v>
      </c>
      <c r="P290" s="137">
        <v>14.059558251016917</v>
      </c>
      <c r="Q290" s="137">
        <v>28.372206672394515</v>
      </c>
      <c r="R290" s="137">
        <v>113.77446756454083</v>
      </c>
      <c r="S290" s="159">
        <v>1.3083560825756835</v>
      </c>
      <c r="T290" s="137">
        <v>0.1003854931251011</v>
      </c>
      <c r="U290" s="137">
        <v>14.34535574994408</v>
      </c>
      <c r="V290" s="137">
        <v>141.27451453718362</v>
      </c>
      <c r="W290" s="137">
        <v>142.58287061975929</v>
      </c>
      <c r="X290" s="160">
        <v>9.9923396864702516E-2</v>
      </c>
      <c r="Y290" s="137">
        <v>12.652541786515252</v>
      </c>
      <c r="Z290" s="137">
        <v>28.294884634801637</v>
      </c>
      <c r="AA290" s="137">
        <v>86.453915550959422</v>
      </c>
      <c r="AB290" s="159">
        <v>1.2918351381995918</v>
      </c>
      <c r="AC290" s="137">
        <v>9.9923396864702516E-2</v>
      </c>
      <c r="AD290" s="137">
        <v>12.91413319047758</v>
      </c>
      <c r="AE290" s="137">
        <v>111.21030887710495</v>
      </c>
      <c r="AF290" s="137">
        <v>112.50214401530454</v>
      </c>
      <c r="AG290" s="177">
        <v>7.2345197421134255</v>
      </c>
      <c r="AH290" s="137">
        <v>12.199193037166918</v>
      </c>
      <c r="AI290" s="137">
        <v>14.057945035139703</v>
      </c>
      <c r="AJ290" s="137">
        <v>12.547892559596074</v>
      </c>
      <c r="AK290" s="177">
        <v>10.181270200562627</v>
      </c>
      <c r="AL290" s="160">
        <v>164.58376713752665</v>
      </c>
      <c r="AM290" s="137">
        <v>170.17719410978933</v>
      </c>
      <c r="AN290" s="137">
        <v>187.69823994963019</v>
      </c>
      <c r="AO290" s="137">
        <v>164.62653465448156</v>
      </c>
      <c r="AP290" s="137">
        <v>177.51053275382981</v>
      </c>
      <c r="AQ290" s="137">
        <v>268.2758715137681</v>
      </c>
      <c r="AR290" s="160">
        <v>35.275339150389961</v>
      </c>
      <c r="AS290" s="137">
        <v>34.035052362881927</v>
      </c>
      <c r="AT290" s="137">
        <v>41.100142723292223</v>
      </c>
      <c r="AU290" s="137">
        <v>34.683280798950868</v>
      </c>
      <c r="AV290" s="137">
        <v>32.975619599772287</v>
      </c>
      <c r="AW290" s="159">
        <v>51.256482393561591</v>
      </c>
      <c r="AX290" s="160">
        <v>18.378236874610064</v>
      </c>
      <c r="AY290" s="137">
        <v>16.244969156781416</v>
      </c>
      <c r="AZ290" s="137">
        <v>21.943749897029008</v>
      </c>
      <c r="BA290" s="137">
        <v>17.703224010518237</v>
      </c>
      <c r="BB290" s="137">
        <v>14.08882893963046</v>
      </c>
      <c r="BC290" s="137">
        <v>22.897937858814103</v>
      </c>
      <c r="BD290" s="137">
        <v>80.478178653430717</v>
      </c>
      <c r="BE290" s="137">
        <v>51.618731117736736</v>
      </c>
      <c r="BF290" s="137">
        <v>60.034278874117483</v>
      </c>
      <c r="BG290" s="137">
        <v>59.873517456019677</v>
      </c>
      <c r="BH290" s="137">
        <v>96.486052002749773</v>
      </c>
      <c r="BI290" s="137">
        <v>146.61749200764189</v>
      </c>
      <c r="BJ290" s="160">
        <v>174.20495655020838</v>
      </c>
      <c r="BK290" s="137">
        <v>180.30684577430003</v>
      </c>
      <c r="BL290" s="137">
        <v>198.60586664426171</v>
      </c>
      <c r="BM290" s="137">
        <v>174.2949582654206</v>
      </c>
      <c r="BN290" s="137">
        <v>188.26464830412493</v>
      </c>
      <c r="BO290" s="137">
        <v>284.42319215985685</v>
      </c>
      <c r="BP290" s="160">
        <v>35.758322858906581</v>
      </c>
      <c r="BQ290" s="137">
        <v>34.543560876440367</v>
      </c>
      <c r="BR290" s="137">
        <v>41.647705583362722</v>
      </c>
      <c r="BS290" s="137">
        <v>35.168635664220012</v>
      </c>
      <c r="BT290" s="137">
        <v>33.515476200397103</v>
      </c>
      <c r="BU290" s="137">
        <v>52.067077889995247</v>
      </c>
      <c r="BV290" s="160">
        <v>18.378236874610064</v>
      </c>
      <c r="BW290" s="137">
        <v>16.244969156781416</v>
      </c>
      <c r="BX290" s="137">
        <v>21.943749897029008</v>
      </c>
      <c r="BY290" s="137">
        <v>17.703224010518237</v>
      </c>
      <c r="BZ290" s="137">
        <v>14.08882893963046</v>
      </c>
      <c r="CA290" s="159">
        <v>22.897937858814103</v>
      </c>
      <c r="CB290" s="160">
        <v>84.376730592734759</v>
      </c>
      <c r="CC290" s="137">
        <v>53.792973529926606</v>
      </c>
      <c r="CD290" s="137">
        <v>62.375506920378037</v>
      </c>
      <c r="CE290" s="137">
        <v>62.546182999008224</v>
      </c>
      <c r="CF290" s="137">
        <v>101.90827706320857</v>
      </c>
      <c r="CG290" s="159">
        <v>154.75897107739985</v>
      </c>
    </row>
    <row r="291" spans="1:85" ht="14.4">
      <c r="A291" t="s">
        <v>369</v>
      </c>
      <c r="B291" s="160">
        <v>9.7362401954790331E-2</v>
      </c>
      <c r="C291" s="137">
        <v>10.048753115309577</v>
      </c>
      <c r="D291" s="137">
        <v>13.035472832560114</v>
      </c>
      <c r="E291" s="137">
        <v>11.661581762624866</v>
      </c>
      <c r="F291" s="137">
        <v>27.818678726192445</v>
      </c>
      <c r="G291" s="137">
        <v>40.199703319891071</v>
      </c>
      <c r="H291" s="159">
        <v>1.2148487698591328</v>
      </c>
      <c r="I291" s="137">
        <v>9.7362401954790331E-2</v>
      </c>
      <c r="J291" s="137">
        <v>10.266260721276579</v>
      </c>
      <c r="K291" s="137">
        <v>13.312663590925402</v>
      </c>
      <c r="L291" s="137">
        <v>11.911318270886945</v>
      </c>
      <c r="M291" s="137">
        <v>63.033700445181346</v>
      </c>
      <c r="N291" s="137">
        <v>64.248549215040484</v>
      </c>
      <c r="O291" s="160">
        <v>9.8173122753522149E-2</v>
      </c>
      <c r="P291" s="137">
        <v>13.560093608451258</v>
      </c>
      <c r="Q291" s="137">
        <v>27.954335708187493</v>
      </c>
      <c r="R291" s="137">
        <v>95.422744006231198</v>
      </c>
      <c r="S291" s="159">
        <v>1.2438337982357655</v>
      </c>
      <c r="T291" s="137">
        <v>9.8173122753522149E-2</v>
      </c>
      <c r="U291" s="137">
        <v>13.839592488930535</v>
      </c>
      <c r="V291" s="137">
        <v>121.95324280751103</v>
      </c>
      <c r="W291" s="137">
        <v>123.1970766057468</v>
      </c>
      <c r="X291" s="160">
        <v>9.7514493176632425E-2</v>
      </c>
      <c r="Y291" s="137">
        <v>12.017742584901896</v>
      </c>
      <c r="Z291" s="137">
        <v>27.844127976014715</v>
      </c>
      <c r="AA291" s="137">
        <v>50.559545752648475</v>
      </c>
      <c r="AB291" s="159">
        <v>1.2202863611825892</v>
      </c>
      <c r="AC291" s="137">
        <v>9.7514493176632425E-2</v>
      </c>
      <c r="AD291" s="137">
        <v>12.273027673050866</v>
      </c>
      <c r="AE291" s="137">
        <v>74.086939801886984</v>
      </c>
      <c r="AF291" s="137">
        <v>75.307226163069572</v>
      </c>
      <c r="AG291" s="177">
        <v>6.7563364486471809</v>
      </c>
      <c r="AH291" s="137">
        <v>9.6694708753147136</v>
      </c>
      <c r="AI291" s="137">
        <v>12.62868695032817</v>
      </c>
      <c r="AJ291" s="137">
        <v>10.224616458105775</v>
      </c>
      <c r="AK291" s="177">
        <v>9.3379232039998818</v>
      </c>
      <c r="AL291" s="160">
        <v>105.38382117502829</v>
      </c>
      <c r="AM291" s="137">
        <v>108.25897122516007</v>
      </c>
      <c r="AN291" s="137">
        <v>120.43010426015579</v>
      </c>
      <c r="AO291" s="137">
        <v>105.36886795271214</v>
      </c>
      <c r="AP291" s="137">
        <v>112.07742513793384</v>
      </c>
      <c r="AQ291" s="137">
        <v>169.65058530372812</v>
      </c>
      <c r="AR291" s="160">
        <v>29.786339766674125</v>
      </c>
      <c r="AS291" s="137">
        <v>28.666301282337983</v>
      </c>
      <c r="AT291" s="137">
        <v>34.724577543284404</v>
      </c>
      <c r="AU291" s="137">
        <v>29.400248811647849</v>
      </c>
      <c r="AV291" s="137">
        <v>27.578096052370405</v>
      </c>
      <c r="AW291" s="159">
        <v>42.774715805885137</v>
      </c>
      <c r="AX291" s="160">
        <v>16.393155657275717</v>
      </c>
      <c r="AY291" s="137">
        <v>14.565311904866535</v>
      </c>
      <c r="AZ291" s="137">
        <v>19.540607427777712</v>
      </c>
      <c r="BA291" s="137">
        <v>15.9413123002973</v>
      </c>
      <c r="BB291" s="137">
        <v>12.607821243208166</v>
      </c>
      <c r="BC291" s="137">
        <v>20.296825702037928</v>
      </c>
      <c r="BD291" s="137">
        <v>55.120536072601958</v>
      </c>
      <c r="BE291" s="137">
        <v>36.855144183521752</v>
      </c>
      <c r="BF291" s="137">
        <v>43.542337954536464</v>
      </c>
      <c r="BG291" s="137">
        <v>42.115073196678985</v>
      </c>
      <c r="BH291" s="137">
        <v>62.760395526928846</v>
      </c>
      <c r="BI291" s="137">
        <v>95.600991293210114</v>
      </c>
      <c r="BJ291" s="160">
        <v>120.70119461574338</v>
      </c>
      <c r="BK291" s="137">
        <v>124.38583981847088</v>
      </c>
      <c r="BL291" s="137">
        <v>137.79554467164587</v>
      </c>
      <c r="BM291" s="137">
        <v>120.76144039667383</v>
      </c>
      <c r="BN291" s="137">
        <v>129.19846878887247</v>
      </c>
      <c r="BO291" s="137">
        <v>195.35785805288521</v>
      </c>
      <c r="BP291" s="160">
        <v>30.555271913398023</v>
      </c>
      <c r="BQ291" s="137">
        <v>29.475870085722185</v>
      </c>
      <c r="BR291" s="137">
        <v>35.596322651941207</v>
      </c>
      <c r="BS291" s="137">
        <v>30.172955948334724</v>
      </c>
      <c r="BT291" s="137">
        <v>28.437572443647525</v>
      </c>
      <c r="BU291" s="137">
        <v>44.065220897892821</v>
      </c>
      <c r="BV291" s="160">
        <v>16.393155657275717</v>
      </c>
      <c r="BW291" s="137">
        <v>14.565311904866535</v>
      </c>
      <c r="BX291" s="137">
        <v>19.540607427777712</v>
      </c>
      <c r="BY291" s="137">
        <v>15.9413123002973</v>
      </c>
      <c r="BZ291" s="137">
        <v>12.607821243208166</v>
      </c>
      <c r="CA291" s="159">
        <v>20.296825702037928</v>
      </c>
      <c r="CB291" s="160">
        <v>61.327209007824756</v>
      </c>
      <c r="CC291" s="137">
        <v>40.316637513468642</v>
      </c>
      <c r="CD291" s="137">
        <v>47.26968004876646</v>
      </c>
      <c r="CE291" s="137">
        <v>46.370078939537187</v>
      </c>
      <c r="CF291" s="137">
        <v>71.392825735732103</v>
      </c>
      <c r="CG291" s="159">
        <v>108.56259821333512</v>
      </c>
    </row>
    <row r="292" spans="1:85" ht="14.4">
      <c r="A292" t="s">
        <v>361</v>
      </c>
      <c r="B292" s="160">
        <v>3.4970030939026802E-3</v>
      </c>
      <c r="C292" s="137">
        <v>0.51913544661741284</v>
      </c>
      <c r="D292" s="137">
        <v>7.6845649325746397</v>
      </c>
      <c r="E292" s="137">
        <v>4.3884673690343163</v>
      </c>
      <c r="F292" s="137">
        <v>4.5403647805985932</v>
      </c>
      <c r="G292" s="137">
        <v>26.317423907797114</v>
      </c>
      <c r="H292" s="159">
        <v>0.10485051388484037</v>
      </c>
      <c r="I292" s="137">
        <v>3.4970030939026802E-3</v>
      </c>
      <c r="J292" s="137">
        <v>0.52694775152919138</v>
      </c>
      <c r="K292" s="137">
        <v>7.6945209003829804</v>
      </c>
      <c r="L292" s="137">
        <v>4.3974372519102385</v>
      </c>
      <c r="M292" s="137">
        <v>34.747311119709039</v>
      </c>
      <c r="N292" s="137">
        <v>34.85216163359388</v>
      </c>
      <c r="O292" s="160">
        <v>2.3786369554616316E-3</v>
      </c>
      <c r="P292" s="137">
        <v>7.7591847720771394</v>
      </c>
      <c r="Q292" s="137">
        <v>4.3532298565363394</v>
      </c>
      <c r="R292" s="137">
        <v>20.126108620780332</v>
      </c>
      <c r="S292" s="159">
        <v>6.4866496811532268E-2</v>
      </c>
      <c r="T292" s="137">
        <v>2.3786369554616316E-3</v>
      </c>
      <c r="U292" s="137">
        <v>7.7659567514893384</v>
      </c>
      <c r="V292" s="137">
        <v>35.013447713385396</v>
      </c>
      <c r="W292" s="137">
        <v>35.078314210196929</v>
      </c>
      <c r="X292" s="160">
        <v>3.2871976063311393E-3</v>
      </c>
      <c r="Y292" s="137">
        <v>5.0208139538451499</v>
      </c>
      <c r="Z292" s="137">
        <v>4.5052582688445142</v>
      </c>
      <c r="AA292" s="137">
        <v>25.155933159952767</v>
      </c>
      <c r="AB292" s="159">
        <v>9.7349512281887776E-2</v>
      </c>
      <c r="AC292" s="137">
        <v>3.2871976063311393E-3</v>
      </c>
      <c r="AD292" s="137">
        <v>5.0294195723881829</v>
      </c>
      <c r="AE292" s="137">
        <v>34.797330480220914</v>
      </c>
      <c r="AF292" s="137">
        <v>34.894679992502802</v>
      </c>
      <c r="AG292" s="177">
        <v>0.57461153601828174</v>
      </c>
      <c r="AH292" s="137">
        <v>2.2976429970606498</v>
      </c>
      <c r="AI292" s="137">
        <v>2.3089958564061233</v>
      </c>
      <c r="AJ292" s="137">
        <v>2.2997774186778779</v>
      </c>
      <c r="AK292" s="177">
        <v>1.306311337823812</v>
      </c>
      <c r="AL292" s="160">
        <v>50.744759300708814</v>
      </c>
      <c r="AM292" s="137">
        <v>52.990873254784901</v>
      </c>
      <c r="AN292" s="137">
        <v>57.966363526968209</v>
      </c>
      <c r="AO292" s="137">
        <v>50.772385919862231</v>
      </c>
      <c r="AP292" s="137">
        <v>55.895620346891242</v>
      </c>
      <c r="AQ292" s="137">
        <v>84.468272726713863</v>
      </c>
      <c r="AR292" s="160">
        <v>5.653495537246636</v>
      </c>
      <c r="AS292" s="137">
        <v>5.5166187271284972</v>
      </c>
      <c r="AT292" s="137">
        <v>6.8460029120200767</v>
      </c>
      <c r="AU292" s="137">
        <v>5.4597514296716323</v>
      </c>
      <c r="AV292" s="137">
        <v>5.4947145938104933</v>
      </c>
      <c r="AW292" s="159">
        <v>8.7912370614274593</v>
      </c>
      <c r="AX292" s="160">
        <v>2.4710302220179305</v>
      </c>
      <c r="AY292" s="137">
        <v>2.1659659445149524</v>
      </c>
      <c r="AZ292" s="137">
        <v>3.2380141137357383</v>
      </c>
      <c r="BA292" s="137">
        <v>2.2616621420629137</v>
      </c>
      <c r="BB292" s="137">
        <v>1.937503705761195</v>
      </c>
      <c r="BC292" s="137">
        <v>3.4500795718639492</v>
      </c>
      <c r="BD292" s="137">
        <v>22.258678191244972</v>
      </c>
      <c r="BE292" s="137">
        <v>13.260438508787832</v>
      </c>
      <c r="BF292" s="137">
        <v>15.184561646944069</v>
      </c>
      <c r="BG292" s="137">
        <v>15.795179796239083</v>
      </c>
      <c r="BH292" s="137">
        <v>29.143186116218963</v>
      </c>
      <c r="BI292" s="137">
        <v>44.299452560539279</v>
      </c>
      <c r="BJ292" s="160">
        <v>50.803651479633558</v>
      </c>
      <c r="BK292" s="137">
        <v>53.052877777581784</v>
      </c>
      <c r="BL292" s="137">
        <v>58.03313010596289</v>
      </c>
      <c r="BM292" s="137">
        <v>50.831567223627559</v>
      </c>
      <c r="BN292" s="137">
        <v>55.961447270154032</v>
      </c>
      <c r="BO292" s="137">
        <v>84.567111950832157</v>
      </c>
      <c r="BP292" s="160">
        <v>5.6564519246286586</v>
      </c>
      <c r="BQ292" s="137">
        <v>5.519731354172901</v>
      </c>
      <c r="BR292" s="137">
        <v>6.84935459428561</v>
      </c>
      <c r="BS292" s="137">
        <v>5.4627223311206521</v>
      </c>
      <c r="BT292" s="137">
        <v>5.4980191053582859</v>
      </c>
      <c r="BU292" s="137">
        <v>8.7961987904781989</v>
      </c>
      <c r="BV292" s="160">
        <v>2.4710302220179305</v>
      </c>
      <c r="BW292" s="137">
        <v>2.1659659445149524</v>
      </c>
      <c r="BX292" s="137">
        <v>3.2380141137357383</v>
      </c>
      <c r="BY292" s="137">
        <v>2.2616621420629137</v>
      </c>
      <c r="BZ292" s="137">
        <v>1.937503705761195</v>
      </c>
      <c r="CA292" s="159">
        <v>3.4500795718639492</v>
      </c>
      <c r="CB292" s="160">
        <v>22.282541583649895</v>
      </c>
      <c r="CC292" s="137">
        <v>13.273747245127197</v>
      </c>
      <c r="CD292" s="137">
        <v>15.198892517597365</v>
      </c>
      <c r="CE292" s="137">
        <v>15.811539426074061</v>
      </c>
      <c r="CF292" s="137">
        <v>29.176376050928063</v>
      </c>
      <c r="CG292" s="159">
        <v>44.349287297339728</v>
      </c>
    </row>
    <row r="293" spans="1:85" ht="14.4">
      <c r="A293" t="s">
        <v>360</v>
      </c>
      <c r="B293" s="160">
        <v>1.2906812436709492E-2</v>
      </c>
      <c r="C293" s="137">
        <v>9.4422401324337493</v>
      </c>
      <c r="D293" s="137">
        <v>3.902814222872967</v>
      </c>
      <c r="E293" s="137">
        <v>6.4509501412709263</v>
      </c>
      <c r="F293" s="137">
        <v>4.0082232533932247</v>
      </c>
      <c r="G293" s="137">
        <v>5.1962970494761311</v>
      </c>
      <c r="H293" s="159">
        <v>0.99062768067730245</v>
      </c>
      <c r="I293" s="137">
        <v>1.2906812436709492E-2</v>
      </c>
      <c r="J293" s="137">
        <v>9.4710739514173579</v>
      </c>
      <c r="K293" s="137">
        <v>3.9395599178802789</v>
      </c>
      <c r="L293" s="137">
        <v>6.484056373307336</v>
      </c>
      <c r="M293" s="137">
        <v>17.626233117106295</v>
      </c>
      <c r="N293" s="137">
        <v>18.616860797783598</v>
      </c>
      <c r="O293" s="160">
        <v>1.459027051370021E-2</v>
      </c>
      <c r="P293" s="137">
        <v>4.5834534275518095</v>
      </c>
      <c r="Q293" s="137">
        <v>4.2899143638186423</v>
      </c>
      <c r="R293" s="137">
        <v>63.527969150253639</v>
      </c>
      <c r="S293" s="159">
        <v>1.0508149611920932</v>
      </c>
      <c r="T293" s="137">
        <v>1.459027051370021E-2</v>
      </c>
      <c r="U293" s="137">
        <v>4.6249919277043139</v>
      </c>
      <c r="V293" s="137">
        <v>72.394078675662811</v>
      </c>
      <c r="W293" s="137">
        <v>73.4448936368549</v>
      </c>
      <c r="X293" s="160">
        <v>1.3222629171952952E-2</v>
      </c>
      <c r="Y293" s="137">
        <v>6.1006077577772198</v>
      </c>
      <c r="Z293" s="137">
        <v>4.0610685057090326</v>
      </c>
      <c r="AA293" s="137">
        <v>16.139318735581991</v>
      </c>
      <c r="AB293" s="159">
        <v>1.0019188145018771</v>
      </c>
      <c r="AC293" s="137">
        <v>1.3222629171952952E-2</v>
      </c>
      <c r="AD293" s="137">
        <v>6.1352235358401677</v>
      </c>
      <c r="AE293" s="137">
        <v>27.900542253787592</v>
      </c>
      <c r="AF293" s="137">
        <v>28.902461068289469</v>
      </c>
      <c r="AG293" s="177">
        <v>6.0491300123093934</v>
      </c>
      <c r="AH293" s="137">
        <v>6.7042266177894358</v>
      </c>
      <c r="AI293" s="137">
        <v>9.4565938663108149</v>
      </c>
      <c r="AJ293" s="137">
        <v>7.2205637513688306</v>
      </c>
      <c r="AK293" s="177">
        <v>7.7336679975182108</v>
      </c>
      <c r="AL293" s="160">
        <v>39.40961070618566</v>
      </c>
      <c r="AM293" s="137">
        <v>39.347123092922637</v>
      </c>
      <c r="AN293" s="137">
        <v>45.293719137666656</v>
      </c>
      <c r="AO293" s="137">
        <v>39.362790593200849</v>
      </c>
      <c r="AP293" s="137">
        <v>39.33490941901286</v>
      </c>
      <c r="AQ293" s="137">
        <v>59.869803417825068</v>
      </c>
      <c r="AR293" s="160">
        <v>22.909421103475744</v>
      </c>
      <c r="AS293" s="137">
        <v>21.974928668237148</v>
      </c>
      <c r="AT293" s="137">
        <v>26.587309684821825</v>
      </c>
      <c r="AU293" s="137">
        <v>22.781595078066978</v>
      </c>
      <c r="AV293" s="137">
        <v>20.891769181545897</v>
      </c>
      <c r="AW293" s="159">
        <v>32.177400658865665</v>
      </c>
      <c r="AX293" s="160">
        <v>13.623396815175598</v>
      </c>
      <c r="AY293" s="137">
        <v>12.198154991514814</v>
      </c>
      <c r="AZ293" s="137">
        <v>16.059662626907073</v>
      </c>
      <c r="BA293" s="137">
        <v>13.449982048765861</v>
      </c>
      <c r="BB293" s="137">
        <v>10.512285531884293</v>
      </c>
      <c r="BC293" s="137">
        <v>16.592590374088481</v>
      </c>
      <c r="BD293" s="137">
        <v>26.460770135220635</v>
      </c>
      <c r="BE293" s="137">
        <v>19.976629331732511</v>
      </c>
      <c r="BF293" s="137">
        <v>24.4355374513217</v>
      </c>
      <c r="BG293" s="137">
        <v>21.914109891984548</v>
      </c>
      <c r="BH293" s="137">
        <v>25.044652495774518</v>
      </c>
      <c r="BI293" s="137">
        <v>38.412961190740468</v>
      </c>
      <c r="BJ293" s="160">
        <v>53.656195640863338</v>
      </c>
      <c r="BK293" s="137">
        <v>54.346613967401346</v>
      </c>
      <c r="BL293" s="137">
        <v>61.445197242442021</v>
      </c>
      <c r="BM293" s="137">
        <v>53.67931760971797</v>
      </c>
      <c r="BN293" s="137">
        <v>55.259075757810052</v>
      </c>
      <c r="BO293" s="137">
        <v>83.779963085688706</v>
      </c>
      <c r="BP293" s="160">
        <v>23.624599667196563</v>
      </c>
      <c r="BQ293" s="137">
        <v>22.72790311013598</v>
      </c>
      <c r="BR293" s="137">
        <v>27.398113885681546</v>
      </c>
      <c r="BS293" s="137">
        <v>23.500284734296137</v>
      </c>
      <c r="BT293" s="137">
        <v>21.691162331753517</v>
      </c>
      <c r="BU293" s="137">
        <v>33.377690674192422</v>
      </c>
      <c r="BV293" s="160">
        <v>13.623396815175598</v>
      </c>
      <c r="BW293" s="137">
        <v>12.198154991514814</v>
      </c>
      <c r="BX293" s="137">
        <v>16.059662626907073</v>
      </c>
      <c r="BY293" s="137">
        <v>13.449982048765861</v>
      </c>
      <c r="BZ293" s="137">
        <v>10.512285531884293</v>
      </c>
      <c r="CA293" s="159">
        <v>16.592590374088481</v>
      </c>
      <c r="CB293" s="160">
        <v>32.23355444942802</v>
      </c>
      <c r="CC293" s="137">
        <v>23.196140752328027</v>
      </c>
      <c r="CD293" s="137">
        <v>27.902313000770466</v>
      </c>
      <c r="CE293" s="137">
        <v>25.871661814825213</v>
      </c>
      <c r="CF293" s="137">
        <v>33.073617163796058</v>
      </c>
      <c r="CG293" s="159">
        <v>50.468463695277322</v>
      </c>
    </row>
    <row r="294" spans="1:85" ht="14.4">
      <c r="A294" t="s">
        <v>370</v>
      </c>
      <c r="B294" s="165">
        <v>8.0958586424178164E-2</v>
      </c>
      <c r="C294" s="163">
        <v>8.7377536258413671E-2</v>
      </c>
      <c r="D294" s="163">
        <v>1.4480936771125068</v>
      </c>
      <c r="E294" s="163">
        <v>0.82216425231962398</v>
      </c>
      <c r="F294" s="163">
        <v>19.270090692200622</v>
      </c>
      <c r="G294" s="163">
        <v>8.6859823626178247</v>
      </c>
      <c r="H294" s="164">
        <v>0.1193705752969902</v>
      </c>
      <c r="I294" s="137">
        <v>8.0958586424178164E-2</v>
      </c>
      <c r="J294" s="137">
        <v>0.26823901833002767</v>
      </c>
      <c r="K294" s="137">
        <v>1.6785827726621421</v>
      </c>
      <c r="L294" s="137">
        <v>1.0298246456693696</v>
      </c>
      <c r="M294" s="137">
        <v>10.660156208366006</v>
      </c>
      <c r="N294" s="137">
        <v>10.779526783662996</v>
      </c>
      <c r="O294" s="160">
        <v>8.1204215284360309E-2</v>
      </c>
      <c r="P294" s="137">
        <v>1.2174554088223088</v>
      </c>
      <c r="Q294" s="137">
        <v>19.311191487832506</v>
      </c>
      <c r="R294" s="163">
        <v>11.768666235197234</v>
      </c>
      <c r="S294" s="159">
        <v>0.12815234023213987</v>
      </c>
      <c r="T294" s="137">
        <v>8.1204215284360309E-2</v>
      </c>
      <c r="U294" s="137">
        <v>1.4486438097368826</v>
      </c>
      <c r="V294" s="137">
        <v>14.545716418462838</v>
      </c>
      <c r="W294" s="137">
        <v>14.673868758694978</v>
      </c>
      <c r="X294" s="165">
        <v>8.1004666398348343E-2</v>
      </c>
      <c r="Y294" s="163">
        <v>0.8963208732795277</v>
      </c>
      <c r="Z294" s="163">
        <v>19.277801201461163</v>
      </c>
      <c r="AA294" s="163">
        <v>9.2642938571137226</v>
      </c>
      <c r="AB294" s="164">
        <v>0.12101803439882428</v>
      </c>
      <c r="AC294" s="137">
        <v>8.1004666398348343E-2</v>
      </c>
      <c r="AD294" s="137">
        <v>1.1083845648225159</v>
      </c>
      <c r="AE294" s="137">
        <v>11.389067067878486</v>
      </c>
      <c r="AF294" s="137">
        <v>11.51008510227731</v>
      </c>
      <c r="AG294" s="181">
        <v>0.13259490031950605</v>
      </c>
      <c r="AH294" s="137">
        <v>0.66760126046462731</v>
      </c>
      <c r="AI294" s="137">
        <v>0.86309722761123275</v>
      </c>
      <c r="AJ294" s="137">
        <v>0.70427528805906592</v>
      </c>
      <c r="AK294" s="181">
        <v>0.29794386865785755</v>
      </c>
      <c r="AL294" s="165">
        <v>15.229451168133807</v>
      </c>
      <c r="AM294" s="163">
        <v>15.920974877452517</v>
      </c>
      <c r="AN294" s="163">
        <v>17.1700215955209</v>
      </c>
      <c r="AO294" s="163">
        <v>15.23369143964905</v>
      </c>
      <c r="AP294" s="163">
        <v>16.846895372029728</v>
      </c>
      <c r="AQ294" s="163">
        <v>25.312509159189176</v>
      </c>
      <c r="AR294" s="165">
        <v>1.2234231259517461</v>
      </c>
      <c r="AS294" s="163">
        <v>1.1747538869723348</v>
      </c>
      <c r="AT294" s="163">
        <v>1.2912649464425039</v>
      </c>
      <c r="AU294" s="163">
        <v>1.1589023039092416</v>
      </c>
      <c r="AV294" s="163">
        <v>1.1916122770140143</v>
      </c>
      <c r="AW294" s="164">
        <v>1.8060780855920089</v>
      </c>
      <c r="AX294" s="160">
        <v>0.29872862008219081</v>
      </c>
      <c r="AY294" s="137">
        <v>0.20119096883676896</v>
      </c>
      <c r="AZ294" s="137">
        <v>0.24293068713489951</v>
      </c>
      <c r="BA294" s="137">
        <v>0.22966810946852698</v>
      </c>
      <c r="BB294" s="137">
        <v>0.15803200556267821</v>
      </c>
      <c r="BC294" s="137">
        <v>0.25415575608549823</v>
      </c>
      <c r="BD294" s="137">
        <v>6.4010877461363407</v>
      </c>
      <c r="BE294" s="137">
        <v>3.6180763430014036</v>
      </c>
      <c r="BF294" s="137">
        <v>3.9222388562706914</v>
      </c>
      <c r="BG294" s="137">
        <v>4.4057835084553565</v>
      </c>
      <c r="BH294" s="137">
        <v>8.5725569149353653</v>
      </c>
      <c r="BI294" s="137">
        <v>12.888577541930372</v>
      </c>
      <c r="BJ294" s="165">
        <v>16.241347495246494</v>
      </c>
      <c r="BK294" s="163">
        <v>16.986348073487772</v>
      </c>
      <c r="BL294" s="163">
        <v>18.317217323240961</v>
      </c>
      <c r="BM294" s="163">
        <v>16.250555563328316</v>
      </c>
      <c r="BN294" s="163">
        <v>17.977945760908408</v>
      </c>
      <c r="BO294" s="163">
        <v>27.010783016364371</v>
      </c>
      <c r="BP294" s="165">
        <v>1.274220321572803</v>
      </c>
      <c r="BQ294" s="163">
        <v>1.2282356214133048</v>
      </c>
      <c r="BR294" s="163">
        <v>1.3488541719740508</v>
      </c>
      <c r="BS294" s="163">
        <v>1.2099488829179408</v>
      </c>
      <c r="BT294" s="163">
        <v>1.2483910065357242</v>
      </c>
      <c r="BU294" s="163">
        <v>1.8913314332222038</v>
      </c>
      <c r="BV294" s="160">
        <v>0.29872862008219081</v>
      </c>
      <c r="BW294" s="137">
        <v>0.20119096883676896</v>
      </c>
      <c r="BX294" s="137">
        <v>0.24293068713489951</v>
      </c>
      <c r="BY294" s="137">
        <v>0.22966810946852698</v>
      </c>
      <c r="BZ294" s="137">
        <v>0.15803200556267821</v>
      </c>
      <c r="CA294" s="159">
        <v>0.25415575608549823</v>
      </c>
      <c r="CB294" s="160">
        <v>6.8111129747468455</v>
      </c>
      <c r="CC294" s="137">
        <v>3.8467495160134213</v>
      </c>
      <c r="CD294" s="137">
        <v>4.1684745303986297</v>
      </c>
      <c r="CE294" s="137">
        <v>4.6868776986379137</v>
      </c>
      <c r="CF294" s="137">
        <v>9.1428325210079961</v>
      </c>
      <c r="CG294" s="159">
        <v>13.744847220718107</v>
      </c>
    </row>
    <row r="295" spans="1:85" ht="14.4">
      <c r="A295" s="241" t="s">
        <v>389</v>
      </c>
      <c r="B295" s="253">
        <v>111.0576805167709</v>
      </c>
      <c r="C295" s="139">
        <v>1860.2408103487799</v>
      </c>
      <c r="D295" s="139">
        <v>1017.1634338869446</v>
      </c>
      <c r="E295" s="139">
        <v>1404.979027059389</v>
      </c>
      <c r="F295" s="139">
        <v>812.9654059891177</v>
      </c>
      <c r="G295" s="139">
        <v>51860.87624209861</v>
      </c>
      <c r="H295" s="256">
        <v>143.1240088510211</v>
      </c>
      <c r="I295" s="240">
        <v>111.0576805167709</v>
      </c>
      <c r="J295" s="257">
        <v>2108.3436686232462</v>
      </c>
      <c r="K295" s="257">
        <v>1333.3446503181913</v>
      </c>
      <c r="L295" s="257">
        <v>1689.8441987385168</v>
      </c>
      <c r="M295" s="257">
        <v>55100.307571080346</v>
      </c>
      <c r="N295" s="239">
        <v>55243.43157993137</v>
      </c>
      <c r="O295" s="240">
        <v>111.71005315695633</v>
      </c>
      <c r="P295" s="250">
        <v>690.57244442546676</v>
      </c>
      <c r="Q295" s="250">
        <v>922.12617211493148</v>
      </c>
      <c r="R295" s="163">
        <v>15438.97768861759</v>
      </c>
      <c r="S295" s="251">
        <v>166.44774683516096</v>
      </c>
      <c r="T295" s="240">
        <v>111.71005315695633</v>
      </c>
      <c r="U295" s="257">
        <v>1008.6109657633215</v>
      </c>
      <c r="V295" s="257">
        <v>17372.484909985877</v>
      </c>
      <c r="W295" s="239">
        <v>17538.932656821038</v>
      </c>
      <c r="X295" s="139">
        <v>111.18006562406968</v>
      </c>
      <c r="Y295" s="139">
        <v>1270.9563521572652</v>
      </c>
      <c r="Z295" s="139">
        <v>833.44396571432037</v>
      </c>
      <c r="AA295" s="139">
        <v>45028.128073465567</v>
      </c>
      <c r="AB295" s="139">
        <v>147.49954209684574</v>
      </c>
      <c r="AC295" s="240">
        <v>111.18006562406968</v>
      </c>
      <c r="AD295" s="257">
        <v>1562.0168081844336</v>
      </c>
      <c r="AE295" s="257">
        <v>48022.514294755129</v>
      </c>
      <c r="AF295" s="239">
        <v>48170.013836851977</v>
      </c>
      <c r="AG295" s="139">
        <v>469.2869531129391</v>
      </c>
      <c r="AH295" s="240">
        <v>3220.8261611916764</v>
      </c>
      <c r="AI295" s="257">
        <v>1328.0603152515375</v>
      </c>
      <c r="AJ295" s="239">
        <v>2865.7405904890907</v>
      </c>
      <c r="AK295" s="139">
        <v>479.89312507126027</v>
      </c>
      <c r="AL295" s="240">
        <v>78590.138173118452</v>
      </c>
      <c r="AM295" s="257">
        <v>81784.083474578292</v>
      </c>
      <c r="AN295" s="257">
        <v>88244.382962819887</v>
      </c>
      <c r="AO295" s="257">
        <v>78676.773424840867</v>
      </c>
      <c r="AP295" s="257">
        <v>86537.138571763135</v>
      </c>
      <c r="AQ295" s="257">
        <v>130082.52957074223</v>
      </c>
      <c r="AR295" s="240">
        <v>6533.6274076220998</v>
      </c>
      <c r="AS295" s="257">
        <v>5919.5179924301974</v>
      </c>
      <c r="AT295" s="257">
        <v>6553.2856737729462</v>
      </c>
      <c r="AU295" s="257">
        <v>6266.508942497092</v>
      </c>
      <c r="AV295" s="257">
        <v>5995.7408624703403</v>
      </c>
      <c r="AW295" s="239">
        <v>9149.4999772095234</v>
      </c>
      <c r="AX295" s="240">
        <v>2072.4610917555092</v>
      </c>
      <c r="AY295" s="257">
        <v>1222.5872015643765</v>
      </c>
      <c r="AZ295" s="257">
        <v>1495.6223528536564</v>
      </c>
      <c r="BA295" s="257">
        <v>1783.4410087343977</v>
      </c>
      <c r="BB295" s="257">
        <v>1009.2577997133865</v>
      </c>
      <c r="BC295" s="257">
        <v>1662.2881712681533</v>
      </c>
      <c r="BD295" s="240">
        <v>33263.101300715854</v>
      </c>
      <c r="BE295" s="257">
        <v>18665.789195387988</v>
      </c>
      <c r="BF295" s="257">
        <v>20278.492880797985</v>
      </c>
      <c r="BG295" s="257">
        <v>23140.179101245314</v>
      </c>
      <c r="BH295" s="257">
        <v>44132.415284980867</v>
      </c>
      <c r="BI295" s="257">
        <v>66411.773884882976</v>
      </c>
      <c r="BJ295" s="139">
        <v>68792.747257179188</v>
      </c>
      <c r="BK295" s="139">
        <v>71468.918379845622</v>
      </c>
      <c r="BL295" s="139">
        <v>77136.995080862311</v>
      </c>
      <c r="BM295" s="139">
        <v>68831.283268248662</v>
      </c>
      <c r="BN295" s="139">
        <v>75586.073221927625</v>
      </c>
      <c r="BO295" s="139">
        <v>113639.48850492315</v>
      </c>
      <c r="BP295" s="240">
        <v>6041.798383641948</v>
      </c>
      <c r="BQ295" s="257">
        <v>5401.6967046746167</v>
      </c>
      <c r="BR295" s="257">
        <v>5995.6948020986756</v>
      </c>
      <c r="BS295" s="257">
        <v>5772.2653366361628</v>
      </c>
      <c r="BT295" s="257">
        <v>5445.9973819085972</v>
      </c>
      <c r="BU295" s="257">
        <v>8324.0593157054063</v>
      </c>
      <c r="BV295" s="240">
        <v>2072.4610917555092</v>
      </c>
      <c r="BW295" s="257">
        <v>1222.5872015643765</v>
      </c>
      <c r="BX295" s="257">
        <v>1495.6223528536564</v>
      </c>
      <c r="BY295" s="257">
        <v>1783.4410087343977</v>
      </c>
      <c r="BZ295" s="257">
        <v>1009.2577997133865</v>
      </c>
      <c r="CA295" s="239">
        <v>1662.2881712681533</v>
      </c>
      <c r="CB295" s="240">
        <v>29293.151670048686</v>
      </c>
      <c r="CC295" s="257">
        <v>16451.727924526735</v>
      </c>
      <c r="CD295" s="257">
        <v>17894.387817619336</v>
      </c>
      <c r="CE295" s="257">
        <v>20418.566628082157</v>
      </c>
      <c r="CF295" s="257">
        <v>38610.888135593807</v>
      </c>
      <c r="CG295" s="239">
        <v>58121.192579497008</v>
      </c>
    </row>
    <row r="296" spans="1:85" ht="14.4">
      <c r="A296" s="143" t="s">
        <v>390</v>
      </c>
      <c r="B296" s="156"/>
      <c r="C296" s="154"/>
      <c r="D296" s="154"/>
      <c r="E296" s="154"/>
      <c r="F296" s="154"/>
      <c r="G296" s="154"/>
      <c r="H296" s="155"/>
      <c r="I296" s="137"/>
      <c r="J296" s="137"/>
      <c r="K296" s="137"/>
      <c r="L296" s="137"/>
      <c r="M296" s="137"/>
      <c r="N296" s="137"/>
      <c r="O296" s="160"/>
      <c r="P296" s="137"/>
      <c r="Q296" s="137"/>
      <c r="R296" s="137"/>
      <c r="S296" s="159"/>
      <c r="T296" s="137"/>
      <c r="U296" s="137"/>
      <c r="V296" s="137"/>
      <c r="W296" s="137"/>
      <c r="X296" s="156"/>
      <c r="Y296" s="154"/>
      <c r="Z296" s="154"/>
      <c r="AA296" s="154"/>
      <c r="AB296" s="155"/>
      <c r="AC296" s="137"/>
      <c r="AD296" s="137"/>
      <c r="AE296" s="137"/>
      <c r="AF296" s="137"/>
      <c r="AG296" s="258"/>
      <c r="AH296" s="137"/>
      <c r="AI296" s="137"/>
      <c r="AJ296" s="137"/>
      <c r="AK296" s="258"/>
      <c r="AL296" s="156"/>
      <c r="AM296" s="154"/>
      <c r="AN296" s="154"/>
      <c r="AO296" s="154"/>
      <c r="AP296" s="154"/>
      <c r="AQ296" s="154"/>
      <c r="AR296" s="156"/>
      <c r="AS296" s="154"/>
      <c r="AT296" s="154"/>
      <c r="AU296" s="154"/>
      <c r="AV296" s="154"/>
      <c r="AW296" s="155"/>
      <c r="AX296" s="160"/>
      <c r="AY296" s="137"/>
      <c r="AZ296" s="137"/>
      <c r="BA296" s="137"/>
      <c r="BB296" s="137"/>
      <c r="BC296" s="137"/>
      <c r="BD296" s="137"/>
      <c r="BE296" s="137"/>
      <c r="BF296" s="137"/>
      <c r="BG296" s="137"/>
      <c r="BH296" s="137"/>
      <c r="BI296" s="137"/>
      <c r="BJ296" s="156"/>
      <c r="BK296" s="154"/>
      <c r="BL296" s="154"/>
      <c r="BM296" s="154"/>
      <c r="BN296" s="154"/>
      <c r="BO296" s="154"/>
      <c r="BP296" s="156"/>
      <c r="BQ296" s="154"/>
      <c r="BR296" s="154"/>
      <c r="BS296" s="154"/>
      <c r="BT296" s="154"/>
      <c r="BU296" s="154"/>
      <c r="BV296" s="160"/>
      <c r="BW296" s="137"/>
      <c r="BX296" s="137"/>
      <c r="BY296" s="137"/>
      <c r="BZ296" s="137"/>
      <c r="CA296" s="159"/>
      <c r="CB296" s="160"/>
      <c r="CC296" s="137"/>
      <c r="CD296" s="137"/>
      <c r="CE296" s="137"/>
      <c r="CF296" s="137"/>
      <c r="CG296" s="159"/>
    </row>
    <row r="297" spans="1:85" ht="14.4">
      <c r="A297" t="s">
        <v>372</v>
      </c>
      <c r="B297" s="160">
        <v>2.3447036022830923</v>
      </c>
      <c r="C297" s="137">
        <v>120.88935320306285</v>
      </c>
      <c r="D297" s="137">
        <v>118.75354934217782</v>
      </c>
      <c r="E297" s="137">
        <v>119.73601911818494</v>
      </c>
      <c r="F297" s="137">
        <v>489.36108194977629</v>
      </c>
      <c r="G297" s="137">
        <v>472.66907420105997</v>
      </c>
      <c r="H297" s="159">
        <v>13.563803402679063</v>
      </c>
      <c r="I297" s="137">
        <v>2.3447036022830923</v>
      </c>
      <c r="J297" s="137">
        <v>126.12742105056329</v>
      </c>
      <c r="K297" s="137">
        <v>125.42892049787778</v>
      </c>
      <c r="L297" s="137">
        <v>125.75023075211311</v>
      </c>
      <c r="M297" s="137">
        <v>713.73226655286078</v>
      </c>
      <c r="N297" s="137">
        <v>727.29606995553979</v>
      </c>
      <c r="O297" s="160">
        <v>2.354709725034223</v>
      </c>
      <c r="P297" s="137">
        <v>122.29428663588673</v>
      </c>
      <c r="Q297" s="137">
        <v>491.03539500059929</v>
      </c>
      <c r="R297" s="137">
        <v>1020.3349173332999</v>
      </c>
      <c r="S297" s="159">
        <v>13.921544011203313</v>
      </c>
      <c r="T297" s="137">
        <v>2.354709725034223</v>
      </c>
      <c r="U297" s="137">
        <v>128.99814522305917</v>
      </c>
      <c r="V297" s="137">
        <v>1267.6243617259042</v>
      </c>
      <c r="W297" s="137">
        <v>1281.5459057371077</v>
      </c>
      <c r="X297" s="160">
        <v>2.3465807509112047</v>
      </c>
      <c r="Y297" s="137">
        <v>120.21595010450579</v>
      </c>
      <c r="Z297" s="137">
        <v>489.67518307811065</v>
      </c>
      <c r="AA297" s="137">
        <v>575.41118637266823</v>
      </c>
      <c r="AB297" s="159">
        <v>13.630915540838211</v>
      </c>
      <c r="AC297" s="137">
        <v>2.3465807509112047</v>
      </c>
      <c r="AD297" s="137">
        <v>126.35910948861869</v>
      </c>
      <c r="AE297" s="137">
        <v>817.64159926235027</v>
      </c>
      <c r="AF297" s="137">
        <v>831.27251480318853</v>
      </c>
      <c r="AG297" s="177">
        <v>129.41437734465342</v>
      </c>
      <c r="AH297" s="137">
        <v>159.94569582309853</v>
      </c>
      <c r="AI297" s="137">
        <v>187.76903757933323</v>
      </c>
      <c r="AJ297" s="137">
        <v>165.16531335445049</v>
      </c>
      <c r="AK297" s="177">
        <v>183.2408586397965</v>
      </c>
      <c r="AL297" s="160">
        <v>1486.7362755236531</v>
      </c>
      <c r="AM297" s="137">
        <v>1668.0942453750451</v>
      </c>
      <c r="AN297" s="137">
        <v>1882.7650035616016</v>
      </c>
      <c r="AO297" s="137">
        <v>1486.6942537105315</v>
      </c>
      <c r="AP297" s="137">
        <v>1701.171110107771</v>
      </c>
      <c r="AQ297" s="137">
        <v>2566.8481897202655</v>
      </c>
      <c r="AR297" s="160">
        <v>700.89927231280865</v>
      </c>
      <c r="AS297" s="137">
        <v>840.72719477770613</v>
      </c>
      <c r="AT297" s="137">
        <v>991.85471106142916</v>
      </c>
      <c r="AU297" s="137">
        <v>696.99926795558656</v>
      </c>
      <c r="AV297" s="137">
        <v>822.79926087592537</v>
      </c>
      <c r="AW297" s="159">
        <v>1247.9715392219989</v>
      </c>
      <c r="AX297" s="160">
        <v>479.35848902823489</v>
      </c>
      <c r="AY297" s="137">
        <v>607.47838655888154</v>
      </c>
      <c r="AZ297" s="137">
        <v>740.69198491041755</v>
      </c>
      <c r="BA297" s="137">
        <v>474.37085393941572</v>
      </c>
      <c r="BB297" s="137">
        <v>575.17133460260425</v>
      </c>
      <c r="BC297" s="137">
        <v>876.15783610890423</v>
      </c>
      <c r="BD297" s="137">
        <v>938.65584144250624</v>
      </c>
      <c r="BE297" s="137">
        <v>876.87380452450816</v>
      </c>
      <c r="BF297" s="137">
        <v>1030.7774438910276</v>
      </c>
      <c r="BG297" s="137">
        <v>782.04302516862572</v>
      </c>
      <c r="BH297" s="137">
        <v>1142.9004214123092</v>
      </c>
      <c r="BI297" s="137">
        <v>1728.6039123997525</v>
      </c>
      <c r="BJ297" s="160">
        <v>1630.7540492821313</v>
      </c>
      <c r="BK297" s="137">
        <v>1819.7230948963713</v>
      </c>
      <c r="BL297" s="137">
        <v>2046.0392149058644</v>
      </c>
      <c r="BM297" s="137">
        <v>1631.419067293974</v>
      </c>
      <c r="BN297" s="137">
        <v>1862.1474420209008</v>
      </c>
      <c r="BO297" s="137">
        <v>2808.5543937940342</v>
      </c>
      <c r="BP297" s="160">
        <v>708.12896455548423</v>
      </c>
      <c r="BQ297" s="137">
        <v>848.33896302367668</v>
      </c>
      <c r="BR297" s="137">
        <v>1000.0510764709111</v>
      </c>
      <c r="BS297" s="137">
        <v>704.26445359747538</v>
      </c>
      <c r="BT297" s="137">
        <v>830.88027273796456</v>
      </c>
      <c r="BU297" s="137">
        <v>1260.1051906665023</v>
      </c>
      <c r="BV297" s="160">
        <v>479.35848902823489</v>
      </c>
      <c r="BW297" s="137">
        <v>607.47838655888154</v>
      </c>
      <c r="BX297" s="137">
        <v>740.69198491041755</v>
      </c>
      <c r="BY297" s="137">
        <v>474.37085393941572</v>
      </c>
      <c r="BZ297" s="137">
        <v>575.17133460260425</v>
      </c>
      <c r="CA297" s="159">
        <v>876.15783610890423</v>
      </c>
      <c r="CB297" s="160">
        <v>997.01253177440003</v>
      </c>
      <c r="CC297" s="137">
        <v>909.41963003357796</v>
      </c>
      <c r="CD297" s="137">
        <v>1065.8228459323716</v>
      </c>
      <c r="CE297" s="137">
        <v>822.04965272704931</v>
      </c>
      <c r="CF297" s="137">
        <v>1224.0646879629094</v>
      </c>
      <c r="CG297" s="159">
        <v>1850.4721804937467</v>
      </c>
    </row>
    <row r="298" spans="1:85" ht="14.4">
      <c r="A298" t="s">
        <v>373</v>
      </c>
      <c r="B298" s="160">
        <v>6.2451998818084986</v>
      </c>
      <c r="C298" s="137">
        <v>507.06683595038641</v>
      </c>
      <c r="D298" s="137">
        <v>499.37822527496712</v>
      </c>
      <c r="E298" s="137">
        <v>502.91498618566004</v>
      </c>
      <c r="F298" s="137">
        <v>475.22476441244214</v>
      </c>
      <c r="G298" s="137">
        <v>1474.3187929082662</v>
      </c>
      <c r="H298" s="159">
        <v>110.56177495625225</v>
      </c>
      <c r="I298" s="137">
        <v>6.2451998818084986</v>
      </c>
      <c r="J298" s="137">
        <v>521.01861248634657</v>
      </c>
      <c r="K298" s="137">
        <v>517.15830933847587</v>
      </c>
      <c r="L298" s="137">
        <v>518.93404878649642</v>
      </c>
      <c r="M298" s="137">
        <v>2469.1153644319797</v>
      </c>
      <c r="N298" s="137">
        <v>2579.6771393882318</v>
      </c>
      <c r="O298" s="160">
        <v>6.2847859194517852</v>
      </c>
      <c r="P298" s="137">
        <v>493.16524364812574</v>
      </c>
      <c r="Q298" s="137">
        <v>481.84865071735857</v>
      </c>
      <c r="R298" s="137">
        <v>3447.1665624298216</v>
      </c>
      <c r="S298" s="159">
        <v>111.9770617309396</v>
      </c>
      <c r="T298" s="137">
        <v>6.2847859194517852</v>
      </c>
      <c r="U298" s="137">
        <v>511.05802916080495</v>
      </c>
      <c r="V298" s="137">
        <v>4426.864804331085</v>
      </c>
      <c r="W298" s="137">
        <v>4538.8418660620246</v>
      </c>
      <c r="X298" s="160">
        <v>6.2526262224703792</v>
      </c>
      <c r="Y298" s="137">
        <v>501.08593448561862</v>
      </c>
      <c r="Z298" s="137">
        <v>476.46740548324442</v>
      </c>
      <c r="AA298" s="137">
        <v>1844.4250344705101</v>
      </c>
      <c r="AB298" s="159">
        <v>110.8272827551836</v>
      </c>
      <c r="AC298" s="137">
        <v>6.2526262224703792</v>
      </c>
      <c r="AD298" s="137">
        <v>517.45480627449865</v>
      </c>
      <c r="AE298" s="137">
        <v>2836.3858980987243</v>
      </c>
      <c r="AF298" s="137">
        <v>2947.2131808539079</v>
      </c>
      <c r="AG298" s="177">
        <v>332.64711014390247</v>
      </c>
      <c r="AH298" s="137">
        <v>446.77860605254341</v>
      </c>
      <c r="AI298" s="137">
        <v>545.12867533156782</v>
      </c>
      <c r="AJ298" s="137">
        <v>465.22891533412036</v>
      </c>
      <c r="AK298" s="177">
        <v>440.85807691632175</v>
      </c>
      <c r="AL298" s="160">
        <v>4318.0065503912892</v>
      </c>
      <c r="AM298" s="137">
        <v>4431.0345611607972</v>
      </c>
      <c r="AN298" s="137">
        <v>4937.7532251134689</v>
      </c>
      <c r="AO298" s="137">
        <v>4317.8650758540061</v>
      </c>
      <c r="AP298" s="137">
        <v>4569.1701754397345</v>
      </c>
      <c r="AQ298" s="137">
        <v>6905.2071211804059</v>
      </c>
      <c r="AR298" s="160">
        <v>1363.7287918680277</v>
      </c>
      <c r="AS298" s="137">
        <v>1320.6286299973633</v>
      </c>
      <c r="AT298" s="137">
        <v>1588.4626582164369</v>
      </c>
      <c r="AU298" s="137">
        <v>1349.0836073040614</v>
      </c>
      <c r="AV298" s="137">
        <v>1267.0166661294218</v>
      </c>
      <c r="AW298" s="159">
        <v>1947.0186687625192</v>
      </c>
      <c r="AX298" s="160">
        <v>744.89574462464975</v>
      </c>
      <c r="AY298" s="137">
        <v>669.09138879093928</v>
      </c>
      <c r="AZ298" s="137">
        <v>886.88621313212798</v>
      </c>
      <c r="BA298" s="137">
        <v>727.21246553952631</v>
      </c>
      <c r="BB298" s="137">
        <v>575.31402823887402</v>
      </c>
      <c r="BC298" s="137">
        <v>908.42611937731238</v>
      </c>
      <c r="BD298" s="137">
        <v>2324.0927788558379</v>
      </c>
      <c r="BE298" s="137">
        <v>1583.8573390177903</v>
      </c>
      <c r="BF298" s="137">
        <v>1871.9077941793917</v>
      </c>
      <c r="BG298" s="137">
        <v>1791.3276858527558</v>
      </c>
      <c r="BH298" s="137">
        <v>2589.0162976575475</v>
      </c>
      <c r="BI298" s="137">
        <v>3932.0031004864318</v>
      </c>
      <c r="BJ298" s="160">
        <v>4827.0807214253973</v>
      </c>
      <c r="BK298" s="137">
        <v>4967.0123704301932</v>
      </c>
      <c r="BL298" s="137">
        <v>5514.8950710270201</v>
      </c>
      <c r="BM298" s="137">
        <v>4829.4384919700806</v>
      </c>
      <c r="BN298" s="137">
        <v>5138.1894748368941</v>
      </c>
      <c r="BO298" s="137">
        <v>7759.5904536085736</v>
      </c>
      <c r="BP298" s="160">
        <v>1389.2843152539399</v>
      </c>
      <c r="BQ298" s="137">
        <v>1347.534716022687</v>
      </c>
      <c r="BR298" s="137">
        <v>1617.4351788812971</v>
      </c>
      <c r="BS298" s="137">
        <v>1374.7645927930885</v>
      </c>
      <c r="BT298" s="137">
        <v>1295.5814349591592</v>
      </c>
      <c r="BU298" s="137">
        <v>1989.9087120504132</v>
      </c>
      <c r="BV298" s="160">
        <v>744.89574462464975</v>
      </c>
      <c r="BW298" s="137">
        <v>669.09138879093928</v>
      </c>
      <c r="BX298" s="137">
        <v>886.88621313212798</v>
      </c>
      <c r="BY298" s="137">
        <v>727.21246553952631</v>
      </c>
      <c r="BZ298" s="137">
        <v>575.31402823887402</v>
      </c>
      <c r="CA298" s="159">
        <v>908.42611937731238</v>
      </c>
      <c r="CB298" s="160">
        <v>2530.3720663333961</v>
      </c>
      <c r="CC298" s="137">
        <v>1698.9003556487501</v>
      </c>
      <c r="CD298" s="137">
        <v>1995.7863164420237</v>
      </c>
      <c r="CE298" s="137">
        <v>1932.7431530459212</v>
      </c>
      <c r="CF298" s="137">
        <v>2875.9158284135956</v>
      </c>
      <c r="CG298" s="159">
        <v>4362.7831766967138</v>
      </c>
    </row>
    <row r="299" spans="1:85" ht="14.4">
      <c r="A299" t="s">
        <v>391</v>
      </c>
      <c r="B299" s="160">
        <v>24.001120113087339</v>
      </c>
      <c r="C299" s="137">
        <v>1232.9165345093925</v>
      </c>
      <c r="D299" s="137">
        <v>2013.5632803044737</v>
      </c>
      <c r="E299" s="137">
        <v>1654.4657772387363</v>
      </c>
      <c r="F299" s="137">
        <v>1023.5858057901448</v>
      </c>
      <c r="G299" s="137">
        <v>2613.3463252939241</v>
      </c>
      <c r="H299" s="159">
        <v>183.77919651026409</v>
      </c>
      <c r="I299" s="137">
        <v>24.001120113087339</v>
      </c>
      <c r="J299" s="137">
        <v>1286.5350368420295</v>
      </c>
      <c r="K299" s="137">
        <v>2081.8944692664331</v>
      </c>
      <c r="L299" s="137">
        <v>1716.0291303512076</v>
      </c>
      <c r="M299" s="137">
        <v>5902.9741681771893</v>
      </c>
      <c r="N299" s="137">
        <v>6086.7533646874535</v>
      </c>
      <c r="O299" s="160">
        <v>24.080720783397794</v>
      </c>
      <c r="P299" s="137">
        <v>1957.944295284175</v>
      </c>
      <c r="Q299" s="137">
        <v>1036.905294714064</v>
      </c>
      <c r="R299" s="137">
        <v>5752.2935977349807</v>
      </c>
      <c r="S299" s="159">
        <v>186.62509326208877</v>
      </c>
      <c r="T299" s="137">
        <v>24.080720783397794</v>
      </c>
      <c r="U299" s="137">
        <v>2026.5021073545086</v>
      </c>
      <c r="V299" s="137">
        <v>9637.0981375335741</v>
      </c>
      <c r="W299" s="137">
        <v>9823.7232307956638</v>
      </c>
      <c r="X299" s="160">
        <v>24.016053198837579</v>
      </c>
      <c r="Y299" s="137">
        <v>1711.3983472240607</v>
      </c>
      <c r="Z299" s="137">
        <v>1026.084541912272</v>
      </c>
      <c r="AA299" s="137">
        <v>3202.2128336038659</v>
      </c>
      <c r="AB299" s="159">
        <v>184.31308674090641</v>
      </c>
      <c r="AC299" s="137">
        <v>24.016053198837579</v>
      </c>
      <c r="AD299" s="137">
        <v>1774.2704399575002</v>
      </c>
      <c r="AE299" s="137">
        <v>6603.4892670023937</v>
      </c>
      <c r="AF299" s="137">
        <v>6787.8023537433</v>
      </c>
      <c r="AG299" s="177">
        <v>532.27198820274054</v>
      </c>
      <c r="AH299" s="137">
        <v>813.23604125508405</v>
      </c>
      <c r="AI299" s="137">
        <v>1000.8319285337163</v>
      </c>
      <c r="AJ299" s="137">
        <v>848.42870050568763</v>
      </c>
      <c r="AK299" s="177">
        <v>796.57802446616108</v>
      </c>
      <c r="AL299" s="160">
        <v>9868.1384021629547</v>
      </c>
      <c r="AM299" s="137">
        <v>10123.802686141002</v>
      </c>
      <c r="AN299" s="137">
        <v>11124.930978837341</v>
      </c>
      <c r="AO299" s="137">
        <v>9868.8015109203698</v>
      </c>
      <c r="AP299" s="137">
        <v>10494.951984903579</v>
      </c>
      <c r="AQ299" s="137">
        <v>15837.167040622951</v>
      </c>
      <c r="AR299" s="160">
        <v>2563.7895574767795</v>
      </c>
      <c r="AS299" s="137">
        <v>2433.4323733795782</v>
      </c>
      <c r="AT299" s="137">
        <v>2843.926725851491</v>
      </c>
      <c r="AU299" s="137">
        <v>2528.592748434854</v>
      </c>
      <c r="AV299" s="137">
        <v>2330.4924647655844</v>
      </c>
      <c r="AW299" s="159">
        <v>3578.2188121875261</v>
      </c>
      <c r="AX299" s="160">
        <v>1437.3763167343625</v>
      </c>
      <c r="AY299" s="137">
        <v>1247.490254417289</v>
      </c>
      <c r="AZ299" s="137">
        <v>1566.9021702686325</v>
      </c>
      <c r="BA299" s="137">
        <v>1396.6495026119028</v>
      </c>
      <c r="BB299" s="137">
        <v>1071.4404256944631</v>
      </c>
      <c r="BC299" s="137">
        <v>1687.7502850537101</v>
      </c>
      <c r="BD299" s="137">
        <v>5063.7446001265071</v>
      </c>
      <c r="BE299" s="137">
        <v>3324.4016554445579</v>
      </c>
      <c r="BF299" s="137">
        <v>3803.3240128477455</v>
      </c>
      <c r="BG299" s="137">
        <v>3853.1026922643823</v>
      </c>
      <c r="BH299" s="137">
        <v>5822.7749538476983</v>
      </c>
      <c r="BI299" s="137">
        <v>8821.886213211721</v>
      </c>
      <c r="BJ299" s="160">
        <v>10839.161356904207</v>
      </c>
      <c r="BK299" s="137">
        <v>11146.142426881142</v>
      </c>
      <c r="BL299" s="137">
        <v>12225.788206351737</v>
      </c>
      <c r="BM299" s="137">
        <v>10844.591598787201</v>
      </c>
      <c r="BN299" s="137">
        <v>11580.316029759841</v>
      </c>
      <c r="BO299" s="137">
        <v>17466.842783650372</v>
      </c>
      <c r="BP299" s="160">
        <v>2612.5349098047905</v>
      </c>
      <c r="BQ299" s="137">
        <v>2484.7538283647332</v>
      </c>
      <c r="BR299" s="137">
        <v>2899.1897586727137</v>
      </c>
      <c r="BS299" s="137">
        <v>2577.577410845769</v>
      </c>
      <c r="BT299" s="137">
        <v>2384.9777398173687</v>
      </c>
      <c r="BU299" s="137">
        <v>3660.0285344875024</v>
      </c>
      <c r="BV299" s="160">
        <v>1437.3763167343625</v>
      </c>
      <c r="BW299" s="137">
        <v>1247.490254417289</v>
      </c>
      <c r="BX299" s="137">
        <v>1566.9021702686325</v>
      </c>
      <c r="BY299" s="137">
        <v>1396.6495026119028</v>
      </c>
      <c r="BZ299" s="137">
        <v>1071.4404256944631</v>
      </c>
      <c r="CA299" s="159">
        <v>1687.7502850537101</v>
      </c>
      <c r="CB299" s="160">
        <v>5457.2077428773864</v>
      </c>
      <c r="CC299" s="137">
        <v>3543.8380682258639</v>
      </c>
      <c r="CD299" s="137">
        <v>4039.6135273444092</v>
      </c>
      <c r="CE299" s="137">
        <v>4122.8426881496216</v>
      </c>
      <c r="CF299" s="137">
        <v>6370.0155052642258</v>
      </c>
      <c r="CG299" s="159">
        <v>9643.5687228461466</v>
      </c>
    </row>
    <row r="300" spans="1:85" ht="14.4">
      <c r="A300" t="s">
        <v>375</v>
      </c>
      <c r="B300" s="160">
        <v>1.2253506625591657</v>
      </c>
      <c r="C300" s="137">
        <v>44.271101097973443</v>
      </c>
      <c r="D300" s="137">
        <v>201.49211147796396</v>
      </c>
      <c r="E300" s="137">
        <v>129.17044670316832</v>
      </c>
      <c r="F300" s="137">
        <v>413.79082701511072</v>
      </c>
      <c r="G300" s="137">
        <v>1210.1179216162191</v>
      </c>
      <c r="H300" s="159">
        <v>65.782161670116423</v>
      </c>
      <c r="I300" s="137">
        <v>1.2253506625591657</v>
      </c>
      <c r="J300" s="137">
        <v>47.00853447813062</v>
      </c>
      <c r="K300" s="137">
        <v>204.98068481426989</v>
      </c>
      <c r="L300" s="137">
        <v>132.31349565964584</v>
      </c>
      <c r="M300" s="137">
        <v>1463.7628927957601</v>
      </c>
      <c r="N300" s="137">
        <v>1529.5450544658765</v>
      </c>
      <c r="O300" s="160">
        <v>1.2186141125993175</v>
      </c>
      <c r="P300" s="137">
        <v>198.39109235519447</v>
      </c>
      <c r="Q300" s="137">
        <v>412.66360783183416</v>
      </c>
      <c r="R300" s="137">
        <v>1362.7251156146533</v>
      </c>
      <c r="S300" s="159">
        <v>65.541315386103193</v>
      </c>
      <c r="T300" s="137">
        <v>1.2186141125993175</v>
      </c>
      <c r="U300" s="137">
        <v>201.86048673376473</v>
      </c>
      <c r="V300" s="137">
        <v>1749.6916686832803</v>
      </c>
      <c r="W300" s="137">
        <v>1815.2329840693835</v>
      </c>
      <c r="X300" s="160">
        <v>1.2240868857866982</v>
      </c>
      <c r="Y300" s="137">
        <v>142.15623982748843</v>
      </c>
      <c r="Z300" s="137">
        <v>413.57936069632802</v>
      </c>
      <c r="AA300" s="137">
        <v>1238.7470312103253</v>
      </c>
      <c r="AB300" s="159">
        <v>65.736978907235539</v>
      </c>
      <c r="AC300" s="137">
        <v>1.2240868857866982</v>
      </c>
      <c r="AD300" s="137">
        <v>145.36080069183117</v>
      </c>
      <c r="AE300" s="137">
        <v>1517.4036861365657</v>
      </c>
      <c r="AF300" s="137">
        <v>1583.1406650438012</v>
      </c>
      <c r="AG300" s="177">
        <v>151.55193362432371</v>
      </c>
      <c r="AH300" s="137">
        <v>221.33339602506697</v>
      </c>
      <c r="AI300" s="137">
        <v>235.67493009116299</v>
      </c>
      <c r="AJ300" s="137">
        <v>224.02389567607878</v>
      </c>
      <c r="AK300" s="177">
        <v>283.17831882765284</v>
      </c>
      <c r="AL300" s="160">
        <v>2325.0096274004495</v>
      </c>
      <c r="AM300" s="137">
        <v>2497.7200236848034</v>
      </c>
      <c r="AN300" s="137">
        <v>2740.4082736022538</v>
      </c>
      <c r="AO300" s="137">
        <v>2325.9116897805548</v>
      </c>
      <c r="AP300" s="137">
        <v>2605.8163670559038</v>
      </c>
      <c r="AQ300" s="137">
        <v>3924.0659474563809</v>
      </c>
      <c r="AR300" s="160">
        <v>513.00565929408447</v>
      </c>
      <c r="AS300" s="137">
        <v>589.95496218057087</v>
      </c>
      <c r="AT300" s="137">
        <v>686.12350635265057</v>
      </c>
      <c r="AU300" s="137">
        <v>505.01188239679209</v>
      </c>
      <c r="AV300" s="137">
        <v>580.44307745784249</v>
      </c>
      <c r="AW300" s="159">
        <v>882.96491202385675</v>
      </c>
      <c r="AX300" s="160">
        <v>206.43677245976423</v>
      </c>
      <c r="AY300" s="137">
        <v>267.18447075721571</v>
      </c>
      <c r="AZ300" s="137">
        <v>338.56367457448789</v>
      </c>
      <c r="BA300" s="137">
        <v>196.93792846950143</v>
      </c>
      <c r="BB300" s="137">
        <v>237.77471373183374</v>
      </c>
      <c r="BC300" s="137">
        <v>368.44784937219202</v>
      </c>
      <c r="BD300" s="137">
        <v>1124.7373407323978</v>
      </c>
      <c r="BE300" s="137">
        <v>794.83366496259214</v>
      </c>
      <c r="BF300" s="137">
        <v>906.73725316648029</v>
      </c>
      <c r="BG300" s="137">
        <v>818.04956916547803</v>
      </c>
      <c r="BH300" s="137">
        <v>1431.7413153378297</v>
      </c>
      <c r="BI300" s="137">
        <v>2161.1904944262401</v>
      </c>
      <c r="BJ300" s="160">
        <v>2399.2449076119333</v>
      </c>
      <c r="BK300" s="137">
        <v>2575.8785025905909</v>
      </c>
      <c r="BL300" s="137">
        <v>2824.5694608927688</v>
      </c>
      <c r="BM300" s="137">
        <v>2400.5114201439683</v>
      </c>
      <c r="BN300" s="137">
        <v>2688.7930913526466</v>
      </c>
      <c r="BO300" s="137">
        <v>4048.6556235776166</v>
      </c>
      <c r="BP300" s="160">
        <v>516.73227036070091</v>
      </c>
      <c r="BQ300" s="137">
        <v>593.87851782164137</v>
      </c>
      <c r="BR300" s="137">
        <v>690.34839795463438</v>
      </c>
      <c r="BS300" s="137">
        <v>508.75678886103549</v>
      </c>
      <c r="BT300" s="137">
        <v>584.60850901753884</v>
      </c>
      <c r="BU300" s="137">
        <v>889.21931376514249</v>
      </c>
      <c r="BV300" s="160">
        <v>206.43677245976423</v>
      </c>
      <c r="BW300" s="137">
        <v>267.18447075721571</v>
      </c>
      <c r="BX300" s="137">
        <v>338.56367457448789</v>
      </c>
      <c r="BY300" s="137">
        <v>196.93792846950143</v>
      </c>
      <c r="BZ300" s="137">
        <v>237.77471373183374</v>
      </c>
      <c r="CA300" s="159">
        <v>368.44784937219202</v>
      </c>
      <c r="CB300" s="160">
        <v>1154.8178311187305</v>
      </c>
      <c r="CC300" s="137">
        <v>811.60970873363112</v>
      </c>
      <c r="CD300" s="137">
        <v>924.801726548955</v>
      </c>
      <c r="CE300" s="137">
        <v>838.67135166918933</v>
      </c>
      <c r="CF300" s="137">
        <v>1473.5781797282475</v>
      </c>
      <c r="CG300" s="159">
        <v>2224.0086091265671</v>
      </c>
    </row>
    <row r="301" spans="1:85" ht="14.4">
      <c r="A301" t="s">
        <v>376</v>
      </c>
      <c r="B301" s="160">
        <v>0.92048827330493788</v>
      </c>
      <c r="C301" s="137">
        <v>38.813216151011403</v>
      </c>
      <c r="D301" s="137">
        <v>121.72260130097861</v>
      </c>
      <c r="E301" s="137">
        <v>83.584284131993698</v>
      </c>
      <c r="F301" s="137">
        <v>209.60777780853135</v>
      </c>
      <c r="G301" s="137">
        <v>1493.6915592581679</v>
      </c>
      <c r="H301" s="159">
        <v>6.7077317622903747</v>
      </c>
      <c r="I301" s="137">
        <v>0.92048827330493788</v>
      </c>
      <c r="J301" s="137">
        <v>40.869586953574633</v>
      </c>
      <c r="K301" s="137">
        <v>124.34323141507777</v>
      </c>
      <c r="L301" s="137">
        <v>85.945354962786325</v>
      </c>
      <c r="M301" s="137">
        <v>1658.4488047218292</v>
      </c>
      <c r="N301" s="137">
        <v>1665.1565364841197</v>
      </c>
      <c r="O301" s="160">
        <v>0.92304152897004965</v>
      </c>
      <c r="P301" s="137">
        <v>118.53699609235973</v>
      </c>
      <c r="Q301" s="137">
        <v>210.03501115240584</v>
      </c>
      <c r="R301" s="137">
        <v>1689.1584790191071</v>
      </c>
      <c r="S301" s="159">
        <v>6.7990161946397443</v>
      </c>
      <c r="T301" s="137">
        <v>0.92304152897004965</v>
      </c>
      <c r="U301" s="137">
        <v>121.16489532533745</v>
      </c>
      <c r="V301" s="137">
        <v>1921.4315833577789</v>
      </c>
      <c r="W301" s="137">
        <v>1928.2305995524187</v>
      </c>
      <c r="X301" s="160">
        <v>0.9209672640677129</v>
      </c>
      <c r="Y301" s="137">
        <v>90.141412895758364</v>
      </c>
      <c r="Z301" s="137">
        <v>209.68792678384222</v>
      </c>
      <c r="AA301" s="137">
        <v>1530.36115340532</v>
      </c>
      <c r="AB301" s="159">
        <v>6.7248567217991164</v>
      </c>
      <c r="AC301" s="137">
        <v>0.9209672640677129</v>
      </c>
      <c r="AD301" s="137">
        <v>92.552431007332586</v>
      </c>
      <c r="AE301" s="137">
        <v>1707.7841636463766</v>
      </c>
      <c r="AF301" s="137">
        <v>1714.5090203681757</v>
      </c>
      <c r="AG301" s="177">
        <v>60.614506656128334</v>
      </c>
      <c r="AH301" s="137">
        <v>141.40497458011802</v>
      </c>
      <c r="AI301" s="137">
        <v>154.61129254614661</v>
      </c>
      <c r="AJ301" s="137">
        <v>143.88246927109762</v>
      </c>
      <c r="AK301" s="177">
        <v>180.51145961056224</v>
      </c>
      <c r="AL301" s="160">
        <v>2410.135487719288</v>
      </c>
      <c r="AM301" s="137">
        <v>2697.1242353536873</v>
      </c>
      <c r="AN301" s="137">
        <v>2919.4977898074976</v>
      </c>
      <c r="AO301" s="137">
        <v>2411.1714980451707</v>
      </c>
      <c r="AP301" s="137">
        <v>2822.787706362044</v>
      </c>
      <c r="AQ301" s="137">
        <v>4244.8754946733516</v>
      </c>
      <c r="AR301" s="160">
        <v>299.58719932605527</v>
      </c>
      <c r="AS301" s="137">
        <v>475.03733262908145</v>
      </c>
      <c r="AT301" s="137">
        <v>526.75071214964407</v>
      </c>
      <c r="AU301" s="137">
        <v>290.261699030991</v>
      </c>
      <c r="AV301" s="137">
        <v>463.71553822226872</v>
      </c>
      <c r="AW301" s="159">
        <v>702.72509206107588</v>
      </c>
      <c r="AX301" s="160">
        <v>103.72716903513378</v>
      </c>
      <c r="AY301" s="137">
        <v>268.82645819889535</v>
      </c>
      <c r="AZ301" s="137">
        <v>304.70248056648472</v>
      </c>
      <c r="BA301" s="137">
        <v>93.440114912924727</v>
      </c>
      <c r="BB301" s="137">
        <v>244.79235657733</v>
      </c>
      <c r="BC301" s="137">
        <v>374.0116061077145</v>
      </c>
      <c r="BD301" s="137">
        <v>1062.2302580396472</v>
      </c>
      <c r="BE301" s="137">
        <v>809.5912087416782</v>
      </c>
      <c r="BF301" s="137">
        <v>886.99891324654504</v>
      </c>
      <c r="BG301" s="137">
        <v>747.17254163443306</v>
      </c>
      <c r="BH301" s="137">
        <v>1544.6176119387828</v>
      </c>
      <c r="BI301" s="137">
        <v>2325.7011787225083</v>
      </c>
      <c r="BJ301" s="160">
        <v>2478.493613147094</v>
      </c>
      <c r="BK301" s="137">
        <v>2769.0949626018055</v>
      </c>
      <c r="BL301" s="137">
        <v>2996.995995250631</v>
      </c>
      <c r="BM301" s="137">
        <v>2479.8652203633883</v>
      </c>
      <c r="BN301" s="137">
        <v>2899.1952219113396</v>
      </c>
      <c r="BO301" s="137">
        <v>4359.601493996618</v>
      </c>
      <c r="BP301" s="160">
        <v>303.01877722253107</v>
      </c>
      <c r="BQ301" s="137">
        <v>478.65026313693704</v>
      </c>
      <c r="BR301" s="137">
        <v>530.64112206288928</v>
      </c>
      <c r="BS301" s="137">
        <v>293.71012389136547</v>
      </c>
      <c r="BT301" s="137">
        <v>467.55119550284337</v>
      </c>
      <c r="BU301" s="137">
        <v>708.48433722710388</v>
      </c>
      <c r="BV301" s="160">
        <v>103.72716903513378</v>
      </c>
      <c r="BW301" s="137">
        <v>268.82645819889535</v>
      </c>
      <c r="BX301" s="137">
        <v>304.70248056648472</v>
      </c>
      <c r="BY301" s="137">
        <v>93.440114912924727</v>
      </c>
      <c r="BZ301" s="137">
        <v>244.79235657733</v>
      </c>
      <c r="CA301" s="159">
        <v>374.0116061077145</v>
      </c>
      <c r="CB301" s="160">
        <v>1089.9292972148339</v>
      </c>
      <c r="CC301" s="137">
        <v>825.03910495781793</v>
      </c>
      <c r="CD301" s="137">
        <v>903.6332350103828</v>
      </c>
      <c r="CE301" s="137">
        <v>766.16171215979148</v>
      </c>
      <c r="CF301" s="137">
        <v>1583.1422812787375</v>
      </c>
      <c r="CG301" s="159">
        <v>2383.5460275812993</v>
      </c>
    </row>
    <row r="302" spans="1:85" ht="14.4">
      <c r="A302" t="s">
        <v>377</v>
      </c>
      <c r="B302" s="160">
        <v>2.7495904754266727</v>
      </c>
      <c r="C302" s="137">
        <v>209.7608442210439</v>
      </c>
      <c r="D302" s="137">
        <v>2893.49827261463</v>
      </c>
      <c r="E302" s="137">
        <v>1658.9790555535803</v>
      </c>
      <c r="F302" s="137">
        <v>3692.4900211551458</v>
      </c>
      <c r="G302" s="137">
        <v>19192.241234297027</v>
      </c>
      <c r="H302" s="159">
        <v>32.059204364381699</v>
      </c>
      <c r="I302" s="137">
        <v>2.7495904754266727</v>
      </c>
      <c r="J302" s="137">
        <v>215.90342934314708</v>
      </c>
      <c r="K302" s="137">
        <v>2901.3263566981695</v>
      </c>
      <c r="L302" s="137">
        <v>1666.0318101148594</v>
      </c>
      <c r="M302" s="137">
        <v>22386.024214287212</v>
      </c>
      <c r="N302" s="137">
        <v>22418.083418651593</v>
      </c>
      <c r="O302" s="160">
        <v>2.7125254389184827</v>
      </c>
      <c r="P302" s="137">
        <v>2850.9541956620164</v>
      </c>
      <c r="Q302" s="137">
        <v>3686.2879710805664</v>
      </c>
      <c r="R302" s="137">
        <v>19918.556777884747</v>
      </c>
      <c r="S302" s="159">
        <v>30.734048852581154</v>
      </c>
      <c r="T302" s="137">
        <v>2.7125254389184827</v>
      </c>
      <c r="U302" s="137">
        <v>2858.6767555866172</v>
      </c>
      <c r="V302" s="137">
        <v>25398.640118344294</v>
      </c>
      <c r="W302" s="137">
        <v>25429.374167196875</v>
      </c>
      <c r="X302" s="160">
        <v>2.7426370745777362</v>
      </c>
      <c r="Y302" s="137">
        <v>1882.593591837923</v>
      </c>
      <c r="Z302" s="137">
        <v>3691.3265165611547</v>
      </c>
      <c r="AA302" s="137">
        <v>19328.498030274084</v>
      </c>
      <c r="AB302" s="159">
        <v>31.810605190367916</v>
      </c>
      <c r="AC302" s="137">
        <v>2.7426370745777362</v>
      </c>
      <c r="AD302" s="137">
        <v>1889.7735947742658</v>
      </c>
      <c r="AE302" s="137">
        <v>22951.194011456351</v>
      </c>
      <c r="AF302" s="137">
        <v>22983.004616646718</v>
      </c>
      <c r="AG302" s="177">
        <v>295.22098479251474</v>
      </c>
      <c r="AH302" s="137">
        <v>1406.9695629114108</v>
      </c>
      <c r="AI302" s="137">
        <v>1558.1363584883838</v>
      </c>
      <c r="AJ302" s="137">
        <v>1435.3286070507656</v>
      </c>
      <c r="AK302" s="177">
        <v>350.13810183971799</v>
      </c>
      <c r="AL302" s="160">
        <v>31843.263074824314</v>
      </c>
      <c r="AM302" s="137">
        <v>33255.573482225562</v>
      </c>
      <c r="AN302" s="137">
        <v>35926.286179026589</v>
      </c>
      <c r="AO302" s="137">
        <v>31857.808014371265</v>
      </c>
      <c r="AP302" s="137">
        <v>35167.078607473064</v>
      </c>
      <c r="AQ302" s="137">
        <v>52869.528012323732</v>
      </c>
      <c r="AR302" s="160">
        <v>2740.769273238589</v>
      </c>
      <c r="AS302" s="137">
        <v>2615.0661463996598</v>
      </c>
      <c r="AT302" s="137">
        <v>2932.5340913577802</v>
      </c>
      <c r="AU302" s="137">
        <v>2612.4386385665066</v>
      </c>
      <c r="AV302" s="137">
        <v>2637.6721360161091</v>
      </c>
      <c r="AW302" s="159">
        <v>4026.5753524784559</v>
      </c>
      <c r="AX302" s="160">
        <v>791.97573164999403</v>
      </c>
      <c r="AY302" s="137">
        <v>563.28243280594961</v>
      </c>
      <c r="AZ302" s="137">
        <v>723.16978671799166</v>
      </c>
      <c r="BA302" s="137">
        <v>654.0777039501138</v>
      </c>
      <c r="BB302" s="137">
        <v>459.40185871666267</v>
      </c>
      <c r="BC302" s="137">
        <v>755.89926043724518</v>
      </c>
      <c r="BD302" s="137">
        <v>13490.682442537445</v>
      </c>
      <c r="BE302" s="137">
        <v>7675.6261590205131</v>
      </c>
      <c r="BF302" s="137">
        <v>8381.7539966026052</v>
      </c>
      <c r="BG302" s="137">
        <v>9343.2930176439622</v>
      </c>
      <c r="BH302" s="137">
        <v>17959.012475439642</v>
      </c>
      <c r="BI302" s="137">
        <v>27031.590877138413</v>
      </c>
      <c r="BJ302" s="160">
        <v>32625.735426167361</v>
      </c>
      <c r="BK302" s="137">
        <v>34079.398065261856</v>
      </c>
      <c r="BL302" s="137">
        <v>36813.381936238329</v>
      </c>
      <c r="BM302" s="137">
        <v>32644.12182986068</v>
      </c>
      <c r="BN302" s="137">
        <v>36041.689606209111</v>
      </c>
      <c r="BO302" s="137">
        <v>54182.757740155634</v>
      </c>
      <c r="BP302" s="160">
        <v>2780.0493852760096</v>
      </c>
      <c r="BQ302" s="137">
        <v>2656.4221404680811</v>
      </c>
      <c r="BR302" s="137">
        <v>2977.0662983698094</v>
      </c>
      <c r="BS302" s="137">
        <v>2651.9115921040743</v>
      </c>
      <c r="BT302" s="137">
        <v>2681.5776081526583</v>
      </c>
      <c r="BU302" s="137">
        <v>4092.4994848156171</v>
      </c>
      <c r="BV302" s="160">
        <v>791.97573164999403</v>
      </c>
      <c r="BW302" s="137">
        <v>563.28243280594961</v>
      </c>
      <c r="BX302" s="137">
        <v>723.16978671799166</v>
      </c>
      <c r="BY302" s="137">
        <v>654.0777039501138</v>
      </c>
      <c r="BZ302" s="137">
        <v>459.40185871666267</v>
      </c>
      <c r="CA302" s="159">
        <v>755.89926043724518</v>
      </c>
      <c r="CB302" s="160">
        <v>13807.743979519486</v>
      </c>
      <c r="CC302" s="137">
        <v>7852.4530044013472</v>
      </c>
      <c r="CD302" s="137">
        <v>8572.1614541226772</v>
      </c>
      <c r="CE302" s="137">
        <v>9560.655632812859</v>
      </c>
      <c r="CF302" s="137">
        <v>18399.991341002355</v>
      </c>
      <c r="CG302" s="159">
        <v>27693.721305911255</v>
      </c>
    </row>
    <row r="303" spans="1:85" ht="14.4">
      <c r="A303" t="s">
        <v>378</v>
      </c>
      <c r="B303" s="160">
        <v>0.45092511165767818</v>
      </c>
      <c r="C303" s="137">
        <v>5.7183764367907619</v>
      </c>
      <c r="D303" s="137">
        <v>5.8567615381498213</v>
      </c>
      <c r="E303" s="137">
        <v>5.7931043915246541</v>
      </c>
      <c r="F303" s="137">
        <v>5.4318274472689785</v>
      </c>
      <c r="G303" s="137">
        <v>10.259908491601079</v>
      </c>
      <c r="H303" s="159">
        <v>2.5781537565388128</v>
      </c>
      <c r="I303" s="137">
        <v>0.45092511165767818</v>
      </c>
      <c r="J303" s="137">
        <v>6.7257431362340148</v>
      </c>
      <c r="K303" s="137">
        <v>7.1405453310392311</v>
      </c>
      <c r="L303" s="137">
        <v>6.9497363214288317</v>
      </c>
      <c r="M303" s="137">
        <v>23.58255301978015</v>
      </c>
      <c r="N303" s="137">
        <v>26.160706776318964</v>
      </c>
      <c r="O303" s="160">
        <v>0.45151991739304465</v>
      </c>
      <c r="P303" s="137">
        <v>5.3731362760382479</v>
      </c>
      <c r="Q303" s="137">
        <v>5.5313556091952307</v>
      </c>
      <c r="R303" s="137">
        <v>27.449856382257206</v>
      </c>
      <c r="S303" s="159">
        <v>2.5994193527158815</v>
      </c>
      <c r="T303" s="137">
        <v>0.45151991739304465</v>
      </c>
      <c r="U303" s="137">
        <v>6.6586134808562463</v>
      </c>
      <c r="V303" s="137">
        <v>40.214418425058632</v>
      </c>
      <c r="W303" s="137">
        <v>42.813837777774516</v>
      </c>
      <c r="X303" s="160">
        <v>0.45103669721363293</v>
      </c>
      <c r="Y303" s="137">
        <v>5.7143183730594043</v>
      </c>
      <c r="Z303" s="137">
        <v>5.4504989304463436</v>
      </c>
      <c r="AA303" s="137">
        <v>13.484742715888167</v>
      </c>
      <c r="AB303" s="159">
        <v>2.582143182381631</v>
      </c>
      <c r="AC303" s="137">
        <v>0.45103669721363293</v>
      </c>
      <c r="AD303" s="137">
        <v>6.8950961144566616</v>
      </c>
      <c r="AE303" s="137">
        <v>26.702641967301588</v>
      </c>
      <c r="AF303" s="137">
        <v>29.28478514968322</v>
      </c>
      <c r="AG303" s="177">
        <v>4.0119992077962499</v>
      </c>
      <c r="AH303" s="137">
        <v>5.1399123245672751</v>
      </c>
      <c r="AI303" s="137">
        <v>5.9758995008403435</v>
      </c>
      <c r="AJ303" s="137">
        <v>5.2967410589101611</v>
      </c>
      <c r="AK303" s="177">
        <v>6.3780595225611991</v>
      </c>
      <c r="AL303" s="160">
        <v>44.08749598151455</v>
      </c>
      <c r="AM303" s="137">
        <v>45.216890867362274</v>
      </c>
      <c r="AN303" s="137">
        <v>50.111064053566622</v>
      </c>
      <c r="AO303" s="137">
        <v>44.089680076695416</v>
      </c>
      <c r="AP303" s="137">
        <v>46.553353808920612</v>
      </c>
      <c r="AQ303" s="137">
        <v>70.244010629952996</v>
      </c>
      <c r="AR303" s="160">
        <v>14.971593586393283</v>
      </c>
      <c r="AS303" s="137">
        <v>14.562266318372787</v>
      </c>
      <c r="AT303" s="137">
        <v>17.102110525980951</v>
      </c>
      <c r="AU303" s="137">
        <v>14.83083627930224</v>
      </c>
      <c r="AV303" s="137">
        <v>14.008959838718649</v>
      </c>
      <c r="AW303" s="159">
        <v>21.378554218238353</v>
      </c>
      <c r="AX303" s="160">
        <v>7.8523010256351498</v>
      </c>
      <c r="AY303" s="137">
        <v>7.0667321754563304</v>
      </c>
      <c r="AZ303" s="137">
        <v>9.0309062027129592</v>
      </c>
      <c r="BA303" s="137">
        <v>7.6765923147370501</v>
      </c>
      <c r="BB303" s="137">
        <v>6.0513475778235941</v>
      </c>
      <c r="BC303" s="137">
        <v>9.4301874601376667</v>
      </c>
      <c r="BD303" s="137">
        <v>24.119230643829894</v>
      </c>
      <c r="BE303" s="137">
        <v>16.549428757655562</v>
      </c>
      <c r="BF303" s="137">
        <v>19.241890529002099</v>
      </c>
      <c r="BG303" s="137">
        <v>18.605211283530039</v>
      </c>
      <c r="BH303" s="137">
        <v>26.472459119542709</v>
      </c>
      <c r="BI303" s="137">
        <v>40.092517102358563</v>
      </c>
      <c r="BJ303" s="160">
        <v>48.414656936461377</v>
      </c>
      <c r="BK303" s="137">
        <v>49.772734359239365</v>
      </c>
      <c r="BL303" s="137">
        <v>55.016804323260516</v>
      </c>
      <c r="BM303" s="137">
        <v>48.43808476458112</v>
      </c>
      <c r="BN303" s="137">
        <v>51.390051946563155</v>
      </c>
      <c r="BO303" s="137">
        <v>77.50632014593279</v>
      </c>
      <c r="BP303" s="160">
        <v>15.188817066331614</v>
      </c>
      <c r="BQ303" s="137">
        <v>14.790969661665018</v>
      </c>
      <c r="BR303" s="137">
        <v>17.348378687519585</v>
      </c>
      <c r="BS303" s="137">
        <v>15.049126194634102</v>
      </c>
      <c r="BT303" s="137">
        <v>14.251762085228307</v>
      </c>
      <c r="BU303" s="137">
        <v>21.74312215594054</v>
      </c>
      <c r="BV303" s="160">
        <v>7.8523010256351498</v>
      </c>
      <c r="BW303" s="137">
        <v>7.0667321754563304</v>
      </c>
      <c r="BX303" s="137">
        <v>9.0309062027129592</v>
      </c>
      <c r="BY303" s="137">
        <v>7.6765923147370501</v>
      </c>
      <c r="BZ303" s="137">
        <v>6.0513475778235941</v>
      </c>
      <c r="CA303" s="159">
        <v>9.4301874601376667</v>
      </c>
      <c r="CB303" s="160">
        <v>25.872616946603717</v>
      </c>
      <c r="CC303" s="137">
        <v>17.52730129181608</v>
      </c>
      <c r="CD303" s="137">
        <v>20.29486539041077</v>
      </c>
      <c r="CE303" s="137">
        <v>19.807251227573538</v>
      </c>
      <c r="CF303" s="137">
        <v>28.911122320542077</v>
      </c>
      <c r="CG303" s="159">
        <v>43.754173560315571</v>
      </c>
    </row>
    <row r="304" spans="1:85" ht="14.4">
      <c r="A304" t="s">
        <v>379</v>
      </c>
      <c r="B304" s="160">
        <v>0.1594405784309007</v>
      </c>
      <c r="C304" s="137">
        <v>14.974501245840852</v>
      </c>
      <c r="D304" s="137">
        <v>11.119993448033544</v>
      </c>
      <c r="E304" s="137">
        <v>12.893067035024906</v>
      </c>
      <c r="F304" s="137">
        <v>10.416848451371237</v>
      </c>
      <c r="G304" s="137">
        <v>24.314450965334231</v>
      </c>
      <c r="H304" s="159">
        <v>2.0561733161041671</v>
      </c>
      <c r="I304" s="137">
        <v>0.1594405784309007</v>
      </c>
      <c r="J304" s="137">
        <v>15.330691498055485</v>
      </c>
      <c r="K304" s="137">
        <v>11.573920774826318</v>
      </c>
      <c r="L304" s="137">
        <v>13.302035307511735</v>
      </c>
      <c r="M304" s="137">
        <v>49.814452649834223</v>
      </c>
      <c r="N304" s="137">
        <v>51.870625965938387</v>
      </c>
      <c r="O304" s="160">
        <v>0.16290591056157322</v>
      </c>
      <c r="P304" s="137">
        <v>11.222770589566434</v>
      </c>
      <c r="Q304" s="137">
        <v>10.99669850479636</v>
      </c>
      <c r="R304" s="137">
        <v>139.08444714104621</v>
      </c>
      <c r="S304" s="159">
        <v>2.180066461930843</v>
      </c>
      <c r="T304" s="137">
        <v>0.16290591056157322</v>
      </c>
      <c r="U304" s="137">
        <v>11.686563716935233</v>
      </c>
      <c r="V304" s="137">
        <v>161.48758978641106</v>
      </c>
      <c r="W304" s="137">
        <v>163.6676562483419</v>
      </c>
      <c r="X304" s="160">
        <v>0.16009067473861488</v>
      </c>
      <c r="Y304" s="137">
        <v>12.579719421856897</v>
      </c>
      <c r="Z304" s="137">
        <v>10.525628321393789</v>
      </c>
      <c r="AA304" s="137">
        <v>45.845302247897799</v>
      </c>
      <c r="AB304" s="159">
        <v>2.0794156702612514</v>
      </c>
      <c r="AC304" s="137">
        <v>0.16009067473861488</v>
      </c>
      <c r="AD304" s="137">
        <v>12.998823912698558</v>
      </c>
      <c r="AE304" s="137">
        <v>70.764047688540927</v>
      </c>
      <c r="AF304" s="137">
        <v>72.843463358802182</v>
      </c>
      <c r="AG304" s="177">
        <v>10.325435883922545</v>
      </c>
      <c r="AH304" s="137">
        <v>12.452306169575429</v>
      </c>
      <c r="AI304" s="137">
        <v>18.064517089752087</v>
      </c>
      <c r="AJ304" s="137">
        <v>13.505142606697193</v>
      </c>
      <c r="AK304" s="177">
        <v>17.955423208829444</v>
      </c>
      <c r="AL304" s="160">
        <v>94.737290726379953</v>
      </c>
      <c r="AM304" s="137">
        <v>96.279658481542342</v>
      </c>
      <c r="AN304" s="137">
        <v>109.03103814446115</v>
      </c>
      <c r="AO304" s="137">
        <v>94.652950202795523</v>
      </c>
      <c r="AP304" s="137">
        <v>98.17842409916733</v>
      </c>
      <c r="AQ304" s="137">
        <v>149.21489492099914</v>
      </c>
      <c r="AR304" s="160">
        <v>40.138975976437614</v>
      </c>
      <c r="AS304" s="137">
        <v>38.795922722506248</v>
      </c>
      <c r="AT304" s="137">
        <v>47.132450568232393</v>
      </c>
      <c r="AU304" s="137">
        <v>39.786590878237917</v>
      </c>
      <c r="AV304" s="137">
        <v>37.150981390438204</v>
      </c>
      <c r="AW304" s="159">
        <v>57.582098061045514</v>
      </c>
      <c r="AX304" s="160">
        <v>22.891286700958688</v>
      </c>
      <c r="AY304" s="137">
        <v>20.636724635414396</v>
      </c>
      <c r="AZ304" s="137">
        <v>27.578594190148095</v>
      </c>
      <c r="BA304" s="137">
        <v>22.454225920805875</v>
      </c>
      <c r="BB304" s="137">
        <v>17.872320978701527</v>
      </c>
      <c r="BC304" s="137">
        <v>28.635160505885334</v>
      </c>
      <c r="BD304" s="137">
        <v>56.080931796118712</v>
      </c>
      <c r="BE304" s="137">
        <v>40.203358242574964</v>
      </c>
      <c r="BF304" s="137">
        <v>48.647979606951395</v>
      </c>
      <c r="BG304" s="137">
        <v>44.632986768767687</v>
      </c>
      <c r="BH304" s="137">
        <v>58.362658172040383</v>
      </c>
      <c r="BI304" s="137">
        <v>89.431462597985714</v>
      </c>
      <c r="BJ304" s="160">
        <v>123.78676779923559</v>
      </c>
      <c r="BK304" s="137">
        <v>126.86434725155561</v>
      </c>
      <c r="BL304" s="137">
        <v>141.96468470247515</v>
      </c>
      <c r="BM304" s="137">
        <v>123.84504256992264</v>
      </c>
      <c r="BN304" s="137">
        <v>130.64857095079907</v>
      </c>
      <c r="BO304" s="137">
        <v>197.96886917269845</v>
      </c>
      <c r="BP304" s="160">
        <v>41.597259725494965</v>
      </c>
      <c r="BQ304" s="137">
        <v>40.331274098760915</v>
      </c>
      <c r="BR304" s="137">
        <v>48.785719625444699</v>
      </c>
      <c r="BS304" s="137">
        <v>41.252033915067699</v>
      </c>
      <c r="BT304" s="137">
        <v>38.780982762390124</v>
      </c>
      <c r="BU304" s="137">
        <v>60.02954756848083</v>
      </c>
      <c r="BV304" s="160">
        <v>22.891286700958688</v>
      </c>
      <c r="BW304" s="137">
        <v>20.636724635414396</v>
      </c>
      <c r="BX304" s="137">
        <v>27.578594190148095</v>
      </c>
      <c r="BY304" s="137">
        <v>22.454225920805875</v>
      </c>
      <c r="BZ304" s="137">
        <v>17.872320978701527</v>
      </c>
      <c r="CA304" s="159">
        <v>28.635160505885334</v>
      </c>
      <c r="CB304" s="160">
        <v>67.851918762540222</v>
      </c>
      <c r="CC304" s="137">
        <v>46.768098047041121</v>
      </c>
      <c r="CD304" s="137">
        <v>55.716902952595774</v>
      </c>
      <c r="CE304" s="137">
        <v>52.70262692283432</v>
      </c>
      <c r="CF304" s="137">
        <v>74.734106214633101</v>
      </c>
      <c r="CG304" s="159">
        <v>114.0132164156925</v>
      </c>
    </row>
    <row r="305" spans="1:85" ht="14.4">
      <c r="A305" t="s">
        <v>380</v>
      </c>
      <c r="B305" s="160">
        <v>9.6779502258074626</v>
      </c>
      <c r="C305" s="137">
        <v>1871.5295978563188</v>
      </c>
      <c r="D305" s="137">
        <v>1983.343060922462</v>
      </c>
      <c r="E305" s="137">
        <v>1931.9088679120364</v>
      </c>
      <c r="F305" s="137">
        <v>3013.6114882794686</v>
      </c>
      <c r="G305" s="137">
        <v>6927.4770399916724</v>
      </c>
      <c r="H305" s="159">
        <v>211.24041862172859</v>
      </c>
      <c r="I305" s="137">
        <v>9.6779502258074626</v>
      </c>
      <c r="J305" s="137">
        <v>1893.1501386607727</v>
      </c>
      <c r="K305" s="137">
        <v>2010.8961852153359</v>
      </c>
      <c r="L305" s="137">
        <v>1956.7330038002369</v>
      </c>
      <c r="M305" s="137">
        <v>10678.534208276727</v>
      </c>
      <c r="N305" s="137">
        <v>10889.774626898456</v>
      </c>
      <c r="O305" s="160">
        <v>9.7876133663346963</v>
      </c>
      <c r="P305" s="137">
        <v>2082.219885635177</v>
      </c>
      <c r="Q305" s="137">
        <v>3031.9612958868402</v>
      </c>
      <c r="R305" s="137">
        <v>15506.460922922783</v>
      </c>
      <c r="S305" s="159">
        <v>215.16111394004866</v>
      </c>
      <c r="T305" s="137">
        <v>9.7876133663346963</v>
      </c>
      <c r="U305" s="137">
        <v>2110.085220889132</v>
      </c>
      <c r="V305" s="137">
        <v>19551.494291367249</v>
      </c>
      <c r="W305" s="137">
        <v>19766.655405307298</v>
      </c>
      <c r="X305" s="160">
        <v>9.6985230309703709</v>
      </c>
      <c r="Y305" s="137">
        <v>1960.1072148368976</v>
      </c>
      <c r="Z305" s="137">
        <v>3017.0539121866113</v>
      </c>
      <c r="AA305" s="137">
        <v>8536.8944164295481</v>
      </c>
      <c r="AB305" s="159">
        <v>211.97594106344545</v>
      </c>
      <c r="AC305" s="137">
        <v>9.6985230309703709</v>
      </c>
      <c r="AD305" s="137">
        <v>1985.4971668965509</v>
      </c>
      <c r="AE305" s="137">
        <v>12343.092485370236</v>
      </c>
      <c r="AF305" s="137">
        <v>12555.068426433681</v>
      </c>
      <c r="AG305" s="177">
        <v>1246.5741250308045</v>
      </c>
      <c r="AH305" s="137">
        <v>1735.6490867246839</v>
      </c>
      <c r="AI305" s="137">
        <v>2181.2685018008078</v>
      </c>
      <c r="AJ305" s="137">
        <v>1819.2468354613522</v>
      </c>
      <c r="AK305" s="177">
        <v>1668.4776713918195</v>
      </c>
      <c r="AL305" s="160">
        <v>18031.189635826438</v>
      </c>
      <c r="AM305" s="137">
        <v>18513.293244664183</v>
      </c>
      <c r="AN305" s="137">
        <v>20597.105730903342</v>
      </c>
      <c r="AO305" s="137">
        <v>18029.909692730744</v>
      </c>
      <c r="AP305" s="137">
        <v>19128.897032807476</v>
      </c>
      <c r="AQ305" s="137">
        <v>28939.907198868532</v>
      </c>
      <c r="AR305" s="160">
        <v>5351.8103501317455</v>
      </c>
      <c r="AS305" s="137">
        <v>5163.8319694287729</v>
      </c>
      <c r="AT305" s="137">
        <v>6222.3823951684681</v>
      </c>
      <c r="AU305" s="137">
        <v>5288.2823533628716</v>
      </c>
      <c r="AV305" s="137">
        <v>4956.4798715104407</v>
      </c>
      <c r="AW305" s="159">
        <v>7660.0015512753862</v>
      </c>
      <c r="AX305" s="160">
        <v>2947.7628001093863</v>
      </c>
      <c r="AY305" s="137">
        <v>2632.7349062581666</v>
      </c>
      <c r="AZ305" s="137">
        <v>3496.8926342846962</v>
      </c>
      <c r="BA305" s="137">
        <v>2872.4323895507841</v>
      </c>
      <c r="BB305" s="137">
        <v>2269.3479554432856</v>
      </c>
      <c r="BC305" s="137">
        <v>3625.2689445679462</v>
      </c>
      <c r="BD305" s="137">
        <v>9551.885764107863</v>
      </c>
      <c r="BE305" s="137">
        <v>6443.4496579038514</v>
      </c>
      <c r="BF305" s="137">
        <v>7600.2769684472278</v>
      </c>
      <c r="BG305" s="137">
        <v>7330.551244131525</v>
      </c>
      <c r="BH305" s="137">
        <v>10769.932600250309</v>
      </c>
      <c r="BI305" s="137">
        <v>16388.9095523863</v>
      </c>
      <c r="BJ305" s="160">
        <v>20337.78807756268</v>
      </c>
      <c r="BK305" s="137">
        <v>20941.791192526405</v>
      </c>
      <c r="BL305" s="137">
        <v>23212.116584313506</v>
      </c>
      <c r="BM305" s="137">
        <v>20347.832132303825</v>
      </c>
      <c r="BN305" s="137">
        <v>21707.10489324791</v>
      </c>
      <c r="BO305" s="137">
        <v>32811.090172502816</v>
      </c>
      <c r="BP305" s="160">
        <v>5467.601591906905</v>
      </c>
      <c r="BQ305" s="137">
        <v>5285.7425664114562</v>
      </c>
      <c r="BR305" s="137">
        <v>6353.6559400096576</v>
      </c>
      <c r="BS305" s="137">
        <v>5404.6420598294408</v>
      </c>
      <c r="BT305" s="137">
        <v>5085.9059061045518</v>
      </c>
      <c r="BU305" s="137">
        <v>7854.3349365518288</v>
      </c>
      <c r="BV305" s="160">
        <v>2947.7628001093863</v>
      </c>
      <c r="BW305" s="137">
        <v>2632.7349062581666</v>
      </c>
      <c r="BX305" s="137">
        <v>3496.8926342846962</v>
      </c>
      <c r="BY305" s="137">
        <v>2872.4323895507841</v>
      </c>
      <c r="BZ305" s="137">
        <v>2269.3479554432856</v>
      </c>
      <c r="CA305" s="159">
        <v>3625.2689445679462</v>
      </c>
      <c r="CB305" s="160">
        <v>10486.530478239938</v>
      </c>
      <c r="CC305" s="137">
        <v>6964.7058087601672</v>
      </c>
      <c r="CD305" s="137">
        <v>8161.5665067381624</v>
      </c>
      <c r="CE305" s="137">
        <v>7971.3001071165672</v>
      </c>
      <c r="CF305" s="137">
        <v>12069.865003484376</v>
      </c>
      <c r="CG305" s="159">
        <v>18340.760007692705</v>
      </c>
    </row>
    <row r="306" spans="1:85" ht="14.4">
      <c r="A306" t="s">
        <v>381</v>
      </c>
      <c r="B306" s="160">
        <v>0.17901936667111853</v>
      </c>
      <c r="C306" s="137">
        <v>18.766162402237534</v>
      </c>
      <c r="D306" s="137">
        <v>17.143329644780369</v>
      </c>
      <c r="E306" s="137">
        <v>17.889832713210666</v>
      </c>
      <c r="F306" s="137">
        <v>9.8959019941378195</v>
      </c>
      <c r="G306" s="137">
        <v>64.555187509218428</v>
      </c>
      <c r="H306" s="159">
        <v>2.093560159368741</v>
      </c>
      <c r="I306" s="137">
        <v>0.17901936667111853</v>
      </c>
      <c r="J306" s="137">
        <v>19.166091667380812</v>
      </c>
      <c r="K306" s="137">
        <v>17.652997781693042</v>
      </c>
      <c r="L306" s="137">
        <v>18.349020969109418</v>
      </c>
      <c r="M306" s="137">
        <v>99.730260707001179</v>
      </c>
      <c r="N306" s="137">
        <v>101.82382086636991</v>
      </c>
      <c r="O306" s="160">
        <v>0.17857389419831909</v>
      </c>
      <c r="P306" s="137">
        <v>16.772792762813978</v>
      </c>
      <c r="Q306" s="137">
        <v>9.821361595869547</v>
      </c>
      <c r="R306" s="137">
        <v>113.17180144139043</v>
      </c>
      <c r="S306" s="159">
        <v>2.0776335514843769</v>
      </c>
      <c r="T306" s="137">
        <v>0.17857389419831909</v>
      </c>
      <c r="U306" s="137">
        <v>17.281192639596593</v>
      </c>
      <c r="V306" s="137">
        <v>146.2998477314971</v>
      </c>
      <c r="W306" s="137">
        <v>148.37748128298148</v>
      </c>
      <c r="X306" s="160">
        <v>0.17893579603522136</v>
      </c>
      <c r="Y306" s="137">
        <v>17.680276018516246</v>
      </c>
      <c r="Z306" s="137">
        <v>9.8819182154226919</v>
      </c>
      <c r="AA306" s="137">
        <v>73.675664282893891</v>
      </c>
      <c r="AB306" s="159">
        <v>2.0905723277296344</v>
      </c>
      <c r="AC306" s="137">
        <v>0.17893579603522136</v>
      </c>
      <c r="AD306" s="137">
        <v>18.148715518900215</v>
      </c>
      <c r="AE306" s="137">
        <v>108.46675193262561</v>
      </c>
      <c r="AF306" s="137">
        <v>110.55732426035524</v>
      </c>
      <c r="AG306" s="177">
        <v>12.53022166926044</v>
      </c>
      <c r="AH306" s="137">
        <v>17.062881235632378</v>
      </c>
      <c r="AI306" s="137">
        <v>19.39987498854628</v>
      </c>
      <c r="AJ306" s="137">
        <v>17.50130310601044</v>
      </c>
      <c r="AK306" s="177">
        <v>16.57934419079151</v>
      </c>
      <c r="AL306" s="160">
        <v>171.2472106239062</v>
      </c>
      <c r="AM306" s="137">
        <v>177.5065695772102</v>
      </c>
      <c r="AN306" s="137">
        <v>197.05249001707625</v>
      </c>
      <c r="AO306" s="137">
        <v>171.27626866023536</v>
      </c>
      <c r="AP306" s="137">
        <v>182.69439825347575</v>
      </c>
      <c r="AQ306" s="137">
        <v>276.3835562492489</v>
      </c>
      <c r="AR306" s="160">
        <v>53.844833141371623</v>
      </c>
      <c r="AS306" s="137">
        <v>53.899691313705645</v>
      </c>
      <c r="AT306" s="137">
        <v>63.952386514929088</v>
      </c>
      <c r="AU306" s="137">
        <v>53.297516788211787</v>
      </c>
      <c r="AV306" s="137">
        <v>51.467511517167907</v>
      </c>
      <c r="AW306" s="159">
        <v>79.346188777315234</v>
      </c>
      <c r="AX306" s="160">
        <v>30.211036341897213</v>
      </c>
      <c r="AY306" s="137">
        <v>29.016891607782949</v>
      </c>
      <c r="AZ306" s="137">
        <v>37.158544110615566</v>
      </c>
      <c r="BA306" s="137">
        <v>29.54769239633508</v>
      </c>
      <c r="BB306" s="137">
        <v>25.050758788161861</v>
      </c>
      <c r="BC306" s="137">
        <v>39.681394889918778</v>
      </c>
      <c r="BD306" s="137">
        <v>92.307493410100022</v>
      </c>
      <c r="BE306" s="137">
        <v>64.930617487380147</v>
      </c>
      <c r="BF306" s="137">
        <v>75.830507183187393</v>
      </c>
      <c r="BG306" s="137">
        <v>71.420940959423547</v>
      </c>
      <c r="BH306" s="137">
        <v>104.53468180657312</v>
      </c>
      <c r="BI306" s="137">
        <v>159.02662464729303</v>
      </c>
      <c r="BJ306" s="160">
        <v>183.34398617491524</v>
      </c>
      <c r="BK306" s="137">
        <v>190.24263757665901</v>
      </c>
      <c r="BL306" s="137">
        <v>210.7667103966514</v>
      </c>
      <c r="BM306" s="137">
        <v>183.43243203432354</v>
      </c>
      <c r="BN306" s="137">
        <v>196.21560820804385</v>
      </c>
      <c r="BO306" s="137">
        <v>296.68567329814994</v>
      </c>
      <c r="BP306" s="160">
        <v>54.45209127403227</v>
      </c>
      <c r="BQ306" s="137">
        <v>54.539041927277971</v>
      </c>
      <c r="BR306" s="137">
        <v>64.640840377983764</v>
      </c>
      <c r="BS306" s="137">
        <v>53.907756189591012</v>
      </c>
      <c r="BT306" s="137">
        <v>52.146276256887219</v>
      </c>
      <c r="BU306" s="137">
        <v>80.365355053170049</v>
      </c>
      <c r="BV306" s="160">
        <v>30.211036341897213</v>
      </c>
      <c r="BW306" s="137">
        <v>29.016891607782949</v>
      </c>
      <c r="BX306" s="137">
        <v>37.158544110615566</v>
      </c>
      <c r="BY306" s="137">
        <v>29.54769239633508</v>
      </c>
      <c r="BZ306" s="137">
        <v>25.050758788161861</v>
      </c>
      <c r="CA306" s="159">
        <v>39.681394889918778</v>
      </c>
      <c r="CB306" s="160">
        <v>97.209164685956026</v>
      </c>
      <c r="CC306" s="137">
        <v>67.664304698555682</v>
      </c>
      <c r="CD306" s="137">
        <v>78.774146371083532</v>
      </c>
      <c r="CE306" s="137">
        <v>74.78129837571484</v>
      </c>
      <c r="CF306" s="137">
        <v>111.35207586566635</v>
      </c>
      <c r="CG306" s="159">
        <v>169.26295206334893</v>
      </c>
    </row>
    <row r="307" spans="1:85" ht="14.4">
      <c r="A307" t="s">
        <v>382</v>
      </c>
      <c r="B307" s="160">
        <v>0</v>
      </c>
      <c r="C307" s="137">
        <v>0</v>
      </c>
      <c r="D307" s="137">
        <v>0</v>
      </c>
      <c r="E307" s="137">
        <v>0</v>
      </c>
      <c r="F307" s="137">
        <v>0</v>
      </c>
      <c r="G307" s="137">
        <v>32.114066162375508</v>
      </c>
      <c r="H307" s="159">
        <v>0</v>
      </c>
      <c r="I307" s="137">
        <v>0</v>
      </c>
      <c r="J307" s="137">
        <v>0</v>
      </c>
      <c r="K307" s="137">
        <v>0</v>
      </c>
      <c r="L307" s="137">
        <v>0</v>
      </c>
      <c r="M307" s="137">
        <v>32.114066162375508</v>
      </c>
      <c r="N307" s="137">
        <v>32.114066162375508</v>
      </c>
      <c r="O307" s="160">
        <v>0</v>
      </c>
      <c r="P307" s="137">
        <v>0</v>
      </c>
      <c r="Q307" s="137">
        <v>0</v>
      </c>
      <c r="R307" s="137">
        <v>32.114066162375508</v>
      </c>
      <c r="S307" s="159">
        <v>0</v>
      </c>
      <c r="T307" s="137">
        <v>0</v>
      </c>
      <c r="U307" s="137">
        <v>0</v>
      </c>
      <c r="V307" s="137">
        <v>32.114066162375508</v>
      </c>
      <c r="W307" s="137">
        <v>32.114066162375508</v>
      </c>
      <c r="X307" s="160">
        <v>0</v>
      </c>
      <c r="Y307" s="137">
        <v>0</v>
      </c>
      <c r="Z307" s="137">
        <v>0</v>
      </c>
      <c r="AA307" s="137">
        <v>32.114066162375508</v>
      </c>
      <c r="AB307" s="159">
        <v>0</v>
      </c>
      <c r="AC307" s="137">
        <v>0</v>
      </c>
      <c r="AD307" s="137">
        <v>0</v>
      </c>
      <c r="AE307" s="137">
        <v>32.114066162375508</v>
      </c>
      <c r="AF307" s="137">
        <v>32.114066162375508</v>
      </c>
      <c r="AG307" s="177">
        <v>0.2087414300554408</v>
      </c>
      <c r="AH307" s="137">
        <v>1.8112236973381299</v>
      </c>
      <c r="AI307" s="137">
        <v>1.8112236973381299</v>
      </c>
      <c r="AJ307" s="137">
        <v>1.8112236973381299</v>
      </c>
      <c r="AK307" s="177">
        <v>0</v>
      </c>
      <c r="AL307" s="160">
        <v>45.123474364753825</v>
      </c>
      <c r="AM307" s="137">
        <v>47.153083346215958</v>
      </c>
      <c r="AN307" s="137">
        <v>50.74985875640202</v>
      </c>
      <c r="AO307" s="137">
        <v>45.149165617683728</v>
      </c>
      <c r="AP307" s="137">
        <v>49.937372882493918</v>
      </c>
      <c r="AQ307" s="137">
        <v>74.98104036410497</v>
      </c>
      <c r="AR307" s="160">
        <v>3.151007266430554</v>
      </c>
      <c r="AS307" s="137">
        <v>2.9624481794519499</v>
      </c>
      <c r="AT307" s="137">
        <v>3.1653052335538208</v>
      </c>
      <c r="AU307" s="137">
        <v>2.9706391905982001</v>
      </c>
      <c r="AV307" s="137">
        <v>3.0225121781230464</v>
      </c>
      <c r="AW307" s="159">
        <v>4.5383065737583275</v>
      </c>
      <c r="AX307" s="160">
        <v>0.64228132324751019</v>
      </c>
      <c r="AY307" s="137">
        <v>0.3211406616237551</v>
      </c>
      <c r="AZ307" s="137">
        <v>0.3211406616237551</v>
      </c>
      <c r="BA307" s="137">
        <v>0.44959692627325715</v>
      </c>
      <c r="BB307" s="137">
        <v>0.21837564990415345</v>
      </c>
      <c r="BC307" s="137">
        <v>0.32789136622245263</v>
      </c>
      <c r="BD307" s="137">
        <v>18.748701032460684</v>
      </c>
      <c r="BE307" s="137">
        <v>10.44054423998033</v>
      </c>
      <c r="BF307" s="137">
        <v>11.217732199094325</v>
      </c>
      <c r="BG307" s="137">
        <v>12.850900052999327</v>
      </c>
      <c r="BH307" s="137">
        <v>25.286694054575911</v>
      </c>
      <c r="BI307" s="137">
        <v>37.968009090954816</v>
      </c>
      <c r="BJ307" s="160">
        <v>45.123474364753825</v>
      </c>
      <c r="BK307" s="137">
        <v>47.153083346215958</v>
      </c>
      <c r="BL307" s="137">
        <v>50.74985875640202</v>
      </c>
      <c r="BM307" s="137">
        <v>45.149165617683728</v>
      </c>
      <c r="BN307" s="137">
        <v>49.937372882493918</v>
      </c>
      <c r="BO307" s="137">
        <v>74.98104036410497</v>
      </c>
      <c r="BP307" s="160">
        <v>3.151007266430554</v>
      </c>
      <c r="BQ307" s="137">
        <v>2.9624481794519499</v>
      </c>
      <c r="BR307" s="137">
        <v>3.1653052335538208</v>
      </c>
      <c r="BS307" s="137">
        <v>2.9706391905982001</v>
      </c>
      <c r="BT307" s="137">
        <v>3.0225121781230464</v>
      </c>
      <c r="BU307" s="137">
        <v>4.5383065737583275</v>
      </c>
      <c r="BV307" s="160">
        <v>0.64228132324751019</v>
      </c>
      <c r="BW307" s="137">
        <v>0.3211406616237551</v>
      </c>
      <c r="BX307" s="137">
        <v>0.3211406616237551</v>
      </c>
      <c r="BY307" s="137">
        <v>0.44959692627325715</v>
      </c>
      <c r="BZ307" s="137">
        <v>0.21837564990415345</v>
      </c>
      <c r="CA307" s="159">
        <v>0.32789136622245263</v>
      </c>
      <c r="CB307" s="160">
        <v>18.748701032460684</v>
      </c>
      <c r="CC307" s="137">
        <v>10.44054423998033</v>
      </c>
      <c r="CD307" s="137">
        <v>11.217732199094325</v>
      </c>
      <c r="CE307" s="137">
        <v>12.850900052999327</v>
      </c>
      <c r="CF307" s="137">
        <v>25.286694054575911</v>
      </c>
      <c r="CG307" s="159">
        <v>37.968009090954816</v>
      </c>
    </row>
    <row r="308" spans="1:85" ht="14.4">
      <c r="A308" t="s">
        <v>383</v>
      </c>
      <c r="B308" s="160">
        <v>0</v>
      </c>
      <c r="C308" s="137">
        <v>0</v>
      </c>
      <c r="D308" s="137">
        <v>0</v>
      </c>
      <c r="E308" s="137">
        <v>0</v>
      </c>
      <c r="F308" s="137">
        <v>0</v>
      </c>
      <c r="G308" s="137">
        <v>5.0079881616657165</v>
      </c>
      <c r="H308" s="159">
        <v>0</v>
      </c>
      <c r="I308" s="137">
        <v>0</v>
      </c>
      <c r="J308" s="137">
        <v>0</v>
      </c>
      <c r="K308" s="137">
        <v>0</v>
      </c>
      <c r="L308" s="137">
        <v>0</v>
      </c>
      <c r="M308" s="137">
        <v>5.0079881616657165</v>
      </c>
      <c r="N308" s="137">
        <v>5.0079881616657165</v>
      </c>
      <c r="O308" s="160">
        <v>0</v>
      </c>
      <c r="P308" s="137">
        <v>0</v>
      </c>
      <c r="Q308" s="137">
        <v>0</v>
      </c>
      <c r="R308" s="137">
        <v>5.0079881616657165</v>
      </c>
      <c r="S308" s="159">
        <v>0</v>
      </c>
      <c r="T308" s="137">
        <v>0</v>
      </c>
      <c r="U308" s="137">
        <v>0</v>
      </c>
      <c r="V308" s="137">
        <v>5.0079881616657165</v>
      </c>
      <c r="W308" s="137">
        <v>5.0079881616657165</v>
      </c>
      <c r="X308" s="160">
        <v>0</v>
      </c>
      <c r="Y308" s="137">
        <v>0</v>
      </c>
      <c r="Z308" s="137">
        <v>0</v>
      </c>
      <c r="AA308" s="137">
        <v>5.0079881616657165</v>
      </c>
      <c r="AB308" s="159">
        <v>0</v>
      </c>
      <c r="AC308" s="137">
        <v>0</v>
      </c>
      <c r="AD308" s="137">
        <v>0</v>
      </c>
      <c r="AE308" s="137">
        <v>5.0079881616657165</v>
      </c>
      <c r="AF308" s="137">
        <v>5.0079881616657165</v>
      </c>
      <c r="AG308" s="177">
        <v>3.2551923050827158E-2</v>
      </c>
      <c r="AH308" s="137">
        <v>0.2824490299214979</v>
      </c>
      <c r="AI308" s="137">
        <v>0.2824490299214979</v>
      </c>
      <c r="AJ308" s="137">
        <v>0.2824490299214979</v>
      </c>
      <c r="AK308" s="177">
        <v>0</v>
      </c>
      <c r="AL308" s="160">
        <v>7.0367241659564987</v>
      </c>
      <c r="AM308" s="137">
        <v>7.3532290177737716</v>
      </c>
      <c r="AN308" s="137">
        <v>7.9141236918803317</v>
      </c>
      <c r="AO308" s="137">
        <v>7.0407305564858307</v>
      </c>
      <c r="AP308" s="137">
        <v>7.7874215913901894</v>
      </c>
      <c r="AQ308" s="137">
        <v>11.692825212297581</v>
      </c>
      <c r="AR308" s="160">
        <v>0.49137991457758107</v>
      </c>
      <c r="AS308" s="137">
        <v>0.46197530195117753</v>
      </c>
      <c r="AT308" s="137">
        <v>0.4936095933023853</v>
      </c>
      <c r="AU308" s="137">
        <v>0.4632526390110529</v>
      </c>
      <c r="AV308" s="137">
        <v>0.47134190762378991</v>
      </c>
      <c r="AW308" s="159">
        <v>0.70772058201770249</v>
      </c>
      <c r="AX308" s="160">
        <v>0.10015976323331433</v>
      </c>
      <c r="AY308" s="137">
        <v>5.0079881616657163E-2</v>
      </c>
      <c r="AZ308" s="137">
        <v>5.0079881616657163E-2</v>
      </c>
      <c r="BA308" s="137">
        <v>7.011183426332003E-2</v>
      </c>
      <c r="BB308" s="137">
        <v>3.4054319499326871E-2</v>
      </c>
      <c r="BC308" s="137">
        <v>5.1132611860851156E-2</v>
      </c>
      <c r="BD308" s="137">
        <v>2.9237428964127021</v>
      </c>
      <c r="BE308" s="137">
        <v>1.6281377042321266</v>
      </c>
      <c r="BF308" s="137">
        <v>1.7493353152401037</v>
      </c>
      <c r="BG308" s="137">
        <v>2.0040176478047522</v>
      </c>
      <c r="BH308" s="137">
        <v>3.9433020979866993</v>
      </c>
      <c r="BI308" s="137">
        <v>5.9208740210010493</v>
      </c>
      <c r="BJ308" s="160">
        <v>7.0367241659564987</v>
      </c>
      <c r="BK308" s="137">
        <v>7.3532290177737716</v>
      </c>
      <c r="BL308" s="137">
        <v>7.9141236918803317</v>
      </c>
      <c r="BM308" s="137">
        <v>7.0407305564858307</v>
      </c>
      <c r="BN308" s="137">
        <v>7.7874215913901894</v>
      </c>
      <c r="BO308" s="137">
        <v>11.692825212297581</v>
      </c>
      <c r="BP308" s="160">
        <v>0.49137991457758107</v>
      </c>
      <c r="BQ308" s="137">
        <v>0.46197530195117753</v>
      </c>
      <c r="BR308" s="137">
        <v>0.4936095933023853</v>
      </c>
      <c r="BS308" s="137">
        <v>0.4632526390110529</v>
      </c>
      <c r="BT308" s="137">
        <v>0.47134190762378991</v>
      </c>
      <c r="BU308" s="137">
        <v>0.70772058201770249</v>
      </c>
      <c r="BV308" s="160">
        <v>0.10015976323331433</v>
      </c>
      <c r="BW308" s="137">
        <v>5.0079881616657163E-2</v>
      </c>
      <c r="BX308" s="137">
        <v>5.0079881616657163E-2</v>
      </c>
      <c r="BY308" s="137">
        <v>7.011183426332003E-2</v>
      </c>
      <c r="BZ308" s="137">
        <v>3.4054319499326871E-2</v>
      </c>
      <c r="CA308" s="159">
        <v>5.1132611860851156E-2</v>
      </c>
      <c r="CB308" s="160">
        <v>2.9237428964127021</v>
      </c>
      <c r="CC308" s="137">
        <v>1.6281377042321266</v>
      </c>
      <c r="CD308" s="137">
        <v>1.7493353152401037</v>
      </c>
      <c r="CE308" s="137">
        <v>2.0040176478047522</v>
      </c>
      <c r="CF308" s="137">
        <v>3.9433020979866993</v>
      </c>
      <c r="CG308" s="159">
        <v>5.9208740210010493</v>
      </c>
    </row>
    <row r="309" spans="1:85" ht="14.4">
      <c r="A309" s="139" t="s">
        <v>384</v>
      </c>
      <c r="B309" s="253">
        <v>7644.3546259961222</v>
      </c>
      <c r="C309" s="139">
        <v>806029.47929544921</v>
      </c>
      <c r="D309" s="139">
        <v>1362107.1822707129</v>
      </c>
      <c r="E309" s="139">
        <v>1106311.4389020917</v>
      </c>
      <c r="F309" s="139">
        <v>686394.46531771228</v>
      </c>
      <c r="G309" s="139">
        <v>4335883.2259918684</v>
      </c>
      <c r="H309" s="256">
        <v>78680.605229710724</v>
      </c>
      <c r="I309" s="139">
        <v>7644.3546259961222</v>
      </c>
      <c r="J309" s="139">
        <v>823106.96752992459</v>
      </c>
      <c r="K309" s="139">
        <v>1383870.6598909239</v>
      </c>
      <c r="L309" s="139">
        <v>1125919.3614048644</v>
      </c>
      <c r="M309" s="139">
        <v>6494270.6418049932</v>
      </c>
      <c r="N309" s="139">
        <v>6572951.2470347043</v>
      </c>
      <c r="O309" s="253">
        <v>7653.3776809610918</v>
      </c>
      <c r="P309" s="139">
        <v>1390284.8113402806</v>
      </c>
      <c r="Q309" s="139">
        <v>687904.28276267962</v>
      </c>
      <c r="R309" s="139">
        <v>7450183.1319054784</v>
      </c>
      <c r="S309" s="256">
        <v>79003.199030946183</v>
      </c>
      <c r="T309" s="139">
        <v>7653.3776809610918</v>
      </c>
      <c r="U309" s="139">
        <v>1412073.9775979768</v>
      </c>
      <c r="V309" s="139">
        <v>10157128.946960799</v>
      </c>
      <c r="W309" s="139">
        <v>10236132.145991746</v>
      </c>
      <c r="X309" s="253">
        <v>7646.0473511075506</v>
      </c>
      <c r="Y309" s="139">
        <v>1159584.843571496</v>
      </c>
      <c r="Z309" s="139">
        <v>686677.70707038813</v>
      </c>
      <c r="AA309" s="139">
        <v>4920125.8883412611</v>
      </c>
      <c r="AB309" s="256">
        <v>78741.123826822499</v>
      </c>
      <c r="AC309" s="139">
        <v>7646.0473511075506</v>
      </c>
      <c r="AD309" s="139">
        <v>1179601.5796322892</v>
      </c>
      <c r="AE309" s="139">
        <v>7181422.1164963599</v>
      </c>
      <c r="AF309" s="139">
        <v>7260163.2403231822</v>
      </c>
      <c r="AG309" s="175">
        <v>435158.63425361295</v>
      </c>
      <c r="AH309" s="139">
        <v>745016.45795223815</v>
      </c>
      <c r="AI309" s="139">
        <v>928908.13907988172</v>
      </c>
      <c r="AJ309" s="139">
        <v>779514.50001531979</v>
      </c>
      <c r="AK309" s="175">
        <v>627027.37956441077</v>
      </c>
      <c r="AL309" s="253">
        <v>10205008.764177606</v>
      </c>
      <c r="AM309" s="139">
        <v>10553436.092573043</v>
      </c>
      <c r="AN309" s="139">
        <v>11629176.726578139</v>
      </c>
      <c r="AO309" s="139">
        <v>10206143.853215503</v>
      </c>
      <c r="AP309" s="139">
        <v>11014121.766308919</v>
      </c>
      <c r="AQ309" s="139">
        <v>16641327.662652636</v>
      </c>
      <c r="AR309" s="253">
        <v>2132736.2878194824</v>
      </c>
      <c r="AS309" s="139">
        <v>2054558.7896540833</v>
      </c>
      <c r="AT309" s="139">
        <v>2477570.727281942</v>
      </c>
      <c r="AU309" s="139">
        <v>2094241.4202916184</v>
      </c>
      <c r="AV309" s="139">
        <v>1991313.1258514449</v>
      </c>
      <c r="AW309" s="256">
        <v>3093566.9412450185</v>
      </c>
      <c r="AX309" s="124">
        <v>1100813.9919098371</v>
      </c>
      <c r="AY309" s="112">
        <v>968101.28902233439</v>
      </c>
      <c r="AZ309" s="112">
        <v>1307671.3833595426</v>
      </c>
      <c r="BA309" s="112">
        <v>1057253.0124678982</v>
      </c>
      <c r="BB309" s="112">
        <v>837878.64564978983</v>
      </c>
      <c r="BC309" s="112">
        <v>1361683.3373386296</v>
      </c>
      <c r="BD309" s="139">
        <v>4961712.3662961135</v>
      </c>
      <c r="BE309" s="139">
        <v>3165873.7485396313</v>
      </c>
      <c r="BF309" s="139">
        <v>3674236.6258885222</v>
      </c>
      <c r="BG309" s="139">
        <v>3679892.5471079228</v>
      </c>
      <c r="BH309" s="139">
        <v>5968740.4270861223</v>
      </c>
      <c r="BI309" s="139">
        <v>9065680.0061619505</v>
      </c>
      <c r="BJ309" s="253">
        <v>11156866.096081477</v>
      </c>
      <c r="BK309" s="139">
        <v>11555597.342385629</v>
      </c>
      <c r="BL309" s="139">
        <v>12708305.719639035</v>
      </c>
      <c r="BM309" s="139">
        <v>11162674.226673735</v>
      </c>
      <c r="BN309" s="139">
        <v>12078063.374318141</v>
      </c>
      <c r="BO309" s="139">
        <v>18238837.584588405</v>
      </c>
      <c r="BP309" s="253">
        <v>2180519.5258810567</v>
      </c>
      <c r="BQ309" s="139">
        <v>2104867.2843946749</v>
      </c>
      <c r="BR309" s="139">
        <v>2531743.0027335994</v>
      </c>
      <c r="BS309" s="139">
        <v>2142259.2450392218</v>
      </c>
      <c r="BT309" s="139">
        <v>2044722.9945735079</v>
      </c>
      <c r="BU309" s="139">
        <v>3173761.9393261946</v>
      </c>
      <c r="BV309" s="124">
        <v>1100813.9919098371</v>
      </c>
      <c r="BW309" s="112">
        <v>968101.28902233439</v>
      </c>
      <c r="BX309" s="112">
        <v>1307671.3833595426</v>
      </c>
      <c r="BY309" s="112">
        <v>1057253.0124678982</v>
      </c>
      <c r="BZ309" s="112">
        <v>837878.64564978983</v>
      </c>
      <c r="CA309" s="120">
        <v>1361683.3373386296</v>
      </c>
      <c r="CB309" s="253">
        <v>5347409.5070616091</v>
      </c>
      <c r="CC309" s="139">
        <v>3380979.0221819296</v>
      </c>
      <c r="CD309" s="139">
        <v>3905862.3621571232</v>
      </c>
      <c r="CE309" s="139">
        <v>3944308.5339158787</v>
      </c>
      <c r="CF309" s="139">
        <v>6505179.7858443726</v>
      </c>
      <c r="CG309" s="256">
        <v>9871144.5088019669</v>
      </c>
    </row>
    <row r="310" spans="1:85" ht="14.4">
      <c r="A310" s="139" t="s">
        <v>392</v>
      </c>
      <c r="B310" s="124">
        <v>7661.4761710851271</v>
      </c>
      <c r="C310" s="112">
        <v>807203.07042656839</v>
      </c>
      <c r="D310" s="112">
        <v>1363262.0347106424</v>
      </c>
      <c r="E310" s="112">
        <v>1107474.9111399685</v>
      </c>
      <c r="F310" s="112">
        <v>688666.42246243719</v>
      </c>
      <c r="G310" s="112">
        <v>4339673.1646143654</v>
      </c>
      <c r="H310" s="120">
        <v>78896.619015723176</v>
      </c>
      <c r="I310" s="112">
        <v>7661.4761710851271</v>
      </c>
      <c r="J310" s="112">
        <v>824318.80819277267</v>
      </c>
      <c r="K310" s="112">
        <v>1385074.2573697218</v>
      </c>
      <c r="L310" s="112">
        <v>1127126.7507483254</v>
      </c>
      <c r="M310" s="112">
        <v>6500375.1457989048</v>
      </c>
      <c r="N310" s="120">
        <v>6579271.7648146283</v>
      </c>
      <c r="O310" s="112">
        <v>7670.5926184299205</v>
      </c>
      <c r="P310" s="112">
        <v>1391440.9358212666</v>
      </c>
      <c r="Q310" s="112">
        <v>690191.86714727303</v>
      </c>
      <c r="R310" s="112">
        <v>7458780.1517578429</v>
      </c>
      <c r="S310" s="120">
        <v>79222.551797263062</v>
      </c>
      <c r="T310" s="112">
        <v>7670.5926184299205</v>
      </c>
      <c r="U310" s="112">
        <v>1413279.1130059366</v>
      </c>
      <c r="V310" s="112">
        <v>10168036.211390223</v>
      </c>
      <c r="W310" s="120">
        <v>10247258.763187487</v>
      </c>
      <c r="X310" s="112">
        <v>7663.1864166070109</v>
      </c>
      <c r="Y310" s="112">
        <v>1160746.9373701802</v>
      </c>
      <c r="Z310" s="112">
        <v>688952.59588531242</v>
      </c>
      <c r="AA310" s="112">
        <v>4924817.6354024811</v>
      </c>
      <c r="AB310" s="120">
        <v>78957.76400554007</v>
      </c>
      <c r="AC310" s="112">
        <v>7663.1864166070109</v>
      </c>
      <c r="AD310" s="112">
        <v>1180808.5421238651</v>
      </c>
      <c r="AE310" s="112">
        <v>7188427.6106539303</v>
      </c>
      <c r="AF310" s="120">
        <v>7267385.3746594703</v>
      </c>
      <c r="AG310" s="120">
        <v>436084.70690275374</v>
      </c>
      <c r="AH310" s="112">
        <v>746217.03603754088</v>
      </c>
      <c r="AI310" s="112">
        <v>930349.98335585836</v>
      </c>
      <c r="AJ310" s="120">
        <v>780760.33925175201</v>
      </c>
      <c r="AK310" s="120">
        <v>628291.2572185162</v>
      </c>
      <c r="AL310" s="112">
        <v>10216427.864434553</v>
      </c>
      <c r="AM310" s="112">
        <v>10565598.040614858</v>
      </c>
      <c r="AN310" s="112">
        <v>11642804.004002513</v>
      </c>
      <c r="AO310" s="112">
        <v>10217562.600187337</v>
      </c>
      <c r="AP310" s="112">
        <v>11026603.874163494</v>
      </c>
      <c r="AQ310" s="112">
        <v>16660178.712605786</v>
      </c>
      <c r="AR310" s="124">
        <v>2137063.7596054114</v>
      </c>
      <c r="AS310" s="112">
        <v>2059254.3296392316</v>
      </c>
      <c r="AT310" s="112">
        <v>2483158.1634038524</v>
      </c>
      <c r="AU310" s="112">
        <v>2098533.7232025103</v>
      </c>
      <c r="AV310" s="112">
        <v>1995868.5430708069</v>
      </c>
      <c r="AW310" s="120">
        <v>3100516.0533074588</v>
      </c>
      <c r="AX310" s="124">
        <v>1103478.5429898137</v>
      </c>
      <c r="AY310" s="112">
        <v>971046.02598568576</v>
      </c>
      <c r="AZ310" s="112">
        <v>1311373.5517141018</v>
      </c>
      <c r="BA310" s="112">
        <v>1059874.2307418571</v>
      </c>
      <c r="BB310" s="112">
        <v>840575.32787748624</v>
      </c>
      <c r="BC310" s="112">
        <v>1365841.5560201905</v>
      </c>
      <c r="BD310" s="112">
        <v>4968289.9894639542</v>
      </c>
      <c r="BE310" s="112">
        <v>3171095.590572665</v>
      </c>
      <c r="BF310" s="112">
        <v>3680390.7849795027</v>
      </c>
      <c r="BG310" s="112">
        <v>3685144.8580427049</v>
      </c>
      <c r="BH310" s="112">
        <v>5976370.9209148912</v>
      </c>
      <c r="BI310" s="112">
        <v>9077246.3503706455</v>
      </c>
      <c r="BJ310" s="112">
        <v>11169534.025430646</v>
      </c>
      <c r="BK310" s="112">
        <v>11569074.117851591</v>
      </c>
      <c r="BL310" s="112">
        <v>12723348.805541866</v>
      </c>
      <c r="BM310" s="112">
        <v>11175347.933730375</v>
      </c>
      <c r="BN310" s="112">
        <v>12091941.364925278</v>
      </c>
      <c r="BO310" s="112">
        <v>18259784.554590445</v>
      </c>
      <c r="BP310" s="112">
        <v>2184909.6888874159</v>
      </c>
      <c r="BQ310" s="112">
        <v>2109628.8287165156</v>
      </c>
      <c r="BR310" s="112">
        <v>2537401.512441128</v>
      </c>
      <c r="BS310" s="112">
        <v>2146614.5469463705</v>
      </c>
      <c r="BT310" s="112">
        <v>2049348.4851070486</v>
      </c>
      <c r="BU310" s="112">
        <v>3180816.2665750892</v>
      </c>
      <c r="BV310" s="124">
        <v>1103478.5429898137</v>
      </c>
      <c r="BW310" s="112">
        <v>971046.02598568576</v>
      </c>
      <c r="BX310" s="112">
        <v>1311373.5517141018</v>
      </c>
      <c r="BY310" s="112">
        <v>1059874.2307418571</v>
      </c>
      <c r="BZ310" s="112">
        <v>840575.32787748624</v>
      </c>
      <c r="CA310" s="120">
        <v>1365841.5560201905</v>
      </c>
      <c r="CB310" s="124">
        <v>5354493.1617470207</v>
      </c>
      <c r="CC310" s="112">
        <v>3386483.0805877442</v>
      </c>
      <c r="CD310" s="112">
        <v>3912320.4123337353</v>
      </c>
      <c r="CE310" s="112">
        <v>3949907.7564788074</v>
      </c>
      <c r="CF310" s="112">
        <v>6513514.0837569823</v>
      </c>
      <c r="CG310" s="120">
        <v>9883767.6158993151</v>
      </c>
    </row>
    <row r="311" spans="1:85" ht="14.4">
      <c r="A311" s="139" t="s">
        <v>393</v>
      </c>
      <c r="B311" s="125">
        <v>7998.751374915405</v>
      </c>
      <c r="C311" s="121">
        <v>868097.81477849756</v>
      </c>
      <c r="D311" s="121">
        <v>1427045.7869191568</v>
      </c>
      <c r="E311" s="121">
        <v>1169929.7197344538</v>
      </c>
      <c r="F311" s="121">
        <v>781173.62605756498</v>
      </c>
      <c r="G311" s="121">
        <v>4862836.4080791203</v>
      </c>
      <c r="H311" s="110">
        <v>85763.125414158349</v>
      </c>
      <c r="I311" s="121">
        <v>7998.751374915405</v>
      </c>
      <c r="J311" s="121">
        <v>885967.02535005868</v>
      </c>
      <c r="K311" s="121">
        <v>1449818.2320835409</v>
      </c>
      <c r="L311" s="121">
        <v>1190446.6769861393</v>
      </c>
      <c r="M311" s="121">
        <v>7144922.6878615487</v>
      </c>
      <c r="N311" s="110">
        <v>7230685.8132757079</v>
      </c>
      <c r="O311" s="121">
        <v>8011.0141698628358</v>
      </c>
      <c r="P311" s="121">
        <v>1458070.060837443</v>
      </c>
      <c r="Q311" s="121">
        <v>783225.54548037332</v>
      </c>
      <c r="R311" s="121">
        <v>8250869.4505374273</v>
      </c>
      <c r="S311" s="110">
        <v>86201.546952231743</v>
      </c>
      <c r="T311" s="121">
        <v>8011.0141698628358</v>
      </c>
      <c r="U311" s="121">
        <v>1480877.4181790426</v>
      </c>
      <c r="V311" s="121">
        <v>11089711.461186651</v>
      </c>
      <c r="W311" s="110">
        <v>11175913.008138884</v>
      </c>
      <c r="X311" s="121">
        <v>8001.0518752475436</v>
      </c>
      <c r="Y311" s="121">
        <v>1223984.8477253746</v>
      </c>
      <c r="Z311" s="121">
        <v>781558.56614128384</v>
      </c>
      <c r="AA311" s="121">
        <v>5498431.4068442984</v>
      </c>
      <c r="AB311" s="110">
        <v>85845.373294700941</v>
      </c>
      <c r="AC311" s="121">
        <v>8001.0518752475436</v>
      </c>
      <c r="AD311" s="121">
        <v>1244930.9570340421</v>
      </c>
      <c r="AE311" s="121">
        <v>7884964.0514785564</v>
      </c>
      <c r="AF311" s="110">
        <v>7970809.4247732572</v>
      </c>
      <c r="AG311" s="110">
        <v>478597.52194401924</v>
      </c>
      <c r="AH311" s="121">
        <v>819466.74425664602</v>
      </c>
      <c r="AI311" s="121">
        <v>1017517.1494387775</v>
      </c>
      <c r="AJ311" s="110">
        <v>856620.9495538231</v>
      </c>
      <c r="AK311" s="110">
        <v>682538.05279007857</v>
      </c>
      <c r="AL311" s="121">
        <v>11220774.424552251</v>
      </c>
      <c r="AM311" s="121">
        <v>11604923.267715899</v>
      </c>
      <c r="AN311" s="121">
        <v>12783062.175959658</v>
      </c>
      <c r="AO311" s="121">
        <v>11222118.231533889</v>
      </c>
      <c r="AP311" s="121">
        <v>12111622.416070398</v>
      </c>
      <c r="AQ311" s="121">
        <v>18296391.768507697</v>
      </c>
      <c r="AR311" s="125">
        <v>2340594.8920539515</v>
      </c>
      <c r="AS311" s="121">
        <v>2255442.4993654005</v>
      </c>
      <c r="AT311" s="121">
        <v>2715524.8718790254</v>
      </c>
      <c r="AU311" s="121">
        <v>2298342.409366257</v>
      </c>
      <c r="AV311" s="121">
        <v>2185773.053415088</v>
      </c>
      <c r="AW311" s="110">
        <v>3392714.0468030283</v>
      </c>
      <c r="AX311" s="125">
        <v>1205551.504584071</v>
      </c>
      <c r="AY311" s="121">
        <v>1060414.1462159338</v>
      </c>
      <c r="AZ311" s="121">
        <v>1428716.2433728138</v>
      </c>
      <c r="BA311" s="121">
        <v>1157726.6480354317</v>
      </c>
      <c r="BB311" s="121">
        <v>917074.6399569487</v>
      </c>
      <c r="BC311" s="121">
        <v>1487761.4740430594</v>
      </c>
      <c r="BD311" s="121">
        <v>5452755.9564704038</v>
      </c>
      <c r="BE311" s="121">
        <v>3478076.5729757873</v>
      </c>
      <c r="BF311" s="121">
        <v>4032059.3886385337</v>
      </c>
      <c r="BG311" s="121">
        <v>4042782.663223661</v>
      </c>
      <c r="BH311" s="121">
        <v>6561365.6286733504</v>
      </c>
      <c r="BI311" s="121">
        <v>9962672.8685121275</v>
      </c>
      <c r="BJ311" s="121">
        <v>12245919.638837509</v>
      </c>
      <c r="BK311" s="121">
        <v>12684245.530362776</v>
      </c>
      <c r="BL311" s="121">
        <v>13945278.283094257</v>
      </c>
      <c r="BM311" s="121">
        <v>12252296.286377329</v>
      </c>
      <c r="BN311" s="121">
        <v>13257481.791390905</v>
      </c>
      <c r="BO311" s="121">
        <v>20016901.341061007</v>
      </c>
      <c r="BP311" s="121">
        <v>2392057.1818110724</v>
      </c>
      <c r="BQ311" s="121">
        <v>2309624.4769502738</v>
      </c>
      <c r="BR311" s="121">
        <v>2773868.1204571822</v>
      </c>
      <c r="BS311" s="121">
        <v>2350057.3477193979</v>
      </c>
      <c r="BT311" s="121">
        <v>2243295.1940561775</v>
      </c>
      <c r="BU311" s="121">
        <v>3479083.6273452048</v>
      </c>
      <c r="BV311" s="125">
        <v>1205551.504584071</v>
      </c>
      <c r="BW311" s="121">
        <v>1060414.1462159338</v>
      </c>
      <c r="BX311" s="121">
        <v>1428716.2433728138</v>
      </c>
      <c r="BY311" s="121">
        <v>1157726.6480354317</v>
      </c>
      <c r="BZ311" s="121">
        <v>917074.6399569487</v>
      </c>
      <c r="CA311" s="110">
        <v>1487761.4740430594</v>
      </c>
      <c r="CB311" s="125">
        <v>5868149.6974929143</v>
      </c>
      <c r="CC311" s="121">
        <v>3709743.7928950358</v>
      </c>
      <c r="CD311" s="121">
        <v>4281519.0577321313</v>
      </c>
      <c r="CE311" s="121">
        <v>4327557.2553513655</v>
      </c>
      <c r="CF311" s="121">
        <v>7139107.9257099489</v>
      </c>
      <c r="CG311" s="110">
        <v>10830153.794993512</v>
      </c>
    </row>
    <row r="312" spans="1:85" ht="14.4">
      <c r="A312" s="252" t="s">
        <v>394</v>
      </c>
      <c r="B312" s="156"/>
      <c r="C312" s="154"/>
      <c r="D312" s="154"/>
      <c r="E312" s="154"/>
      <c r="F312" s="154"/>
      <c r="G312" s="154"/>
      <c r="H312" s="155"/>
      <c r="I312" s="156"/>
      <c r="J312" s="154"/>
      <c r="K312" s="154"/>
      <c r="L312" s="154"/>
      <c r="M312" s="154"/>
      <c r="N312" s="155"/>
      <c r="O312" s="156"/>
      <c r="P312" s="154"/>
      <c r="Q312" s="154"/>
      <c r="R312" s="154"/>
      <c r="S312" s="155"/>
      <c r="T312" s="156"/>
      <c r="U312" s="154"/>
      <c r="V312" s="154"/>
      <c r="W312" s="155"/>
      <c r="X312" s="156"/>
      <c r="Y312" s="154"/>
      <c r="Z312" s="154"/>
      <c r="AA312" s="154"/>
      <c r="AB312" s="155"/>
      <c r="AC312" s="156"/>
      <c r="AD312" s="154"/>
      <c r="AE312" s="154"/>
      <c r="AF312" s="155"/>
      <c r="AG312" s="258"/>
      <c r="AH312" s="156"/>
      <c r="AI312" s="154"/>
      <c r="AJ312" s="159"/>
      <c r="AK312" s="258"/>
      <c r="AL312" s="156"/>
      <c r="AM312" s="154"/>
      <c r="AN312" s="154"/>
      <c r="AO312" s="154"/>
      <c r="AP312" s="154"/>
      <c r="AQ312" s="154"/>
      <c r="AR312" s="156"/>
      <c r="AS312" s="154"/>
      <c r="AT312" s="154"/>
      <c r="AU312" s="154"/>
      <c r="AV312" s="154"/>
      <c r="AW312" s="155"/>
      <c r="AX312" s="156"/>
      <c r="AY312" s="154"/>
      <c r="AZ312" s="154"/>
      <c r="BA312" s="154"/>
      <c r="BB312" s="154"/>
      <c r="BC312" s="154"/>
      <c r="BD312" s="156"/>
      <c r="BE312" s="154"/>
      <c r="BF312" s="154"/>
      <c r="BG312" s="154"/>
      <c r="BH312" s="154"/>
      <c r="BI312" s="154"/>
      <c r="BJ312" s="156"/>
      <c r="BK312" s="154"/>
      <c r="BL312" s="154"/>
      <c r="BM312" s="154"/>
      <c r="BN312" s="154"/>
      <c r="BO312" s="154"/>
      <c r="BP312" s="156"/>
      <c r="BQ312" s="154"/>
      <c r="BR312" s="154"/>
      <c r="BS312" s="154"/>
      <c r="BT312" s="154"/>
      <c r="BU312" s="154"/>
      <c r="BV312" s="156"/>
      <c r="BW312" s="154"/>
      <c r="BX312" s="154"/>
      <c r="BY312" s="154"/>
      <c r="BZ312" s="154"/>
      <c r="CA312" s="155"/>
      <c r="CB312" s="156"/>
      <c r="CC312" s="154"/>
      <c r="CD312" s="154"/>
      <c r="CE312" s="154"/>
      <c r="CF312" s="154"/>
      <c r="CG312" s="155"/>
    </row>
    <row r="313" spans="1:85" ht="14.4">
      <c r="A313" s="170" t="s">
        <v>372</v>
      </c>
      <c r="B313" s="160">
        <v>0.20574518676395331</v>
      </c>
      <c r="C313" s="137">
        <v>5.5150517494191549</v>
      </c>
      <c r="D313" s="137">
        <v>5.4882140264829999</v>
      </c>
      <c r="E313" s="137">
        <v>5.500559379033632</v>
      </c>
      <c r="F313" s="137">
        <v>43.034393812863613</v>
      </c>
      <c r="G313" s="137">
        <v>34.724668763954931</v>
      </c>
      <c r="H313" s="159">
        <v>0.90878155236054203</v>
      </c>
      <c r="I313" s="160">
        <v>0.20574518676395331</v>
      </c>
      <c r="J313" s="137">
        <v>5.9746864966498263</v>
      </c>
      <c r="K313" s="137">
        <v>6.0739705731999747</v>
      </c>
      <c r="L313" s="137">
        <v>6.0282998979869067</v>
      </c>
      <c r="M313" s="137">
        <v>46.280919668395832</v>
      </c>
      <c r="N313" s="159">
        <v>47.189701220756376</v>
      </c>
      <c r="O313" s="160">
        <v>0.20669815213592491</v>
      </c>
      <c r="P313" s="137">
        <v>5.5052388244908013</v>
      </c>
      <c r="Q313" s="137">
        <v>43.19385241625664</v>
      </c>
      <c r="R313" s="137">
        <v>74.85930528911355</v>
      </c>
      <c r="S313" s="159">
        <v>0.94285213299909643</v>
      </c>
      <c r="T313" s="160">
        <v>0.20669815213592491</v>
      </c>
      <c r="U313" s="137">
        <v>6.0937084636217795</v>
      </c>
      <c r="V313" s="137">
        <v>86.540944413876502</v>
      </c>
      <c r="W313" s="159">
        <v>87.483796546875595</v>
      </c>
      <c r="X313" s="160">
        <v>0.20592396306773517</v>
      </c>
      <c r="Y313" s="137">
        <v>5.501437243001396</v>
      </c>
      <c r="Z313" s="137">
        <v>43.064308246860143</v>
      </c>
      <c r="AA313" s="137">
        <v>42.25392657607469</v>
      </c>
      <c r="AB313" s="159">
        <v>0.9151731932883348</v>
      </c>
      <c r="AC313" s="160">
        <v>0.20592396306773517</v>
      </c>
      <c r="AD313" s="137">
        <v>6.0405295907256535</v>
      </c>
      <c r="AE313" s="137">
        <v>53.833621801495767</v>
      </c>
      <c r="AF313" s="159">
        <v>54.748794994784099</v>
      </c>
      <c r="AG313" s="177">
        <v>3.8960044559990092</v>
      </c>
      <c r="AH313" s="160">
        <v>6.0849320514138245</v>
      </c>
      <c r="AI313" s="137">
        <v>8.1076956367850102</v>
      </c>
      <c r="AJ313" s="159">
        <v>6.4643985588700161</v>
      </c>
      <c r="AK313" s="177">
        <v>5.9604600114451642</v>
      </c>
      <c r="AL313" s="160">
        <v>74.961772095578624</v>
      </c>
      <c r="AM313" s="137">
        <v>77.236066674957982</v>
      </c>
      <c r="AN313" s="137">
        <v>85.388506462508388</v>
      </c>
      <c r="AO313" s="137">
        <v>74.954169293911065</v>
      </c>
      <c r="AP313" s="137">
        <v>80.355850144249501</v>
      </c>
      <c r="AQ313" s="137">
        <v>121.50162139672138</v>
      </c>
      <c r="AR313" s="160">
        <v>18.027556319122255</v>
      </c>
      <c r="AS313" s="137">
        <v>17.292981795305739</v>
      </c>
      <c r="AT313" s="137">
        <v>20.841687435889767</v>
      </c>
      <c r="AU313" s="137">
        <v>17.740441087103164</v>
      </c>
      <c r="AV313" s="137">
        <v>16.717446516273366</v>
      </c>
      <c r="AW313" s="159">
        <v>25.948462796156623</v>
      </c>
      <c r="AX313" s="160">
        <v>9.599316934708968</v>
      </c>
      <c r="AY313" s="137">
        <v>8.4193253847289586</v>
      </c>
      <c r="AZ313" s="137">
        <v>11.286518635554641</v>
      </c>
      <c r="BA313" s="137">
        <v>9.2708241647402634</v>
      </c>
      <c r="BB313" s="137">
        <v>7.2967547142744822</v>
      </c>
      <c r="BC313" s="137">
        <v>11.803279910272412</v>
      </c>
      <c r="BD313" s="160">
        <v>37.622947690481439</v>
      </c>
      <c r="BE313" s="137">
        <v>24.446924788258205</v>
      </c>
      <c r="BF313" s="137">
        <v>28.545065809223971</v>
      </c>
      <c r="BG313" s="137">
        <v>28.265743604319578</v>
      </c>
      <c r="BH313" s="137">
        <v>44.133150630067888</v>
      </c>
      <c r="BI313" s="137">
        <v>67.113183687739976</v>
      </c>
      <c r="BJ313" s="160">
        <v>85.431872881984418</v>
      </c>
      <c r="BK313" s="137">
        <v>88.259493125622612</v>
      </c>
      <c r="BL313" s="137">
        <v>97.258551415864119</v>
      </c>
      <c r="BM313" s="137">
        <v>85.47567191798025</v>
      </c>
      <c r="BN313" s="137">
        <v>92.058839125199228</v>
      </c>
      <c r="BO313" s="137">
        <v>139.07367692367291</v>
      </c>
      <c r="BP313" s="160">
        <v>18.553155378599826</v>
      </c>
      <c r="BQ313" s="137">
        <v>17.846357803129102</v>
      </c>
      <c r="BR313" s="137">
        <v>21.437563692548228</v>
      </c>
      <c r="BS313" s="137">
        <v>18.26862051883144</v>
      </c>
      <c r="BT313" s="137">
        <v>17.304936563117042</v>
      </c>
      <c r="BU313" s="137">
        <v>26.830579983609589</v>
      </c>
      <c r="BV313" s="160">
        <v>9.599316934708968</v>
      </c>
      <c r="BW313" s="137">
        <v>8.4193253847289586</v>
      </c>
      <c r="BX313" s="137">
        <v>11.286518635554641</v>
      </c>
      <c r="BY313" s="137">
        <v>9.2708241647402634</v>
      </c>
      <c r="BZ313" s="137">
        <v>7.2967547142744822</v>
      </c>
      <c r="CA313" s="159">
        <v>11.803279910272412</v>
      </c>
      <c r="CB313" s="160">
        <v>41.865482576214823</v>
      </c>
      <c r="CC313" s="137">
        <v>26.813008253957367</v>
      </c>
      <c r="CD313" s="137">
        <v>31.092868638674275</v>
      </c>
      <c r="CE313" s="137">
        <v>31.174227826297319</v>
      </c>
      <c r="CF313" s="137">
        <v>50.033797674262736</v>
      </c>
      <c r="CG313" s="159">
        <v>75.973014084428939</v>
      </c>
    </row>
    <row r="314" spans="1:85" ht="14.4">
      <c r="A314" s="170" t="s">
        <v>373</v>
      </c>
      <c r="B314" s="160">
        <v>0.18840891051218056</v>
      </c>
      <c r="C314" s="137">
        <v>30.320879677510074</v>
      </c>
      <c r="D314" s="137">
        <v>19.543413862397486</v>
      </c>
      <c r="E314" s="137">
        <v>24.501048137349279</v>
      </c>
      <c r="F314" s="137">
        <v>45.418075373572421</v>
      </c>
      <c r="G314" s="137">
        <v>312.0451849364739</v>
      </c>
      <c r="H314" s="159">
        <v>4.202238295060595</v>
      </c>
      <c r="I314" s="160">
        <v>0.18840891051218056</v>
      </c>
      <c r="J314" s="137">
        <v>30.741785183594285</v>
      </c>
      <c r="K314" s="137">
        <v>20.079814030625663</v>
      </c>
      <c r="L314" s="137">
        <v>24.984320760991231</v>
      </c>
      <c r="M314" s="137">
        <v>359.94012783529411</v>
      </c>
      <c r="N314" s="159">
        <v>364.14236613035467</v>
      </c>
      <c r="O314" s="160">
        <v>0.18307796834943835</v>
      </c>
      <c r="P314" s="137">
        <v>22.674726173099351</v>
      </c>
      <c r="Q314" s="137">
        <v>44.526054931863015</v>
      </c>
      <c r="R314" s="137">
        <v>491.02928493461764</v>
      </c>
      <c r="S314" s="159">
        <v>4.0116455409299778</v>
      </c>
      <c r="T314" s="160">
        <v>0.18307796834943835</v>
      </c>
      <c r="U314" s="137">
        <v>23.195949148990202</v>
      </c>
      <c r="V314" s="137">
        <v>535.49591945323186</v>
      </c>
      <c r="W314" s="159">
        <v>539.50756499416184</v>
      </c>
      <c r="X314" s="160">
        <v>0.1874088257624501</v>
      </c>
      <c r="Y314" s="137">
        <v>24.158430136855991</v>
      </c>
      <c r="Z314" s="137">
        <v>45.250732338707735</v>
      </c>
      <c r="AA314" s="137">
        <v>345.62260209612566</v>
      </c>
      <c r="AB314" s="159">
        <v>4.1664830943856916</v>
      </c>
      <c r="AC314" s="160">
        <v>0.1874088257624501</v>
      </c>
      <c r="AD314" s="137">
        <v>24.649051346546351</v>
      </c>
      <c r="AE314" s="137">
        <v>392.874833527455</v>
      </c>
      <c r="AF314" s="159">
        <v>397.04131662184068</v>
      </c>
      <c r="AG314" s="177">
        <v>22.732436746085121</v>
      </c>
      <c r="AH314" s="160">
        <v>39.962144948159789</v>
      </c>
      <c r="AI314" s="137">
        <v>48.765477931122916</v>
      </c>
      <c r="AJ314" s="159">
        <v>41.613672262832388</v>
      </c>
      <c r="AK314" s="177">
        <v>38.003791886689825</v>
      </c>
      <c r="AL314" s="160">
        <v>570.96516703682289</v>
      </c>
      <c r="AM314" s="137">
        <v>591.24601686644576</v>
      </c>
      <c r="AN314" s="137">
        <v>656.82679228971301</v>
      </c>
      <c r="AO314" s="137">
        <v>571.05908722677816</v>
      </c>
      <c r="AP314" s="137">
        <v>616.93850644422753</v>
      </c>
      <c r="AQ314" s="137">
        <v>935.944937344604</v>
      </c>
      <c r="AR314" s="160">
        <v>121.94314267736473</v>
      </c>
      <c r="AS314" s="137">
        <v>118.49400031645095</v>
      </c>
      <c r="AT314" s="137">
        <v>147.76659096731242</v>
      </c>
      <c r="AU314" s="137">
        <v>119.83263736328118</v>
      </c>
      <c r="AV314" s="137">
        <v>115.04268800995344</v>
      </c>
      <c r="AW314" s="159">
        <v>182.34761236821652</v>
      </c>
      <c r="AX314" s="160">
        <v>66.591575709668604</v>
      </c>
      <c r="AY314" s="137">
        <v>60.217204338549529</v>
      </c>
      <c r="AZ314" s="137">
        <v>85.014034755217097</v>
      </c>
      <c r="BA314" s="137">
        <v>64.209327809937562</v>
      </c>
      <c r="BB314" s="137">
        <v>53.173295201212454</v>
      </c>
      <c r="BC314" s="137">
        <v>89.450626168905728</v>
      </c>
      <c r="BD314" s="160">
        <v>279.94273441216859</v>
      </c>
      <c r="BE314" s="137">
        <v>181.5304422689878</v>
      </c>
      <c r="BF314" s="137">
        <v>215.64434232030464</v>
      </c>
      <c r="BG314" s="137">
        <v>209.20809440911756</v>
      </c>
      <c r="BH314" s="137">
        <v>337.42371470994067</v>
      </c>
      <c r="BI314" s="137">
        <v>516.25305786369279</v>
      </c>
      <c r="BJ314" s="160">
        <v>616.53350336258018</v>
      </c>
      <c r="BK314" s="137">
        <v>639.22255636817977</v>
      </c>
      <c r="BL314" s="137">
        <v>708.48801424649355</v>
      </c>
      <c r="BM314" s="137">
        <v>616.85113641587759</v>
      </c>
      <c r="BN314" s="137">
        <v>667.87266159514616</v>
      </c>
      <c r="BO314" s="137">
        <v>1012.4226477814187</v>
      </c>
      <c r="BP314" s="160">
        <v>124.23067316091775</v>
      </c>
      <c r="BQ314" s="137">
        <v>120.902422599438</v>
      </c>
      <c r="BR314" s="137">
        <v>150.3599843095428</v>
      </c>
      <c r="BS314" s="137">
        <v>122.13139823257396</v>
      </c>
      <c r="BT314" s="137">
        <v>117.59958259852957</v>
      </c>
      <c r="BU314" s="137">
        <v>186.18679343214464</v>
      </c>
      <c r="BV314" s="160">
        <v>66.591575709668604</v>
      </c>
      <c r="BW314" s="137">
        <v>60.217204338549529</v>
      </c>
      <c r="BX314" s="137">
        <v>85.014034755217097</v>
      </c>
      <c r="BY314" s="137">
        <v>64.209327809937562</v>
      </c>
      <c r="BZ314" s="137">
        <v>53.173295201212454</v>
      </c>
      <c r="CA314" s="159">
        <v>89.450626168905728</v>
      </c>
      <c r="CB314" s="160">
        <v>298.40724210801307</v>
      </c>
      <c r="CC314" s="137">
        <v>191.82819291526448</v>
      </c>
      <c r="CD314" s="137">
        <v>226.73297829359436</v>
      </c>
      <c r="CE314" s="137">
        <v>221.86650046737836</v>
      </c>
      <c r="CF314" s="137">
        <v>363.10471573703381</v>
      </c>
      <c r="CG314" s="159">
        <v>554.81311946593473</v>
      </c>
    </row>
    <row r="315" spans="1:85" ht="14.4">
      <c r="A315" s="170" t="s">
        <v>374</v>
      </c>
      <c r="B315" s="160">
        <v>0.3183689298461107</v>
      </c>
      <c r="C315" s="137">
        <v>42.282897325075758</v>
      </c>
      <c r="D315" s="137">
        <v>34.412016182451765</v>
      </c>
      <c r="E315" s="137">
        <v>38.032621508058803</v>
      </c>
      <c r="F315" s="137">
        <v>73.519975748609994</v>
      </c>
      <c r="G315" s="137">
        <v>721.09184310648254</v>
      </c>
      <c r="H315" s="159">
        <v>6.6962284409131616</v>
      </c>
      <c r="I315" s="160">
        <v>0.3183689298461107</v>
      </c>
      <c r="J315" s="137">
        <v>42.994133514351972</v>
      </c>
      <c r="K315" s="137">
        <v>35.318412525723645</v>
      </c>
      <c r="L315" s="137">
        <v>38.849244180492676</v>
      </c>
      <c r="M315" s="137">
        <v>795.56584420048705</v>
      </c>
      <c r="N315" s="159">
        <v>802.26207264140021</v>
      </c>
      <c r="O315" s="160">
        <v>0.29942683902446376</v>
      </c>
      <c r="P315" s="137">
        <v>39.487145523350591</v>
      </c>
      <c r="Q315" s="137">
        <v>70.350417403048482</v>
      </c>
      <c r="R315" s="137">
        <v>932.28199203555573</v>
      </c>
      <c r="S315" s="159">
        <v>6.0190075766686153</v>
      </c>
      <c r="T315" s="160">
        <v>0.29942683902446376</v>
      </c>
      <c r="U315" s="137">
        <v>40.339613734053238</v>
      </c>
      <c r="V315" s="137">
        <v>1009.6130315637358</v>
      </c>
      <c r="W315" s="159">
        <v>1015.6320391404045</v>
      </c>
      <c r="X315" s="160">
        <v>0.31481539360796973</v>
      </c>
      <c r="Y315" s="137">
        <v>38.305490213327545</v>
      </c>
      <c r="Z315" s="137">
        <v>72.925366602982649</v>
      </c>
      <c r="AA315" s="137">
        <v>760.71111504557666</v>
      </c>
      <c r="AB315" s="159">
        <v>6.5691818067808851</v>
      </c>
      <c r="AC315" s="160">
        <v>0.31481539360796973</v>
      </c>
      <c r="AD315" s="137">
        <v>39.129651554783621</v>
      </c>
      <c r="AE315" s="137">
        <v>835.72265707609688</v>
      </c>
      <c r="AF315" s="159">
        <v>842.29183888287776</v>
      </c>
      <c r="AG315" s="177">
        <v>35.640883481895756</v>
      </c>
      <c r="AH315" s="160">
        <v>74.267830711630467</v>
      </c>
      <c r="AI315" s="137">
        <v>84.979003029880488</v>
      </c>
      <c r="AJ315" s="159">
        <v>76.277324976952627</v>
      </c>
      <c r="AK315" s="177">
        <v>71.352092428161797</v>
      </c>
      <c r="AL315" s="160">
        <v>1225.6888531691936</v>
      </c>
      <c r="AM315" s="137">
        <v>1273.8582419771194</v>
      </c>
      <c r="AN315" s="137">
        <v>1409.9719122735023</v>
      </c>
      <c r="AO315" s="137">
        <v>1226.090484229858</v>
      </c>
      <c r="AP315" s="137">
        <v>1334.5902190731856</v>
      </c>
      <c r="AQ315" s="137">
        <v>2023.9060334686189</v>
      </c>
      <c r="AR315" s="160">
        <v>217.34402867226964</v>
      </c>
      <c r="AS315" s="137">
        <v>212.22423897093626</v>
      </c>
      <c r="AT315" s="137">
        <v>266.80255417118485</v>
      </c>
      <c r="AU315" s="137">
        <v>212.79529888781147</v>
      </c>
      <c r="AV315" s="137">
        <v>207.50953371751598</v>
      </c>
      <c r="AW315" s="159">
        <v>331.59269209373969</v>
      </c>
      <c r="AX315" s="160">
        <v>114.4756563535903</v>
      </c>
      <c r="AY315" s="137">
        <v>103.91946144416555</v>
      </c>
      <c r="AZ315" s="137">
        <v>150.17977960471151</v>
      </c>
      <c r="BA315" s="137">
        <v>109.42190532029304</v>
      </c>
      <c r="BB315" s="137">
        <v>92.528078209769703</v>
      </c>
      <c r="BC315" s="137">
        <v>158.94786400403061</v>
      </c>
      <c r="BD315" s="160">
        <v>578.81840223709196</v>
      </c>
      <c r="BE315" s="137">
        <v>366.53291180081334</v>
      </c>
      <c r="BF315" s="137">
        <v>432.9624039584412</v>
      </c>
      <c r="BG315" s="137">
        <v>425.77057479966726</v>
      </c>
      <c r="BH315" s="137">
        <v>718.77580963310402</v>
      </c>
      <c r="BI315" s="137">
        <v>1099.2597730480759</v>
      </c>
      <c r="BJ315" s="160">
        <v>1281.1340823902642</v>
      </c>
      <c r="BK315" s="137">
        <v>1332.2336500870661</v>
      </c>
      <c r="BL315" s="137">
        <v>1472.8306542024945</v>
      </c>
      <c r="BM315" s="137">
        <v>1281.8079158613705</v>
      </c>
      <c r="BN315" s="137">
        <v>1396.5643031682412</v>
      </c>
      <c r="BO315" s="137">
        <v>2116.9602137915253</v>
      </c>
      <c r="BP315" s="160">
        <v>220.12737917916738</v>
      </c>
      <c r="BQ315" s="137">
        <v>215.15468445805556</v>
      </c>
      <c r="BR315" s="137">
        <v>269.95806301602022</v>
      </c>
      <c r="BS315" s="137">
        <v>215.59231395571339</v>
      </c>
      <c r="BT315" s="137">
        <v>210.62063273908777</v>
      </c>
      <c r="BU315" s="137">
        <v>336.26401194594956</v>
      </c>
      <c r="BV315" s="160">
        <v>114.4756563535903</v>
      </c>
      <c r="BW315" s="137">
        <v>103.91946144416555</v>
      </c>
      <c r="BX315" s="137">
        <v>150.17977960471151</v>
      </c>
      <c r="BY315" s="137">
        <v>109.42190532029304</v>
      </c>
      <c r="BZ315" s="137">
        <v>92.528078209769703</v>
      </c>
      <c r="CA315" s="159">
        <v>158.94786400403061</v>
      </c>
      <c r="CB315" s="160">
        <v>601.28507414566548</v>
      </c>
      <c r="CC315" s="137">
        <v>379.06268995559549</v>
      </c>
      <c r="CD315" s="137">
        <v>446.45449107114393</v>
      </c>
      <c r="CE315" s="137">
        <v>441.17267814740222</v>
      </c>
      <c r="CF315" s="137">
        <v>750.023142833831</v>
      </c>
      <c r="CG315" s="159">
        <v>1146.1776907668852</v>
      </c>
    </row>
    <row r="316" spans="1:85" ht="14.4">
      <c r="A316" s="170" t="s">
        <v>375</v>
      </c>
      <c r="B316" s="160">
        <v>4.9020198173474597E-2</v>
      </c>
      <c r="C316" s="137">
        <v>1.7894636238734694</v>
      </c>
      <c r="D316" s="137">
        <v>2.8082672359014627</v>
      </c>
      <c r="E316" s="137">
        <v>2.3396175743685856</v>
      </c>
      <c r="F316" s="137">
        <v>11.602545080413027</v>
      </c>
      <c r="G316" s="137">
        <v>79.316529937190055</v>
      </c>
      <c r="H316" s="159">
        <v>0.49861673453106981</v>
      </c>
      <c r="I316" s="160">
        <v>4.9020198173474597E-2</v>
      </c>
      <c r="J316" s="137">
        <v>1.8989747465930116</v>
      </c>
      <c r="K316" s="137">
        <v>2.9478277401013449</v>
      </c>
      <c r="L316" s="137">
        <v>2.4653553630875118</v>
      </c>
      <c r="M316" s="137">
        <v>84.042616168228818</v>
      </c>
      <c r="N316" s="159">
        <v>84.541232902759887</v>
      </c>
      <c r="O316" s="160">
        <v>4.7269394964034782E-2</v>
      </c>
      <c r="P316" s="137">
        <v>3.4604471229980867</v>
      </c>
      <c r="Q316" s="137">
        <v>11.309585186166602</v>
      </c>
      <c r="R316" s="137">
        <v>111.50353861480761</v>
      </c>
      <c r="S316" s="159">
        <v>0.43602171934594741</v>
      </c>
      <c r="T316" s="160">
        <v>4.7269394964034782E-2</v>
      </c>
      <c r="U316" s="137">
        <v>3.5950230904606935</v>
      </c>
      <c r="V316" s="137">
        <v>118.39519787922076</v>
      </c>
      <c r="W316" s="159">
        <v>118.8312195985667</v>
      </c>
      <c r="X316" s="160">
        <v>4.8691747491383684E-2</v>
      </c>
      <c r="Y316" s="137">
        <v>2.5498851976914798</v>
      </c>
      <c r="Z316" s="137">
        <v>11.547585804252398</v>
      </c>
      <c r="AA316" s="137">
        <v>85.354812765111106</v>
      </c>
      <c r="AB316" s="159">
        <v>0.4868739096823409</v>
      </c>
      <c r="AC316" s="160">
        <v>4.8691747491383684E-2</v>
      </c>
      <c r="AD316" s="137">
        <v>2.6773562704062783</v>
      </c>
      <c r="AE316" s="137">
        <v>90.487304735479938</v>
      </c>
      <c r="AF316" s="159">
        <v>90.974178645162283</v>
      </c>
      <c r="AG316" s="177">
        <v>2.1590863080671401</v>
      </c>
      <c r="AH316" s="160">
        <v>6.3033064123529847</v>
      </c>
      <c r="AI316" s="137">
        <v>8.0246637444824866</v>
      </c>
      <c r="AJ316" s="159">
        <v>6.6262402886215845</v>
      </c>
      <c r="AK316" s="177">
        <v>5.8569776613191724</v>
      </c>
      <c r="AL316" s="160">
        <v>126.46578499980025</v>
      </c>
      <c r="AM316" s="137">
        <v>131.90804446942261</v>
      </c>
      <c r="AN316" s="137">
        <v>145.86014913213006</v>
      </c>
      <c r="AO316" s="137">
        <v>126.49482031166804</v>
      </c>
      <c r="AP316" s="137">
        <v>138.71531493349573</v>
      </c>
      <c r="AQ316" s="137">
        <v>210.55755995706994</v>
      </c>
      <c r="AR316" s="160">
        <v>18.098433017937648</v>
      </c>
      <c r="AS316" s="137">
        <v>17.813676268462217</v>
      </c>
      <c r="AT316" s="137">
        <v>23.003133164244097</v>
      </c>
      <c r="AU316" s="137">
        <v>17.59545042967067</v>
      </c>
      <c r="AV316" s="137">
        <v>17.587357141047747</v>
      </c>
      <c r="AW316" s="159">
        <v>28.683749457898784</v>
      </c>
      <c r="AX316" s="160">
        <v>9.3677233061875285</v>
      </c>
      <c r="AY316" s="137">
        <v>8.6215645273278607</v>
      </c>
      <c r="AZ316" s="137">
        <v>13.105051104926204</v>
      </c>
      <c r="BA316" s="137">
        <v>8.8218782343165536</v>
      </c>
      <c r="BB316" s="137">
        <v>7.828578153442856</v>
      </c>
      <c r="BC316" s="137">
        <v>14.030928155188741</v>
      </c>
      <c r="BD316" s="160">
        <v>57.66899611187732</v>
      </c>
      <c r="BE316" s="137">
        <v>35.780370668342151</v>
      </c>
      <c r="BF316" s="137">
        <v>42.349701234004407</v>
      </c>
      <c r="BG316" s="137">
        <v>41.814847289317321</v>
      </c>
      <c r="BH316" s="137">
        <v>73.821670837945518</v>
      </c>
      <c r="BI316" s="137">
        <v>113.11965590969724</v>
      </c>
      <c r="BJ316" s="160">
        <v>135.37605814760181</v>
      </c>
      <c r="BK316" s="137">
        <v>141.289209245568</v>
      </c>
      <c r="BL316" s="137">
        <v>155.96180383142456</v>
      </c>
      <c r="BM316" s="137">
        <v>135.44883749051792</v>
      </c>
      <c r="BN316" s="137">
        <v>148.67480153188311</v>
      </c>
      <c r="BO316" s="137">
        <v>225.51174403873264</v>
      </c>
      <c r="BP316" s="160">
        <v>18.545728729957283</v>
      </c>
      <c r="BQ316" s="137">
        <v>18.284610740224718</v>
      </c>
      <c r="BR316" s="137">
        <v>23.510236230148678</v>
      </c>
      <c r="BS316" s="137">
        <v>18.044942092048935</v>
      </c>
      <c r="BT316" s="137">
        <v>18.087323368286793</v>
      </c>
      <c r="BU316" s="137">
        <v>29.434449498798251</v>
      </c>
      <c r="BV316" s="160">
        <v>9.3677233061875285</v>
      </c>
      <c r="BW316" s="137">
        <v>8.6215645273278607</v>
      </c>
      <c r="BX316" s="137">
        <v>13.105051104926204</v>
      </c>
      <c r="BY316" s="137">
        <v>8.8218782343165536</v>
      </c>
      <c r="BZ316" s="137">
        <v>7.828578153442856</v>
      </c>
      <c r="CA316" s="159">
        <v>14.030928155188741</v>
      </c>
      <c r="CB316" s="160">
        <v>61.279481382472163</v>
      </c>
      <c r="CC316" s="137">
        <v>37.793956821901389</v>
      </c>
      <c r="CD316" s="137">
        <v>44.517934338944464</v>
      </c>
      <c r="CE316" s="137">
        <v>44.290027747708024</v>
      </c>
      <c r="CF316" s="137">
        <v>78.843243980852421</v>
      </c>
      <c r="CG316" s="159">
        <v>120.65955552367157</v>
      </c>
    </row>
    <row r="317" spans="1:85" ht="14.4">
      <c r="A317" s="170" t="s">
        <v>376</v>
      </c>
      <c r="B317" s="160">
        <v>4.1989348056209436E-2</v>
      </c>
      <c r="C317" s="137">
        <v>1.5079889174139263</v>
      </c>
      <c r="D317" s="137">
        <v>2.3726997693120273</v>
      </c>
      <c r="E317" s="137">
        <v>1.9749327774389012</v>
      </c>
      <c r="F317" s="137">
        <v>9.6447638475003004</v>
      </c>
      <c r="G317" s="137">
        <v>62.540032741607241</v>
      </c>
      <c r="H317" s="159">
        <v>0.4193631731516419</v>
      </c>
      <c r="I317" s="160">
        <v>4.1989348056209436E-2</v>
      </c>
      <c r="J317" s="137">
        <v>1.6017931209714982</v>
      </c>
      <c r="K317" s="137">
        <v>2.4922434432280554</v>
      </c>
      <c r="L317" s="137">
        <v>2.0826362949900394</v>
      </c>
      <c r="M317" s="137">
        <v>66.532446519103146</v>
      </c>
      <c r="N317" s="159">
        <v>66.951809692254784</v>
      </c>
      <c r="O317" s="160">
        <v>4.0916321995105913E-2</v>
      </c>
      <c r="P317" s="137">
        <v>2.978281239188445</v>
      </c>
      <c r="Q317" s="137">
        <v>9.465215626609659</v>
      </c>
      <c r="R317" s="137">
        <v>97.315586441662205</v>
      </c>
      <c r="S317" s="159">
        <v>0.38100016226231564</v>
      </c>
      <c r="T317" s="160">
        <v>4.0916321995105913E-2</v>
      </c>
      <c r="U317" s="137">
        <v>3.0947700079085116</v>
      </c>
      <c r="V317" s="137">
        <v>103.24826054682282</v>
      </c>
      <c r="W317" s="159">
        <v>103.62926070908513</v>
      </c>
      <c r="X317" s="160">
        <v>4.1788048367146412E-2</v>
      </c>
      <c r="Y317" s="137">
        <v>2.1631609488631156</v>
      </c>
      <c r="Z317" s="137">
        <v>9.6110806012612162</v>
      </c>
      <c r="AA317" s="137">
        <v>69.063926615737557</v>
      </c>
      <c r="AB317" s="159">
        <v>0.41216627230880432</v>
      </c>
      <c r="AC317" s="160">
        <v>4.1788048367146412E-2</v>
      </c>
      <c r="AD317" s="137">
        <v>2.2725586933774329</v>
      </c>
      <c r="AE317" s="137">
        <v>73.420421630942101</v>
      </c>
      <c r="AF317" s="159">
        <v>73.832587903250911</v>
      </c>
      <c r="AG317" s="177">
        <v>1.8053463150032023</v>
      </c>
      <c r="AH317" s="160">
        <v>5.0829201618012441</v>
      </c>
      <c r="AI317" s="137">
        <v>6.924128202846128</v>
      </c>
      <c r="AJ317" s="159">
        <v>5.4283352279932497</v>
      </c>
      <c r="AK317" s="177">
        <v>4.9636497653322804</v>
      </c>
      <c r="AL317" s="160">
        <v>100.54155799720104</v>
      </c>
      <c r="AM317" s="137">
        <v>104.83888621438058</v>
      </c>
      <c r="AN317" s="137">
        <v>116.09145303562352</v>
      </c>
      <c r="AO317" s="137">
        <v>100.55383477568886</v>
      </c>
      <c r="AP317" s="137">
        <v>110.19990771410822</v>
      </c>
      <c r="AQ317" s="137">
        <v>167.37002471287616</v>
      </c>
      <c r="AR317" s="160">
        <v>14.846959108569841</v>
      </c>
      <c r="AS317" s="137">
        <v>14.615484612120188</v>
      </c>
      <c r="AT317" s="137">
        <v>18.938735805952327</v>
      </c>
      <c r="AU317" s="137">
        <v>14.438527438250583</v>
      </c>
      <c r="AV317" s="137">
        <v>14.414492943060045</v>
      </c>
      <c r="AW317" s="159">
        <v>23.548080612203229</v>
      </c>
      <c r="AX317" s="160">
        <v>7.8066063924589368</v>
      </c>
      <c r="AY317" s="137">
        <v>7.203062140165434</v>
      </c>
      <c r="AZ317" s="137">
        <v>10.957026275875835</v>
      </c>
      <c r="BA317" s="137">
        <v>7.3636108650394316</v>
      </c>
      <c r="BB317" s="137">
        <v>6.5451159485593591</v>
      </c>
      <c r="BC317" s="137">
        <v>11.73219923907908</v>
      </c>
      <c r="BD317" s="160">
        <v>46.096145935474858</v>
      </c>
      <c r="BE317" s="137">
        <v>28.742075198477416</v>
      </c>
      <c r="BF317" s="137">
        <v>34.150273348129353</v>
      </c>
      <c r="BG317" s="137">
        <v>33.512684425126878</v>
      </c>
      <c r="BH317" s="137">
        <v>58.807861956749093</v>
      </c>
      <c r="BI317" s="137">
        <v>90.204790842967569</v>
      </c>
      <c r="BJ317" s="160">
        <v>110.07212389725177</v>
      </c>
      <c r="BK317" s="137">
        <v>114.87312507947622</v>
      </c>
      <c r="BL317" s="137">
        <v>126.89633906035074</v>
      </c>
      <c r="BM317" s="137">
        <v>110.13118996757437</v>
      </c>
      <c r="BN317" s="137">
        <v>120.85272854037242</v>
      </c>
      <c r="BO317" s="137">
        <v>183.36525117873833</v>
      </c>
      <c r="BP317" s="160">
        <v>15.325393516752387</v>
      </c>
      <c r="BQ317" s="137">
        <v>15.119203403147988</v>
      </c>
      <c r="BR317" s="137">
        <v>19.481141084393634</v>
      </c>
      <c r="BS317" s="137">
        <v>14.919310668883234</v>
      </c>
      <c r="BT317" s="137">
        <v>14.949264548538508</v>
      </c>
      <c r="BU317" s="137">
        <v>24.351040980789509</v>
      </c>
      <c r="BV317" s="160">
        <v>7.8066063924589368</v>
      </c>
      <c r="BW317" s="137">
        <v>7.203062140165434</v>
      </c>
      <c r="BX317" s="137">
        <v>10.957026275875835</v>
      </c>
      <c r="BY317" s="137">
        <v>7.3636108650394316</v>
      </c>
      <c r="BZ317" s="137">
        <v>6.5451159485593591</v>
      </c>
      <c r="CA317" s="159">
        <v>11.73219923907908</v>
      </c>
      <c r="CB317" s="160">
        <v>49.957976794280412</v>
      </c>
      <c r="CC317" s="137">
        <v>30.895838075731181</v>
      </c>
      <c r="CD317" s="137">
        <v>36.469448995219516</v>
      </c>
      <c r="CE317" s="137">
        <v>36.160175706472252</v>
      </c>
      <c r="CF317" s="137">
        <v>64.179014217351508</v>
      </c>
      <c r="CG317" s="159">
        <v>98.269584027055274</v>
      </c>
    </row>
    <row r="318" spans="1:85" ht="14.4">
      <c r="A318" s="170" t="s">
        <v>377</v>
      </c>
      <c r="B318" s="160">
        <v>0.18479548821673186</v>
      </c>
      <c r="C318" s="137">
        <v>15.778872378152776</v>
      </c>
      <c r="D318" s="137">
        <v>21.396624999868052</v>
      </c>
      <c r="E318" s="137">
        <v>18.812458793879024</v>
      </c>
      <c r="F318" s="137">
        <v>38.704521925499137</v>
      </c>
      <c r="G318" s="137">
        <v>896.71340820522255</v>
      </c>
      <c r="H318" s="159">
        <v>4.0284793474558045</v>
      </c>
      <c r="I318" s="160">
        <v>0.18479548821673186</v>
      </c>
      <c r="J318" s="137">
        <v>16.191705498828956</v>
      </c>
      <c r="K318" s="137">
        <v>21.922737754821089</v>
      </c>
      <c r="L318" s="137">
        <v>19.286462917064707</v>
      </c>
      <c r="M318" s="137">
        <v>933.68555761723565</v>
      </c>
      <c r="N318" s="159">
        <v>937.71403696469145</v>
      </c>
      <c r="O318" s="160">
        <v>0.14568864086472388</v>
      </c>
      <c r="P318" s="137">
        <v>23.617638949981004</v>
      </c>
      <c r="Q318" s="137">
        <v>32.160817982769345</v>
      </c>
      <c r="R318" s="137">
        <v>704.34947850625804</v>
      </c>
      <c r="S318" s="159">
        <v>2.6303246658543076</v>
      </c>
      <c r="T318" s="160">
        <v>0.14568864086472388</v>
      </c>
      <c r="U318" s="137">
        <v>24.032414510522873</v>
      </c>
      <c r="V318" s="137">
        <v>750.41961712293039</v>
      </c>
      <c r="W318" s="159">
        <v>753.04994178878474</v>
      </c>
      <c r="X318" s="160">
        <v>0.17745904365349516</v>
      </c>
      <c r="Y318" s="137">
        <v>19.713910591163756</v>
      </c>
      <c r="Z318" s="137">
        <v>37.476923065843025</v>
      </c>
      <c r="AA318" s="137">
        <v>860.62593499369677</v>
      </c>
      <c r="AB318" s="159">
        <v>3.7661855291873638</v>
      </c>
      <c r="AC318" s="160">
        <v>0.17745904365349516</v>
      </c>
      <c r="AD318" s="137">
        <v>20.178484072767723</v>
      </c>
      <c r="AE318" s="137">
        <v>899.30808896119254</v>
      </c>
      <c r="AF318" s="159">
        <v>903.07427449037993</v>
      </c>
      <c r="AG318" s="177">
        <v>19.567827426792739</v>
      </c>
      <c r="AH318" s="160">
        <v>65.737038455302425</v>
      </c>
      <c r="AI318" s="137">
        <v>56.466900877471907</v>
      </c>
      <c r="AJ318" s="159">
        <v>63.998122379091988</v>
      </c>
      <c r="AK318" s="177">
        <v>50.144300399695581</v>
      </c>
      <c r="AL318" s="160">
        <v>1383.1160416975906</v>
      </c>
      <c r="AM318" s="137">
        <v>1444.1914077970966</v>
      </c>
      <c r="AN318" s="137">
        <v>1588.5562620635317</v>
      </c>
      <c r="AO318" s="137">
        <v>1384.0740515020084</v>
      </c>
      <c r="AP318" s="137">
        <v>1521.1656224878243</v>
      </c>
      <c r="AQ318" s="137">
        <v>2303.9706623226443</v>
      </c>
      <c r="AR318" s="160">
        <v>175.34070106223589</v>
      </c>
      <c r="AS318" s="137">
        <v>172.58735087085466</v>
      </c>
      <c r="AT318" s="137">
        <v>219.29078130423818</v>
      </c>
      <c r="AU318" s="137">
        <v>170.36926727678966</v>
      </c>
      <c r="AV318" s="137">
        <v>171.1708333955882</v>
      </c>
      <c r="AW318" s="159">
        <v>276.95145948144915</v>
      </c>
      <c r="AX318" s="160">
        <v>84.288329097796506</v>
      </c>
      <c r="AY318" s="137">
        <v>76.723027691487147</v>
      </c>
      <c r="AZ318" s="137">
        <v>116.06390981787679</v>
      </c>
      <c r="BA318" s="137">
        <v>78.869883450854218</v>
      </c>
      <c r="BB318" s="137">
        <v>69.396750459088977</v>
      </c>
      <c r="BC318" s="137">
        <v>124.13752113835727</v>
      </c>
      <c r="BD318" s="160">
        <v>618.30645653440706</v>
      </c>
      <c r="BE318" s="137">
        <v>376.55004539822119</v>
      </c>
      <c r="BF318" s="137">
        <v>438.91816882143195</v>
      </c>
      <c r="BG318" s="137">
        <v>443.87906191878039</v>
      </c>
      <c r="BH318" s="137">
        <v>801.37861573597729</v>
      </c>
      <c r="BI318" s="137">
        <v>1223.2093909234748</v>
      </c>
      <c r="BJ318" s="160">
        <v>1335.1365066944218</v>
      </c>
      <c r="BK318" s="137">
        <v>1393.6762421808082</v>
      </c>
      <c r="BL318" s="137">
        <v>1534.1614430501204</v>
      </c>
      <c r="BM318" s="137">
        <v>1335.858966114014</v>
      </c>
      <c r="BN318" s="137">
        <v>1467.5363422250953</v>
      </c>
      <c r="BO318" s="137">
        <v>2223.4462174837117</v>
      </c>
      <c r="BP318" s="160">
        <v>172.93212840507681</v>
      </c>
      <c r="BQ318" s="137">
        <v>170.05148955691698</v>
      </c>
      <c r="BR318" s="137">
        <v>216.56016138976494</v>
      </c>
      <c r="BS318" s="137">
        <v>167.94886999031235</v>
      </c>
      <c r="BT318" s="137">
        <v>168.4786435263992</v>
      </c>
      <c r="BU318" s="137">
        <v>272.90913235053478</v>
      </c>
      <c r="BV318" s="160">
        <v>84.288329097796506</v>
      </c>
      <c r="BW318" s="137">
        <v>76.723027691487147</v>
      </c>
      <c r="BX318" s="137">
        <v>116.06390981787679</v>
      </c>
      <c r="BY318" s="137">
        <v>78.869883450854218</v>
      </c>
      <c r="BZ318" s="137">
        <v>69.396750459088977</v>
      </c>
      <c r="CA318" s="159">
        <v>124.13752113835727</v>
      </c>
      <c r="CB318" s="160">
        <v>598.86491960894568</v>
      </c>
      <c r="CC318" s="137">
        <v>365.7074005394125</v>
      </c>
      <c r="CD318" s="137">
        <v>427.24278980354313</v>
      </c>
      <c r="CE318" s="137">
        <v>430.55085014877221</v>
      </c>
      <c r="CF318" s="137">
        <v>774.33873262750933</v>
      </c>
      <c r="CG318" s="159">
        <v>1182.608965835685</v>
      </c>
    </row>
    <row r="319" spans="1:85" ht="14.4">
      <c r="A319" s="170" t="s">
        <v>378</v>
      </c>
      <c r="B319" s="160">
        <v>4.3809203193679409E-3</v>
      </c>
      <c r="C319" s="137">
        <v>8.1824689674265844E-2</v>
      </c>
      <c r="D319" s="137">
        <v>0.15017290698219493</v>
      </c>
      <c r="E319" s="137">
        <v>0.11873272702054756</v>
      </c>
      <c r="F319" s="137">
        <v>1.062284869153957</v>
      </c>
      <c r="G319" s="137">
        <v>3.0084484126074162</v>
      </c>
      <c r="H319" s="159">
        <v>2.4152352620197163E-2</v>
      </c>
      <c r="I319" s="160">
        <v>4.3809203193679409E-3</v>
      </c>
      <c r="J319" s="137">
        <v>9.1611665667733821E-2</v>
      </c>
      <c r="K319" s="137">
        <v>0.16264538713143545</v>
      </c>
      <c r="L319" s="137">
        <v>0.12996987525813272</v>
      </c>
      <c r="M319" s="137">
        <v>3.2576006634772567</v>
      </c>
      <c r="N319" s="159">
        <v>3.2817530160974537</v>
      </c>
      <c r="O319" s="160">
        <v>4.3543399010805587E-3</v>
      </c>
      <c r="P319" s="137">
        <v>0.17234524394730499</v>
      </c>
      <c r="Q319" s="137">
        <v>1.0578371982286856</v>
      </c>
      <c r="R319" s="137">
        <v>5.0088304741590752</v>
      </c>
      <c r="S319" s="159">
        <v>2.3202044968626247E-2</v>
      </c>
      <c r="T319" s="160">
        <v>4.3543399010805587E-3</v>
      </c>
      <c r="U319" s="137">
        <v>0.18474204964568133</v>
      </c>
      <c r="V319" s="137">
        <v>5.3629809833298463</v>
      </c>
      <c r="W319" s="159">
        <v>5.3861830282984728</v>
      </c>
      <c r="X319" s="160">
        <v>4.375933832897228E-3</v>
      </c>
      <c r="Y319" s="137">
        <v>0.12879043519600725</v>
      </c>
      <c r="Z319" s="137">
        <v>1.0614504860883762</v>
      </c>
      <c r="AA319" s="137">
        <v>3.3837200873545075</v>
      </c>
      <c r="AB319" s="159">
        <v>2.3974074904762457E-2</v>
      </c>
      <c r="AC319" s="160">
        <v>4.375933832897228E-3</v>
      </c>
      <c r="AD319" s="137">
        <v>0.14024627748031007</v>
      </c>
      <c r="AE319" s="137">
        <v>3.6525722012842619</v>
      </c>
      <c r="AF319" s="159">
        <v>3.6765462761890242</v>
      </c>
      <c r="AG319" s="177">
        <v>0.100607860042979</v>
      </c>
      <c r="AH319" s="160">
        <v>0.26070377831708558</v>
      </c>
      <c r="AI319" s="137">
        <v>0.36634616492957672</v>
      </c>
      <c r="AJ319" s="159">
        <v>0.28052239997368239</v>
      </c>
      <c r="AK319" s="177">
        <v>0.30187904326260323</v>
      </c>
      <c r="AL319" s="160">
        <v>4.9248840333857737</v>
      </c>
      <c r="AM319" s="137">
        <v>5.1341087361485833</v>
      </c>
      <c r="AN319" s="137">
        <v>5.6781888389543083</v>
      </c>
      <c r="AO319" s="137">
        <v>4.9251406762381018</v>
      </c>
      <c r="AP319" s="137">
        <v>5.3959554576886051</v>
      </c>
      <c r="AQ319" s="137">
        <v>8.1902032089268495</v>
      </c>
      <c r="AR319" s="160">
        <v>0.74042873413618615</v>
      </c>
      <c r="AS319" s="137">
        <v>0.72851263269347322</v>
      </c>
      <c r="AT319" s="137">
        <v>0.93423522086779665</v>
      </c>
      <c r="AU319" s="137">
        <v>0.72014224217160816</v>
      </c>
      <c r="AV319" s="137">
        <v>0.71876702775703927</v>
      </c>
      <c r="AW319" s="159">
        <v>1.167397758579154</v>
      </c>
      <c r="AX319" s="160">
        <v>0.37932793078919086</v>
      </c>
      <c r="AY319" s="137">
        <v>0.34832831277366738</v>
      </c>
      <c r="AZ319" s="137">
        <v>0.52485207777647713</v>
      </c>
      <c r="BA319" s="137">
        <v>0.35726865313205669</v>
      </c>
      <c r="BB319" s="137">
        <v>0.31514543816652735</v>
      </c>
      <c r="BC319" s="137">
        <v>0.56135933577057762</v>
      </c>
      <c r="BD319" s="160">
        <v>2.260936952142794</v>
      </c>
      <c r="BE319" s="137">
        <v>1.4080064825081784</v>
      </c>
      <c r="BF319" s="137">
        <v>1.6659153911784541</v>
      </c>
      <c r="BG319" s="137">
        <v>1.6416142383558159</v>
      </c>
      <c r="BH319" s="137">
        <v>2.876889850009559</v>
      </c>
      <c r="BI319" s="137">
        <v>4.4078224166159696</v>
      </c>
      <c r="BJ319" s="160">
        <v>5.471712177938608</v>
      </c>
      <c r="BK319" s="137">
        <v>5.7098357473401204</v>
      </c>
      <c r="BL319" s="137">
        <v>6.2981326952761014</v>
      </c>
      <c r="BM319" s="137">
        <v>5.4746534149595592</v>
      </c>
      <c r="BN319" s="137">
        <v>6.0071743829623747</v>
      </c>
      <c r="BO319" s="137">
        <v>9.1079493429715495</v>
      </c>
      <c r="BP319" s="160">
        <v>0.76787950699273833</v>
      </c>
      <c r="BQ319" s="137">
        <v>0.75741412865528845</v>
      </c>
      <c r="BR319" s="137">
        <v>0.96535640245515064</v>
      </c>
      <c r="BS319" s="137">
        <v>0.74772778165542519</v>
      </c>
      <c r="BT319" s="137">
        <v>0.74945021780578247</v>
      </c>
      <c r="BU319" s="137">
        <v>1.2134686145081977</v>
      </c>
      <c r="BV319" s="160">
        <v>0.37932793078919086</v>
      </c>
      <c r="BW319" s="137">
        <v>0.34832831277366738</v>
      </c>
      <c r="BX319" s="137">
        <v>0.52485207777647713</v>
      </c>
      <c r="BY319" s="137">
        <v>0.35726865313205669</v>
      </c>
      <c r="BZ319" s="137">
        <v>0.31514543816652735</v>
      </c>
      <c r="CA319" s="159">
        <v>0.56135933577057762</v>
      </c>
      <c r="CB319" s="160">
        <v>2.4825143301541339</v>
      </c>
      <c r="CC319" s="137">
        <v>1.5315813226936053</v>
      </c>
      <c r="CD319" s="137">
        <v>1.7989809960218852</v>
      </c>
      <c r="CE319" s="137">
        <v>1.7935173635511612</v>
      </c>
      <c r="CF319" s="137">
        <v>3.1850664321325937</v>
      </c>
      <c r="CG319" s="159">
        <v>4.8705500174013068</v>
      </c>
    </row>
    <row r="320" spans="1:85" ht="14.4">
      <c r="A320" s="171" t="s">
        <v>379</v>
      </c>
      <c r="B320" s="165">
        <v>8.3543733890772513E-3</v>
      </c>
      <c r="C320" s="163">
        <v>0.42224999709758315</v>
      </c>
      <c r="D320" s="163">
        <v>0.58756518934850566</v>
      </c>
      <c r="E320" s="163">
        <v>0.51152020091308126</v>
      </c>
      <c r="F320" s="163">
        <v>1.8528202175483717</v>
      </c>
      <c r="G320" s="163">
        <v>7.0973140739045615</v>
      </c>
      <c r="H320" s="164">
        <v>0.11173038087221789</v>
      </c>
      <c r="I320" s="165">
        <v>8.3543733890772513E-3</v>
      </c>
      <c r="J320" s="163">
        <v>0.44091366724878173</v>
      </c>
      <c r="K320" s="163">
        <v>0.61135009038720856</v>
      </c>
      <c r="L320" s="163">
        <v>0.5329493357435322</v>
      </c>
      <c r="M320" s="163">
        <v>8.1189779505249131</v>
      </c>
      <c r="N320" s="164">
        <v>8.2307083313971319</v>
      </c>
      <c r="O320" s="165">
        <v>9.0348459934581071E-3</v>
      </c>
      <c r="P320" s="163">
        <v>0.94086042847030926</v>
      </c>
      <c r="Q320" s="163">
        <v>1.9666829184745303</v>
      </c>
      <c r="R320" s="163">
        <v>36.509199998979597</v>
      </c>
      <c r="S320" s="164">
        <v>0.13605875357260147</v>
      </c>
      <c r="T320" s="165">
        <v>9.0348459934581071E-3</v>
      </c>
      <c r="U320" s="163">
        <v>0.96658263501368447</v>
      </c>
      <c r="V320" s="163">
        <v>38.362138910300828</v>
      </c>
      <c r="W320" s="164">
        <v>38.498197663873427</v>
      </c>
      <c r="X320" s="165">
        <v>8.4820300496590995E-3</v>
      </c>
      <c r="Y320" s="163">
        <v>0.5920644276028173</v>
      </c>
      <c r="Z320" s="163">
        <v>1.8741808602421191</v>
      </c>
      <c r="AA320" s="163">
        <v>12.614983873448638</v>
      </c>
      <c r="AB320" s="164">
        <v>0.11629438359080985</v>
      </c>
      <c r="AC320" s="165">
        <v>8.4820300496590995E-3</v>
      </c>
      <c r="AD320" s="163">
        <v>0.61426969902834028</v>
      </c>
      <c r="AE320" s="163">
        <v>13.792538886485966</v>
      </c>
      <c r="AF320" s="164">
        <v>13.908833270076777</v>
      </c>
      <c r="AG320" s="181">
        <v>0.46907389854871107</v>
      </c>
      <c r="AH320" s="165">
        <v>0.86058424267189659</v>
      </c>
      <c r="AI320" s="163">
        <v>2.3800122071622067</v>
      </c>
      <c r="AJ320" s="164">
        <v>1.1456261145936146</v>
      </c>
      <c r="AK320" s="181">
        <v>1.4358204571378761</v>
      </c>
      <c r="AL320" s="165">
        <v>13.43330004428255</v>
      </c>
      <c r="AM320" s="163">
        <v>13.93131422108398</v>
      </c>
      <c r="AN320" s="163">
        <v>15.887711093367711</v>
      </c>
      <c r="AO320" s="163">
        <v>13.40581586131559</v>
      </c>
      <c r="AP320" s="163">
        <v>14.508961902131892</v>
      </c>
      <c r="AQ320" s="163">
        <v>22.309573428792053</v>
      </c>
      <c r="AR320" s="165">
        <v>3.2249411689892273</v>
      </c>
      <c r="AS320" s="163">
        <v>3.1834622624959694</v>
      </c>
      <c r="AT320" s="163">
        <v>4.3144052368424735</v>
      </c>
      <c r="AU320" s="163">
        <v>3.147340142218936</v>
      </c>
      <c r="AV320" s="163">
        <v>3.0985357879674824</v>
      </c>
      <c r="AW320" s="164">
        <v>5.1768014856022502</v>
      </c>
      <c r="AX320" s="165">
        <v>2.0329459344643834</v>
      </c>
      <c r="AY320" s="163">
        <v>1.9284722614075429</v>
      </c>
      <c r="AZ320" s="163">
        <v>2.9630298005747941</v>
      </c>
      <c r="BA320" s="163">
        <v>1.9494929348439229</v>
      </c>
      <c r="BB320" s="163">
        <v>1.7661792634628519</v>
      </c>
      <c r="BC320" s="163">
        <v>3.1762661635232261</v>
      </c>
      <c r="BD320" s="165">
        <v>6.8376514837149074</v>
      </c>
      <c r="BE320" s="163">
        <v>4.6560813604742659</v>
      </c>
      <c r="BF320" s="163">
        <v>5.9001240666822312</v>
      </c>
      <c r="BG320" s="163">
        <v>5.2172756236110231</v>
      </c>
      <c r="BH320" s="163">
        <v>8.1910902698797816</v>
      </c>
      <c r="BI320" s="163">
        <v>12.823279686671768</v>
      </c>
      <c r="BJ320" s="165">
        <v>21.298070896847726</v>
      </c>
      <c r="BK320" s="163">
        <v>22.211723819160504</v>
      </c>
      <c r="BL320" s="163">
        <v>24.804070684576356</v>
      </c>
      <c r="BM320" s="163">
        <v>21.309197963463788</v>
      </c>
      <c r="BN320" s="163">
        <v>23.299834932195719</v>
      </c>
      <c r="BO320" s="163">
        <v>35.509082482941949</v>
      </c>
      <c r="BP320" s="165">
        <v>3.619752665787999</v>
      </c>
      <c r="BQ320" s="163">
        <v>3.5991388243194109</v>
      </c>
      <c r="BR320" s="163">
        <v>4.7620064883211475</v>
      </c>
      <c r="BS320" s="163">
        <v>3.5440899237467751</v>
      </c>
      <c r="BT320" s="163">
        <v>3.5398376140766858</v>
      </c>
      <c r="BU320" s="163">
        <v>5.8394168401205739</v>
      </c>
      <c r="BV320" s="165">
        <v>2.0329459344643834</v>
      </c>
      <c r="BW320" s="163">
        <v>1.9284722614075429</v>
      </c>
      <c r="BX320" s="163">
        <v>2.9630298005747941</v>
      </c>
      <c r="BY320" s="163">
        <v>1.9494929348439229</v>
      </c>
      <c r="BZ320" s="163">
        <v>1.7661792634628519</v>
      </c>
      <c r="CA320" s="164">
        <v>3.1762661635232261</v>
      </c>
      <c r="CB320" s="165">
        <v>10.024494226778993</v>
      </c>
      <c r="CC320" s="163">
        <v>6.4333999035706562</v>
      </c>
      <c r="CD320" s="163">
        <v>7.8139437939154917</v>
      </c>
      <c r="CE320" s="163">
        <v>7.4020265062248942</v>
      </c>
      <c r="CF320" s="163">
        <v>12.623448451637962</v>
      </c>
      <c r="CG320" s="164">
        <v>19.478472151774142</v>
      </c>
    </row>
    <row r="323" ht="12.75" customHeight="1"/>
    <row r="324" ht="38.25" customHeight="1"/>
    <row r="362" ht="38.25" customHeight="1"/>
  </sheetData>
  <mergeCells count="94">
    <mergeCell ref="BP287:BU287"/>
    <mergeCell ref="BV287:CA287"/>
    <mergeCell ref="CB287:CG287"/>
    <mergeCell ref="AK287:AK288"/>
    <mergeCell ref="AL287:AQ287"/>
    <mergeCell ref="AR287:AW287"/>
    <mergeCell ref="AX287:BC287"/>
    <mergeCell ref="BD287:BI287"/>
    <mergeCell ref="BJ287:BO287"/>
    <mergeCell ref="AH287:AJ287"/>
    <mergeCell ref="AS249:AT249"/>
    <mergeCell ref="AU249:AV249"/>
    <mergeCell ref="A286:A288"/>
    <mergeCell ref="B286:N286"/>
    <mergeCell ref="O286:W286"/>
    <mergeCell ref="X286:AF286"/>
    <mergeCell ref="AG286:AK286"/>
    <mergeCell ref="AL286:CG286"/>
    <mergeCell ref="B287:H287"/>
    <mergeCell ref="I287:N287"/>
    <mergeCell ref="O287:S287"/>
    <mergeCell ref="T287:W287"/>
    <mergeCell ref="X287:AB287"/>
    <mergeCell ref="AC287:AF287"/>
    <mergeCell ref="AG287:AG288"/>
    <mergeCell ref="DJ195:DK195"/>
    <mergeCell ref="DL195:DM195"/>
    <mergeCell ref="DN195:DO195"/>
    <mergeCell ref="DP195:DQ195"/>
    <mergeCell ref="AG249:AH249"/>
    <mergeCell ref="AI249:AJ249"/>
    <mergeCell ref="AK249:AL249"/>
    <mergeCell ref="AM249:AN249"/>
    <mergeCell ref="AO249:AP249"/>
    <mergeCell ref="AQ249:AR249"/>
    <mergeCell ref="CX195:CY195"/>
    <mergeCell ref="CZ195:DA195"/>
    <mergeCell ref="DB195:DC195"/>
    <mergeCell ref="DD195:DE195"/>
    <mergeCell ref="DF195:DG195"/>
    <mergeCell ref="DH195:DI195"/>
    <mergeCell ref="AP195:AQ195"/>
    <mergeCell ref="AR195:AS195"/>
    <mergeCell ref="AT195:AU195"/>
    <mergeCell ref="CV195:CW195"/>
    <mergeCell ref="AX195:AY195"/>
    <mergeCell ref="AZ195:BA195"/>
    <mergeCell ref="BB195:BC195"/>
    <mergeCell ref="BD195:BE195"/>
    <mergeCell ref="BF195:BG195"/>
    <mergeCell ref="BH195:BI195"/>
    <mergeCell ref="BJ195:BK195"/>
    <mergeCell ref="BL195:BM195"/>
    <mergeCell ref="BN195:BO195"/>
    <mergeCell ref="CR195:CS195"/>
    <mergeCell ref="CT195:CU195"/>
    <mergeCell ref="CR194:DC194"/>
    <mergeCell ref="DD194:DO194"/>
    <mergeCell ref="B195:C195"/>
    <mergeCell ref="D195:E195"/>
    <mergeCell ref="F195:G195"/>
    <mergeCell ref="H195:I195"/>
    <mergeCell ref="J195:K195"/>
    <mergeCell ref="L195:M195"/>
    <mergeCell ref="N195:O195"/>
    <mergeCell ref="P195:Q195"/>
    <mergeCell ref="AP194:BC194"/>
    <mergeCell ref="AV195:AW195"/>
    <mergeCell ref="Z195:AA195"/>
    <mergeCell ref="AB195:AC195"/>
    <mergeCell ref="AD195:AE195"/>
    <mergeCell ref="AF195:AG195"/>
    <mergeCell ref="A194:A196"/>
    <mergeCell ref="B194:M194"/>
    <mergeCell ref="N194:W194"/>
    <mergeCell ref="X194:AC194"/>
    <mergeCell ref="AD194:AO194"/>
    <mergeCell ref="R195:S195"/>
    <mergeCell ref="T195:U195"/>
    <mergeCell ref="V195:W195"/>
    <mergeCell ref="X195:Y195"/>
    <mergeCell ref="AH195:AI195"/>
    <mergeCell ref="AJ195:AK195"/>
    <mergeCell ref="AL195:AM195"/>
    <mergeCell ref="AN195:AO195"/>
    <mergeCell ref="B5:G5"/>
    <mergeCell ref="H5:J5"/>
    <mergeCell ref="K5:P5"/>
    <mergeCell ref="Q5:V5"/>
    <mergeCell ref="A53:A54"/>
    <mergeCell ref="B53:G53"/>
    <mergeCell ref="H53:J53"/>
    <mergeCell ref="K53:O53"/>
    <mergeCell ref="P53:W53"/>
  </mergeCells>
  <pageMargins left="0.511811024" right="0.511811024" top="0.78740157499999996" bottom="0.78740157499999996" header="0.31496062000000002" footer="0.3149606200000000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C8F95-C89A-45E1-8B14-6CF5AD7BF124}">
  <dimension ref="A1:BF465"/>
  <sheetViews>
    <sheetView topLeftCell="A245" workbookViewId="0">
      <pane xSplit="1" topLeftCell="AV1" activePane="topRight" state="frozen"/>
      <selection activeCell="A237" sqref="A237"/>
      <selection pane="topRight" activeCell="AX268" sqref="AX268"/>
    </sheetView>
  </sheetViews>
  <sheetFormatPr defaultColWidth="9.109375" defaultRowHeight="14.4"/>
  <cols>
    <col min="1" max="1" width="39.44140625" customWidth="1"/>
    <col min="2" max="2" width="13.5546875" customWidth="1"/>
    <col min="3" max="3" width="15" customWidth="1"/>
    <col min="4" max="4" width="11.44140625" customWidth="1"/>
    <col min="5" max="5" width="15.33203125" customWidth="1"/>
    <col min="6" max="6" width="10.44140625" customWidth="1"/>
    <col min="7" max="7" width="12.6640625" customWidth="1"/>
    <col min="8" max="9" width="10.44140625" customWidth="1"/>
    <col min="10" max="11" width="13" customWidth="1"/>
    <col min="12" max="12" width="13.33203125" customWidth="1"/>
    <col min="13" max="13" width="12.44140625" customWidth="1"/>
    <col min="14" max="15" width="10.44140625" customWidth="1"/>
    <col min="16" max="16" width="11.6640625" customWidth="1"/>
    <col min="17" max="17" width="13" customWidth="1"/>
    <col min="18" max="18" width="13.109375" customWidth="1"/>
    <col min="19" max="20" width="10.44140625" customWidth="1"/>
    <col min="21" max="21" width="12" customWidth="1"/>
    <col min="22" max="22" width="12.44140625" customWidth="1"/>
    <col min="23" max="25" width="10.44140625" customWidth="1"/>
    <col min="26" max="26" width="9.5546875" customWidth="1"/>
    <col min="27" max="28" width="10.5546875" customWidth="1"/>
    <col min="29" max="30" width="9.5546875" customWidth="1"/>
    <col min="31" max="31" width="10.5546875" customWidth="1"/>
    <col min="32" max="32" width="10.6640625" customWidth="1"/>
    <col min="33" max="33" width="10.33203125" customWidth="1"/>
    <col min="34" max="34" width="10.6640625" customWidth="1"/>
    <col min="35" max="35" width="10.33203125" customWidth="1"/>
    <col min="36" max="36" width="9.6640625" customWidth="1"/>
    <col min="37" max="37" width="10.6640625" customWidth="1"/>
    <col min="38" max="39" width="12.6640625" customWidth="1"/>
    <col min="40" max="40" width="11.6640625" customWidth="1"/>
    <col min="41" max="41" width="10.33203125" customWidth="1"/>
    <col min="42" max="42" width="10.5546875" customWidth="1"/>
    <col min="43" max="43" width="10.33203125" customWidth="1"/>
    <col min="44" max="44" width="10.109375" customWidth="1"/>
    <col min="45" max="47" width="10.33203125" customWidth="1"/>
    <col min="48" max="49" width="9.5546875" customWidth="1"/>
    <col min="50" max="50" width="11.6640625" customWidth="1"/>
    <col min="51" max="52" width="12.6640625" customWidth="1"/>
    <col min="53" max="53" width="11.6640625" customWidth="1"/>
    <col min="54" max="54" width="9.44140625" customWidth="1"/>
    <col min="55" max="55" width="11.44140625" customWidth="1"/>
    <col min="56" max="58" width="9.44140625" customWidth="1"/>
  </cols>
  <sheetData>
    <row r="1" spans="1:12" ht="15.6">
      <c r="A1" s="142" t="s">
        <v>422</v>
      </c>
    </row>
    <row r="2" spans="1:12">
      <c r="A2" s="143"/>
    </row>
    <row r="3" spans="1:12">
      <c r="A3" s="144" t="s">
        <v>177</v>
      </c>
    </row>
    <row r="5" spans="1:12">
      <c r="A5" s="143" t="s">
        <v>423</v>
      </c>
    </row>
    <row r="6" spans="1:12" ht="52.8" customHeight="1">
      <c r="A6" s="145"/>
      <c r="B6" s="1232" t="s">
        <v>179</v>
      </c>
      <c r="C6" s="1233"/>
      <c r="D6" s="1233"/>
      <c r="E6" s="1233"/>
      <c r="F6" s="1233"/>
      <c r="G6" s="1234"/>
      <c r="H6" s="1232" t="s">
        <v>180</v>
      </c>
      <c r="I6" s="1233"/>
      <c r="J6" s="1234"/>
      <c r="K6" s="168" t="s">
        <v>424</v>
      </c>
      <c r="L6" s="152"/>
    </row>
    <row r="7" spans="1:12" ht="43.2">
      <c r="A7" s="260"/>
      <c r="B7" s="147" t="s">
        <v>182</v>
      </c>
      <c r="C7" s="148" t="s">
        <v>183</v>
      </c>
      <c r="D7" s="148" t="s">
        <v>184</v>
      </c>
      <c r="E7" s="148" t="s">
        <v>185</v>
      </c>
      <c r="F7" s="148" t="s">
        <v>186</v>
      </c>
      <c r="G7" s="149" t="s">
        <v>187</v>
      </c>
      <c r="H7" s="147" t="s">
        <v>188</v>
      </c>
      <c r="I7" s="148" t="s">
        <v>189</v>
      </c>
      <c r="J7" s="148" t="s">
        <v>190</v>
      </c>
      <c r="K7" s="168" t="s">
        <v>425</v>
      </c>
      <c r="L7" s="152"/>
    </row>
    <row r="8" spans="1:12">
      <c r="A8" s="153" t="s">
        <v>197</v>
      </c>
      <c r="B8" s="156">
        <v>1.1000000000000001</v>
      </c>
      <c r="C8" s="154"/>
      <c r="D8" s="154"/>
      <c r="E8" s="154"/>
      <c r="F8" s="154"/>
      <c r="G8" s="155"/>
      <c r="H8" s="156"/>
      <c r="I8" s="154"/>
      <c r="J8" s="154"/>
      <c r="K8" s="261"/>
      <c r="L8" s="138"/>
    </row>
    <row r="9" spans="1:12">
      <c r="A9" s="158" t="s">
        <v>198</v>
      </c>
      <c r="B9" s="160"/>
      <c r="C9" s="137">
        <v>2.234</v>
      </c>
      <c r="D9" s="137">
        <v>2.847</v>
      </c>
      <c r="E9" s="137"/>
      <c r="F9" s="137"/>
      <c r="G9" s="159"/>
      <c r="H9" s="160"/>
      <c r="I9" s="137"/>
      <c r="J9" s="137"/>
      <c r="K9" s="262"/>
      <c r="L9" s="138"/>
    </row>
    <row r="10" spans="1:12">
      <c r="A10" s="158" t="s">
        <v>5</v>
      </c>
      <c r="B10" s="160"/>
      <c r="C10" s="137"/>
      <c r="D10" s="137"/>
      <c r="E10" s="137"/>
      <c r="F10" s="137">
        <v>1.917</v>
      </c>
      <c r="G10" s="159"/>
      <c r="H10" s="160"/>
      <c r="I10" s="137"/>
      <c r="J10" s="137"/>
      <c r="K10" s="262"/>
      <c r="L10" s="138"/>
    </row>
    <row r="11" spans="1:12">
      <c r="A11" s="158" t="s">
        <v>199</v>
      </c>
      <c r="B11" s="160"/>
      <c r="C11" s="137"/>
      <c r="D11" s="137"/>
      <c r="E11" s="137"/>
      <c r="F11" s="137"/>
      <c r="G11" s="159">
        <v>1</v>
      </c>
      <c r="H11" s="160"/>
      <c r="I11" s="137"/>
      <c r="J11" s="137"/>
      <c r="K11" s="262"/>
      <c r="L11" s="138"/>
    </row>
    <row r="12" spans="1:12">
      <c r="A12" s="158" t="s">
        <v>200</v>
      </c>
      <c r="B12" s="160"/>
      <c r="C12" s="137"/>
      <c r="D12" s="137"/>
      <c r="E12" s="137"/>
      <c r="F12" s="137"/>
      <c r="G12" s="159"/>
      <c r="H12" s="160"/>
      <c r="I12" s="137">
        <v>5.0200000000000002E-2</v>
      </c>
      <c r="J12" s="137"/>
      <c r="K12" s="262"/>
      <c r="L12" s="138"/>
    </row>
    <row r="13" spans="1:12">
      <c r="A13" s="158" t="s">
        <v>201</v>
      </c>
      <c r="B13" s="160"/>
      <c r="C13" s="137"/>
      <c r="D13" s="137"/>
      <c r="E13" s="137"/>
      <c r="F13" s="137"/>
      <c r="G13" s="159"/>
      <c r="H13" s="160"/>
      <c r="I13" s="137"/>
      <c r="J13" s="137"/>
      <c r="K13" s="262">
        <v>1.0449999999999999</v>
      </c>
      <c r="L13" s="138"/>
    </row>
    <row r="14" spans="1:12">
      <c r="A14" s="158" t="s">
        <v>202</v>
      </c>
      <c r="B14" s="160"/>
      <c r="C14" s="137"/>
      <c r="D14" s="137"/>
      <c r="E14" s="137"/>
      <c r="F14" s="137"/>
      <c r="G14" s="159"/>
      <c r="H14" s="160"/>
      <c r="I14" s="137"/>
      <c r="J14" s="137"/>
      <c r="K14" s="262"/>
      <c r="L14" s="138"/>
    </row>
    <row r="15" spans="1:12">
      <c r="A15" s="162" t="s">
        <v>203</v>
      </c>
      <c r="B15" s="165"/>
      <c r="C15" s="163"/>
      <c r="D15" s="163"/>
      <c r="E15" s="163"/>
      <c r="F15" s="163"/>
      <c r="G15" s="164"/>
      <c r="H15" s="165">
        <v>1.004</v>
      </c>
      <c r="I15" s="163">
        <v>0.95379999999999998</v>
      </c>
      <c r="J15" s="163"/>
      <c r="K15" s="263"/>
      <c r="L15" s="138"/>
    </row>
    <row r="16" spans="1:12">
      <c r="A16" s="138"/>
      <c r="B16" s="138"/>
      <c r="C16" s="138"/>
      <c r="D16" s="138"/>
      <c r="E16" s="138"/>
      <c r="F16" s="138"/>
      <c r="G16" s="138"/>
      <c r="H16" s="138"/>
      <c r="I16" s="138"/>
    </row>
    <row r="17" spans="1:10">
      <c r="A17" s="143" t="s">
        <v>426</v>
      </c>
      <c r="B17" s="49"/>
    </row>
    <row r="18" spans="1:10">
      <c r="A18" s="170"/>
      <c r="B18" s="50" t="s">
        <v>447</v>
      </c>
      <c r="C18" s="168" t="s">
        <v>206</v>
      </c>
      <c r="D18" s="168" t="s">
        <v>207</v>
      </c>
      <c r="E18" s="168" t="s">
        <v>208</v>
      </c>
      <c r="F18" s="168" t="s">
        <v>209</v>
      </c>
      <c r="G18" s="168" t="s">
        <v>210</v>
      </c>
      <c r="H18" s="168" t="s">
        <v>211</v>
      </c>
      <c r="I18" s="168" t="s">
        <v>16</v>
      </c>
      <c r="J18" s="168" t="s">
        <v>212</v>
      </c>
    </row>
    <row r="19" spans="1:10">
      <c r="A19" s="169" t="s">
        <v>213</v>
      </c>
      <c r="B19" s="51">
        <v>0</v>
      </c>
      <c r="C19" s="51">
        <v>1.931766616957659E-2</v>
      </c>
      <c r="D19" s="51">
        <v>5.9803247316329278E-5</v>
      </c>
      <c r="E19" s="51">
        <v>5.8069408833194905E-3</v>
      </c>
      <c r="F19" s="51">
        <v>2.8557019295519688E-2</v>
      </c>
      <c r="G19" s="51">
        <v>4.6368811454200451E-2</v>
      </c>
      <c r="H19" s="51">
        <v>0.1659680392640342</v>
      </c>
      <c r="I19" s="51">
        <v>7.5353458299014754E-3</v>
      </c>
      <c r="J19" s="51">
        <v>2.7627782529260445E-2</v>
      </c>
    </row>
    <row r="20" spans="1:10">
      <c r="A20" s="170" t="s">
        <v>214</v>
      </c>
      <c r="B20" s="51">
        <v>2.7E-2</v>
      </c>
      <c r="C20" s="51">
        <v>0.52965971691242431</v>
      </c>
      <c r="D20" s="51">
        <v>0.99994019675268364</v>
      </c>
      <c r="E20" s="51">
        <v>0.96689176988913361</v>
      </c>
      <c r="F20" s="51">
        <v>6.8156707955211282E-2</v>
      </c>
      <c r="G20" s="51">
        <v>0.60887355528721754</v>
      </c>
      <c r="H20" s="51">
        <v>0.25007338523136896</v>
      </c>
      <c r="I20" s="51">
        <v>0.42832991529530556</v>
      </c>
      <c r="J20" s="51">
        <v>0.23465332110150092</v>
      </c>
    </row>
    <row r="21" spans="1:10">
      <c r="A21" s="170" t="s">
        <v>85</v>
      </c>
      <c r="B21" s="51">
        <v>0.16900000000000001</v>
      </c>
      <c r="C21" s="51">
        <v>0.12150251536328696</v>
      </c>
      <c r="D21" s="51">
        <v>0</v>
      </c>
      <c r="E21" s="51">
        <v>0</v>
      </c>
      <c r="F21" s="51">
        <v>2.0649616800715972E-2</v>
      </c>
      <c r="G21" s="51">
        <v>1.3613938243919269E-2</v>
      </c>
      <c r="H21" s="51">
        <v>0</v>
      </c>
      <c r="I21" s="51">
        <v>0.16196801600857919</v>
      </c>
      <c r="J21" s="51">
        <v>0.36660177287617046</v>
      </c>
    </row>
    <row r="22" spans="1:10">
      <c r="A22" s="170" t="s">
        <v>215</v>
      </c>
      <c r="B22" s="51">
        <v>0</v>
      </c>
      <c r="C22" s="51">
        <v>6.5140791628130398E-3</v>
      </c>
      <c r="D22" s="51">
        <v>0</v>
      </c>
      <c r="E22" s="51">
        <v>0</v>
      </c>
      <c r="F22" s="51">
        <v>9.1639871382636656E-2</v>
      </c>
      <c r="G22" s="51">
        <v>1.5628773503536312E-2</v>
      </c>
      <c r="H22" s="51">
        <v>0</v>
      </c>
      <c r="I22" s="51">
        <v>2.7123191249822649E-3</v>
      </c>
      <c r="J22" s="51">
        <v>2.4231045559138579E-2</v>
      </c>
    </row>
    <row r="23" spans="1:10">
      <c r="A23" s="170" t="s">
        <v>216</v>
      </c>
      <c r="B23" s="51">
        <v>4.0000000000000001E-3</v>
      </c>
      <c r="C23" s="51">
        <v>0.12678362073066032</v>
      </c>
      <c r="D23" s="51">
        <v>0</v>
      </c>
      <c r="E23" s="51">
        <v>0</v>
      </c>
      <c r="F23" s="51">
        <v>2.2508038585209004E-2</v>
      </c>
      <c r="G23" s="51">
        <v>7.3879592892875628E-2</v>
      </c>
      <c r="H23" s="51">
        <v>0</v>
      </c>
      <c r="I23" s="51">
        <v>0.19892244278241195</v>
      </c>
      <c r="J23" s="51">
        <v>0.10315317264077793</v>
      </c>
    </row>
    <row r="24" spans="1:10">
      <c r="A24" s="170" t="s">
        <v>29</v>
      </c>
      <c r="B24" s="51">
        <v>0.78400000000000003</v>
      </c>
      <c r="C24" s="51">
        <v>0.17307333777091985</v>
      </c>
      <c r="D24" s="51">
        <v>0</v>
      </c>
      <c r="E24" s="51">
        <v>0</v>
      </c>
      <c r="F24" s="51">
        <v>0.65916398713826363</v>
      </c>
      <c r="G24" s="51">
        <v>0.16741072968776954</v>
      </c>
      <c r="H24" s="51">
        <v>0.58281963671375059</v>
      </c>
      <c r="I24" s="51">
        <v>0.19738017980169853</v>
      </c>
      <c r="J24" s="51">
        <v>0.16007009268903968</v>
      </c>
    </row>
    <row r="25" spans="1:10">
      <c r="A25" s="171" t="s">
        <v>217</v>
      </c>
      <c r="B25" s="51">
        <v>1.6000000000000014E-2</v>
      </c>
      <c r="C25" s="51">
        <v>2.314906389031891E-2</v>
      </c>
      <c r="D25" s="51">
        <v>0</v>
      </c>
      <c r="E25" s="51">
        <v>2.7301289227546932E-2</v>
      </c>
      <c r="F25" s="51">
        <v>0.10932475884244375</v>
      </c>
      <c r="G25" s="51">
        <v>7.4224598930481278E-2</v>
      </c>
      <c r="H25" s="51">
        <v>1.1389387908462556E-3</v>
      </c>
      <c r="I25" s="51">
        <v>3.1517811571211141E-3</v>
      </c>
      <c r="J25" s="51">
        <v>8.3662812604111902E-2</v>
      </c>
    </row>
    <row r="26" spans="1:10">
      <c r="A26" s="153" t="s">
        <v>218</v>
      </c>
      <c r="B26" s="172">
        <v>1436077.4478094436</v>
      </c>
      <c r="C26" s="173">
        <v>2151462.1799386311</v>
      </c>
      <c r="D26" s="52">
        <v>2363742.9454475529</v>
      </c>
      <c r="E26" s="53">
        <v>2334233.0956183472</v>
      </c>
      <c r="F26" s="54">
        <v>1862142.0927687497</v>
      </c>
      <c r="G26" s="53">
        <v>2045933.2098193816</v>
      </c>
      <c r="H26" s="54">
        <v>1786112.6517295279</v>
      </c>
      <c r="I26" s="53">
        <v>2124799.0313647664</v>
      </c>
      <c r="J26" s="55">
        <v>2232527.5881240033</v>
      </c>
    </row>
    <row r="27" spans="1:10">
      <c r="A27" s="158" t="s">
        <v>219</v>
      </c>
      <c r="B27" s="174">
        <v>590507.38114799198</v>
      </c>
      <c r="C27" s="175">
        <v>1765428.3607212291</v>
      </c>
      <c r="D27" s="56">
        <v>2362605.9605380557</v>
      </c>
      <c r="E27" s="57">
        <v>2305183.2290269937</v>
      </c>
      <c r="F27" s="58">
        <v>397652.43833790382</v>
      </c>
      <c r="G27" s="57">
        <v>1648704.0180257901</v>
      </c>
      <c r="H27" s="58">
        <v>1187296.5174997153</v>
      </c>
      <c r="I27" s="57">
        <v>1665528.919909996</v>
      </c>
      <c r="J27" s="59">
        <v>1762544.6500798315</v>
      </c>
    </row>
    <row r="28" spans="1:10">
      <c r="A28" s="158" t="s">
        <v>85</v>
      </c>
      <c r="B28" s="174">
        <v>515176.46941262169</v>
      </c>
      <c r="C28" s="175">
        <v>384988.43842608988</v>
      </c>
      <c r="D28" s="56">
        <v>1629.4144995100437</v>
      </c>
      <c r="E28" s="57">
        <v>1702.4991254574102</v>
      </c>
      <c r="F28" s="58">
        <v>73204.599433309006</v>
      </c>
      <c r="G28" s="57">
        <v>42481.084696569458</v>
      </c>
      <c r="H28" s="58">
        <v>4071.6548128151258</v>
      </c>
      <c r="I28" s="57">
        <v>523303.25488591864</v>
      </c>
      <c r="J28" s="59">
        <v>1086018.2108217727</v>
      </c>
    </row>
    <row r="29" spans="1:10">
      <c r="A29" s="158" t="s">
        <v>84</v>
      </c>
      <c r="B29" s="174">
        <v>67414.82156399083</v>
      </c>
      <c r="C29" s="175">
        <v>1307236.8102420052</v>
      </c>
      <c r="D29" s="56">
        <v>2359809.7276235181</v>
      </c>
      <c r="E29" s="57">
        <v>2283230.6969990809</v>
      </c>
      <c r="F29" s="58">
        <v>199963.55885985959</v>
      </c>
      <c r="G29" s="57">
        <v>1449011.5356290098</v>
      </c>
      <c r="H29" s="58">
        <v>630966.61656423286</v>
      </c>
      <c r="I29" s="57">
        <v>1105646.9511936267</v>
      </c>
      <c r="J29" s="59">
        <v>565084.18178654124</v>
      </c>
    </row>
    <row r="30" spans="1:10">
      <c r="A30" s="158" t="s">
        <v>213</v>
      </c>
      <c r="B30" s="174">
        <v>7916.0901713794883</v>
      </c>
      <c r="C30" s="175">
        <v>73203.112053133955</v>
      </c>
      <c r="D30" s="56">
        <v>1166.8184150274808</v>
      </c>
      <c r="E30" s="57">
        <v>20250.032902455609</v>
      </c>
      <c r="F30" s="58">
        <v>124484.28004473523</v>
      </c>
      <c r="G30" s="57">
        <v>157211.39770021068</v>
      </c>
      <c r="H30" s="58">
        <v>552258.24612266733</v>
      </c>
      <c r="I30" s="57">
        <v>36578.713830450477</v>
      </c>
      <c r="J30" s="59">
        <v>111442.25747151757</v>
      </c>
    </row>
    <row r="31" spans="1:10">
      <c r="A31" s="158" t="s">
        <v>220</v>
      </c>
      <c r="B31" s="174">
        <v>1089.8052903504799</v>
      </c>
      <c r="C31" s="175">
        <v>313.11911321049178</v>
      </c>
      <c r="D31" s="56">
        <v>55.234400950864128</v>
      </c>
      <c r="E31" s="57">
        <v>54.340171119277294</v>
      </c>
      <c r="F31" s="58">
        <v>1056.5362701030169</v>
      </c>
      <c r="G31" s="57">
        <v>275.33417728107139</v>
      </c>
      <c r="H31" s="58">
        <v>808.88740203530028</v>
      </c>
      <c r="I31" s="57">
        <v>362.78609926788278</v>
      </c>
      <c r="J31" s="59">
        <v>293.40708688248174</v>
      </c>
    </row>
    <row r="32" spans="1:10">
      <c r="A32" s="158" t="s">
        <v>221</v>
      </c>
      <c r="B32" s="176">
        <v>5.1119351680652789</v>
      </c>
      <c r="C32" s="177">
        <v>16.76108712110117</v>
      </c>
      <c r="D32" s="60">
        <v>22.510022836919248</v>
      </c>
      <c r="E32" s="61">
        <v>22.033659312050911</v>
      </c>
      <c r="F32" s="62">
        <v>5.3232018397814773</v>
      </c>
      <c r="G32" s="61">
        <v>16.412533552159832</v>
      </c>
      <c r="H32" s="62">
        <v>13.354048741686565</v>
      </c>
      <c r="I32" s="61">
        <v>15.488036541686194</v>
      </c>
      <c r="J32" s="63">
        <v>16.31960581076692</v>
      </c>
    </row>
    <row r="33" spans="1:10">
      <c r="A33" s="158" t="s">
        <v>222</v>
      </c>
      <c r="B33" s="176">
        <v>18.528105385482142</v>
      </c>
      <c r="C33" s="177">
        <v>60.48635591842978</v>
      </c>
      <c r="D33" s="60">
        <v>76.121265729986888</v>
      </c>
      <c r="E33" s="61">
        <v>74.673164075203516</v>
      </c>
      <c r="F33" s="62">
        <v>55.145252831551844</v>
      </c>
      <c r="G33" s="61">
        <v>62.124061686303207</v>
      </c>
      <c r="H33" s="62">
        <v>49.858176833609804</v>
      </c>
      <c r="I33" s="61">
        <v>54.889215527820028</v>
      </c>
      <c r="J33" s="63">
        <v>66.662311993279829</v>
      </c>
    </row>
    <row r="34" spans="1:10">
      <c r="A34" s="158" t="s">
        <v>223</v>
      </c>
      <c r="B34" s="176">
        <v>42.470059248401022</v>
      </c>
      <c r="C34" s="177">
        <v>109.20388002860699</v>
      </c>
      <c r="D34" s="60">
        <v>99.678239633217999</v>
      </c>
      <c r="E34" s="61">
        <v>103.09038891825872</v>
      </c>
      <c r="F34" s="62">
        <v>77.613288996246382</v>
      </c>
      <c r="G34" s="61">
        <v>121.48472436366579</v>
      </c>
      <c r="H34" s="62">
        <v>218.51880429236141</v>
      </c>
      <c r="I34" s="61">
        <v>97.148893646814756</v>
      </c>
      <c r="J34" s="63">
        <v>144.82243115867374</v>
      </c>
    </row>
    <row r="35" spans="1:10">
      <c r="A35" s="158" t="s">
        <v>224</v>
      </c>
      <c r="B35" s="176">
        <v>8.559317473447102</v>
      </c>
      <c r="C35" s="177">
        <v>11.819612365262543</v>
      </c>
      <c r="D35" s="60">
        <v>7.0770036619298864</v>
      </c>
      <c r="E35" s="61">
        <v>7.2856729549453441</v>
      </c>
      <c r="F35" s="62">
        <v>6.8939406232206801</v>
      </c>
      <c r="G35" s="61">
        <v>8.9066153593995629</v>
      </c>
      <c r="H35" s="62">
        <v>14.544953425820715</v>
      </c>
      <c r="I35" s="61">
        <v>12.495665442398295</v>
      </c>
      <c r="J35" s="63">
        <v>21.978737591665066</v>
      </c>
    </row>
    <row r="36" spans="1:10">
      <c r="A36" s="158" t="s">
        <v>225</v>
      </c>
      <c r="B36" s="176">
        <v>3.9042181994711656</v>
      </c>
      <c r="C36" s="177">
        <v>8.0634302148165489</v>
      </c>
      <c r="D36" s="60">
        <v>6.8727617367471145</v>
      </c>
      <c r="E36" s="61">
        <v>7.0398540156080038</v>
      </c>
      <c r="F36" s="62">
        <v>5.7529858500383</v>
      </c>
      <c r="G36" s="61">
        <v>7.998807295717806</v>
      </c>
      <c r="H36" s="62">
        <v>13.098866398094179</v>
      </c>
      <c r="I36" s="61">
        <v>7.6070552934936595</v>
      </c>
      <c r="J36" s="63">
        <v>11.861425989191849</v>
      </c>
    </row>
    <row r="37" spans="1:10">
      <c r="A37" s="158" t="s">
        <v>226</v>
      </c>
      <c r="B37" s="176">
        <v>53.257669310834693</v>
      </c>
      <c r="C37" s="177">
        <v>68.782138559211617</v>
      </c>
      <c r="D37" s="60">
        <v>25.998421996249785</v>
      </c>
      <c r="E37" s="61">
        <v>29.191455057181656</v>
      </c>
      <c r="F37" s="62">
        <v>54.717771018324356</v>
      </c>
      <c r="G37" s="61">
        <v>55.741069196347311</v>
      </c>
      <c r="H37" s="62">
        <v>123.47474927268176</v>
      </c>
      <c r="I37" s="61">
        <v>71.827507947081529</v>
      </c>
      <c r="J37" s="63">
        <v>141.06027927569181</v>
      </c>
    </row>
    <row r="38" spans="1:10">
      <c r="A38" s="158" t="s">
        <v>227</v>
      </c>
      <c r="B38" s="176">
        <v>0.16463620057327977</v>
      </c>
      <c r="C38" s="177">
        <v>0.52985559150989936</v>
      </c>
      <c r="D38" s="60">
        <v>0.46498495107314636</v>
      </c>
      <c r="E38" s="61">
        <v>0.48848651508137769</v>
      </c>
      <c r="F38" s="62">
        <v>0.68611443258951299</v>
      </c>
      <c r="G38" s="61">
        <v>0.66687622013391445</v>
      </c>
      <c r="H38" s="62">
        <v>1.2382887032135343</v>
      </c>
      <c r="I38" s="61">
        <v>0.43970792158209016</v>
      </c>
      <c r="J38" s="63">
        <v>0.7059229583702934</v>
      </c>
    </row>
    <row r="39" spans="1:10">
      <c r="A39" s="158" t="s">
        <v>228</v>
      </c>
      <c r="B39" s="176">
        <v>0.40966468107051501</v>
      </c>
      <c r="C39" s="177">
        <v>2.8488370268902377</v>
      </c>
      <c r="D39" s="60">
        <v>4.2394147377858005</v>
      </c>
      <c r="E39" s="61">
        <v>4.1707524249938634</v>
      </c>
      <c r="F39" s="62">
        <v>1.5568476158232267</v>
      </c>
      <c r="G39" s="61">
        <v>3.2903353149023822</v>
      </c>
      <c r="H39" s="62">
        <v>3.122752686881018</v>
      </c>
      <c r="I39" s="61">
        <v>2.3988763786854896</v>
      </c>
      <c r="J39" s="63">
        <v>2.1230788787514112</v>
      </c>
    </row>
    <row r="40" spans="1:10">
      <c r="A40" s="158" t="s">
        <v>229</v>
      </c>
      <c r="B40" s="176">
        <v>94.675761946447977</v>
      </c>
      <c r="C40" s="177">
        <v>277.22590706467287</v>
      </c>
      <c r="D40" s="60">
        <v>376.60449537461602</v>
      </c>
      <c r="E40" s="61">
        <v>366.06453915138354</v>
      </c>
      <c r="F40" s="62">
        <v>58.175904182968836</v>
      </c>
      <c r="G40" s="61">
        <v>252.07753904021195</v>
      </c>
      <c r="H40" s="62">
        <v>149.23083208193879</v>
      </c>
      <c r="I40" s="61">
        <v>264.1233929271657</v>
      </c>
      <c r="J40" s="63">
        <v>276.07240514376855</v>
      </c>
    </row>
    <row r="41" spans="1:10">
      <c r="A41" s="158" t="s">
        <v>230</v>
      </c>
      <c r="B41" s="176">
        <v>1.2709536510498036</v>
      </c>
      <c r="C41" s="177">
        <v>2.3070518960915405</v>
      </c>
      <c r="D41" s="60">
        <v>2.1556345178933451</v>
      </c>
      <c r="E41" s="61">
        <v>2.1091943402462778</v>
      </c>
      <c r="F41" s="62">
        <v>2.4486316785668047</v>
      </c>
      <c r="G41" s="61">
        <v>1.89432841533388</v>
      </c>
      <c r="H41" s="62">
        <v>1.2550995881820115</v>
      </c>
      <c r="I41" s="61">
        <v>2.3337870025175902</v>
      </c>
      <c r="J41" s="63">
        <v>3.6191938584575825</v>
      </c>
    </row>
    <row r="42" spans="1:10">
      <c r="A42" s="158" t="s">
        <v>3</v>
      </c>
      <c r="B42" s="178">
        <v>56127.539751022989</v>
      </c>
      <c r="C42" s="179">
        <v>122442.06241382884</v>
      </c>
      <c r="D42" s="64">
        <v>140577.92822483668</v>
      </c>
      <c r="E42" s="65">
        <v>137670.90701973054</v>
      </c>
      <c r="F42" s="66">
        <v>29740.686123343439</v>
      </c>
      <c r="G42" s="65">
        <v>103879.23358958618</v>
      </c>
      <c r="H42" s="66">
        <v>85358.545582178311</v>
      </c>
      <c r="I42" s="65">
        <v>121122.75730206583</v>
      </c>
      <c r="J42" s="67">
        <v>151571.4072621245</v>
      </c>
    </row>
    <row r="43" spans="1:10">
      <c r="A43" s="153" t="s">
        <v>231</v>
      </c>
      <c r="B43" s="176">
        <v>0.33964839220249454</v>
      </c>
      <c r="C43" s="177">
        <v>1.1930052365305148</v>
      </c>
      <c r="D43" s="61">
        <v>1.5169623107396906</v>
      </c>
      <c r="E43" s="61">
        <v>1.5051192573626944</v>
      </c>
      <c r="F43" s="61">
        <v>0.43367536985948352</v>
      </c>
      <c r="G43" s="61">
        <v>1.2628462788565464</v>
      </c>
      <c r="H43" s="61">
        <v>1.4847393931649548</v>
      </c>
      <c r="I43" s="61">
        <v>1.0669248813175318</v>
      </c>
      <c r="J43" s="61">
        <v>1.1774074357872317</v>
      </c>
    </row>
    <row r="44" spans="1:10">
      <c r="A44" s="158" t="s">
        <v>232</v>
      </c>
      <c r="B44" s="176">
        <v>6.1924397269000497</v>
      </c>
      <c r="C44" s="177">
        <v>10.012403277336904</v>
      </c>
      <c r="D44" s="61">
        <v>9.8919671177176749</v>
      </c>
      <c r="E44" s="61">
        <v>9.5985117450735959</v>
      </c>
      <c r="F44" s="61">
        <v>2.4037106038045231</v>
      </c>
      <c r="G44" s="61">
        <v>6.8431920009924738</v>
      </c>
      <c r="H44" s="61">
        <v>3.4402404475565818</v>
      </c>
      <c r="I44" s="61">
        <v>10.682332831875405</v>
      </c>
      <c r="J44" s="61">
        <v>15.077547310111223</v>
      </c>
    </row>
    <row r="45" spans="1:10">
      <c r="A45" s="158" t="s">
        <v>233</v>
      </c>
      <c r="B45" s="176">
        <v>14.616710567868417</v>
      </c>
      <c r="C45" s="177">
        <v>19.142967962160775</v>
      </c>
      <c r="D45" s="61">
        <v>14.84481797920559</v>
      </c>
      <c r="E45" s="61">
        <v>14.458415460702154</v>
      </c>
      <c r="F45" s="61">
        <v>4.1551661766418269</v>
      </c>
      <c r="G45" s="61">
        <v>11.048285035063239</v>
      </c>
      <c r="H45" s="61">
        <v>6.7210508692893693</v>
      </c>
      <c r="I45" s="61">
        <v>21.492163479363118</v>
      </c>
      <c r="J45" s="61">
        <v>33.98404448901227</v>
      </c>
    </row>
    <row r="46" spans="1:10">
      <c r="A46" s="158" t="s">
        <v>234</v>
      </c>
      <c r="B46" s="176">
        <v>1.576777209396879</v>
      </c>
      <c r="C46" s="177">
        <v>2.264913256788974</v>
      </c>
      <c r="D46" s="61">
        <v>1.9757994694729788</v>
      </c>
      <c r="E46" s="61">
        <v>1.9221187206373191</v>
      </c>
      <c r="F46" s="61">
        <v>0.47904560387307993</v>
      </c>
      <c r="G46" s="61">
        <v>1.4220398532866727</v>
      </c>
      <c r="H46" s="61">
        <v>0.82955199090524423</v>
      </c>
      <c r="I46" s="61">
        <v>2.4831222956612478</v>
      </c>
      <c r="J46" s="61">
        <v>3.733764239643111</v>
      </c>
    </row>
    <row r="47" spans="1:10">
      <c r="A47" s="158" t="s">
        <v>235</v>
      </c>
      <c r="B47" s="176">
        <v>1.2384218352344105</v>
      </c>
      <c r="C47" s="177">
        <v>1.9806739586946587</v>
      </c>
      <c r="D47" s="61">
        <v>1.9243474245318428</v>
      </c>
      <c r="E47" s="61">
        <v>1.8710117014743384</v>
      </c>
      <c r="F47" s="61">
        <v>0.41528700805896274</v>
      </c>
      <c r="G47" s="61">
        <v>1.3526767892078044</v>
      </c>
      <c r="H47" s="61">
        <v>0.77755720201193634</v>
      </c>
      <c r="I47" s="61">
        <v>2.1153808428185892</v>
      </c>
      <c r="J47" s="61">
        <v>3.0045193404495096</v>
      </c>
    </row>
    <row r="48" spans="1:10">
      <c r="A48" s="158" t="s">
        <v>236</v>
      </c>
      <c r="B48" s="176">
        <v>18.690826917058267</v>
      </c>
      <c r="C48" s="177">
        <v>14.652414588921236</v>
      </c>
      <c r="D48" s="61">
        <v>0.97619900049955399</v>
      </c>
      <c r="E48" s="61">
        <v>1.0009497740486637</v>
      </c>
      <c r="F48" s="61">
        <v>3.3200287464383176</v>
      </c>
      <c r="G48" s="61">
        <v>2.5615469105015771</v>
      </c>
      <c r="H48" s="61">
        <v>1.8899094337354556</v>
      </c>
      <c r="I48" s="61">
        <v>19.470487564152748</v>
      </c>
      <c r="J48" s="61">
        <v>39.878789819284343</v>
      </c>
    </row>
    <row r="49" spans="1:11">
      <c r="A49" s="158" t="s">
        <v>237</v>
      </c>
      <c r="B49" s="176">
        <v>5.4078432434808449E-2</v>
      </c>
      <c r="C49" s="177">
        <v>9.6722141747105264E-2</v>
      </c>
      <c r="D49" s="61">
        <v>9.8986447437182379E-2</v>
      </c>
      <c r="E49" s="61">
        <v>9.6770680551880928E-2</v>
      </c>
      <c r="F49" s="61">
        <v>2.5952843105642175E-2</v>
      </c>
      <c r="G49" s="61">
        <v>7.3495333030614202E-2</v>
      </c>
      <c r="H49" s="61">
        <v>5.5231206038924771E-2</v>
      </c>
      <c r="I49" s="61">
        <v>9.9902663898713745E-2</v>
      </c>
      <c r="J49" s="61">
        <v>0.13745780049079753</v>
      </c>
    </row>
    <row r="50" spans="1:11">
      <c r="A50" s="162" t="s">
        <v>238</v>
      </c>
      <c r="B50" s="180">
        <v>0.13276282428480432</v>
      </c>
      <c r="C50" s="181">
        <v>0.75815552742807624</v>
      </c>
      <c r="D50" s="68">
        <v>1.2305009310919763</v>
      </c>
      <c r="E50" s="68">
        <v>1.191537669552958</v>
      </c>
      <c r="F50" s="68">
        <v>0.13322393280449671</v>
      </c>
      <c r="G50" s="68">
        <v>0.77236066016483129</v>
      </c>
      <c r="H50" s="68">
        <v>0.35695860432494969</v>
      </c>
      <c r="I50" s="68">
        <v>0.67695174743806341</v>
      </c>
      <c r="J50" s="68">
        <v>0.50696536538976611</v>
      </c>
    </row>
    <row r="51" spans="1:11">
      <c r="B51" s="264"/>
      <c r="C51" s="137"/>
      <c r="D51" s="62"/>
      <c r="E51" s="62"/>
      <c r="F51" s="62"/>
      <c r="G51" s="62"/>
      <c r="H51" s="62"/>
      <c r="I51" s="62"/>
      <c r="J51" s="62"/>
    </row>
    <row r="52" spans="1:11">
      <c r="A52" s="143" t="s">
        <v>239</v>
      </c>
    </row>
    <row r="53" spans="1:11" ht="13.2" customHeight="1">
      <c r="A53" s="1237"/>
      <c r="B53" s="1232" t="s">
        <v>179</v>
      </c>
      <c r="C53" s="1233"/>
      <c r="D53" s="1233"/>
      <c r="E53" s="1233"/>
      <c r="F53" s="1233"/>
      <c r="G53" s="1234"/>
      <c r="H53" s="1232" t="s">
        <v>180</v>
      </c>
      <c r="I53" s="1233"/>
      <c r="J53" s="1234"/>
    </row>
    <row r="54" spans="1:11" ht="43.2">
      <c r="A54" s="1238"/>
      <c r="B54" s="147" t="s">
        <v>182</v>
      </c>
      <c r="C54" s="148" t="s">
        <v>183</v>
      </c>
      <c r="D54" s="148" t="s">
        <v>184</v>
      </c>
      <c r="E54" s="148" t="s">
        <v>185</v>
      </c>
      <c r="F54" s="148" t="s">
        <v>186</v>
      </c>
      <c r="G54" s="149" t="s">
        <v>187</v>
      </c>
      <c r="H54" s="147" t="s">
        <v>188</v>
      </c>
      <c r="I54" s="148" t="s">
        <v>189</v>
      </c>
      <c r="J54" s="149" t="s">
        <v>190</v>
      </c>
      <c r="K54" s="152"/>
    </row>
    <row r="55" spans="1:11">
      <c r="A55" s="153" t="s">
        <v>5</v>
      </c>
      <c r="B55" s="182"/>
      <c r="C55" s="183"/>
      <c r="D55" s="183"/>
      <c r="E55" s="183"/>
      <c r="F55" s="183"/>
      <c r="G55" s="184"/>
      <c r="H55" s="182"/>
      <c r="I55" s="183"/>
      <c r="J55" s="184"/>
    </row>
    <row r="56" spans="1:11">
      <c r="A56" s="158" t="s">
        <v>250</v>
      </c>
      <c r="B56" s="186"/>
      <c r="C56" s="187"/>
      <c r="D56" s="187"/>
      <c r="E56" s="187"/>
      <c r="F56" s="187"/>
      <c r="G56" s="188"/>
      <c r="H56" s="186"/>
      <c r="I56" s="187"/>
      <c r="J56" s="188">
        <v>2.69</v>
      </c>
    </row>
    <row r="57" spans="1:11">
      <c r="A57" s="158" t="s">
        <v>251</v>
      </c>
      <c r="B57" s="186">
        <v>0.45300000000000001</v>
      </c>
      <c r="C57" s="187">
        <v>6.617</v>
      </c>
      <c r="D57" s="187">
        <v>0.63600000000000001</v>
      </c>
      <c r="E57" s="187">
        <v>1.0680000000000001</v>
      </c>
      <c r="F57" s="187">
        <v>1.3540000000000001</v>
      </c>
      <c r="G57" s="188">
        <v>0.45900000000000002</v>
      </c>
      <c r="H57" s="186">
        <v>0.14000000000000001</v>
      </c>
      <c r="I57" s="187">
        <v>0.14000000000000001</v>
      </c>
      <c r="J57" s="188"/>
    </row>
    <row r="58" spans="1:11">
      <c r="A58" s="158" t="s">
        <v>252</v>
      </c>
      <c r="B58" s="186"/>
      <c r="C58" s="187">
        <v>2.5000000000000001E-2</v>
      </c>
      <c r="D58" s="187">
        <v>3.2000000000000001E-2</v>
      </c>
      <c r="E58" s="187"/>
      <c r="F58" s="187"/>
      <c r="G58" s="188"/>
      <c r="H58" s="190">
        <v>1.4705999999999999E-4</v>
      </c>
      <c r="I58" s="191">
        <v>1.4705999999999999E-4</v>
      </c>
      <c r="J58" s="188">
        <v>1.6E-2</v>
      </c>
    </row>
    <row r="59" spans="1:11">
      <c r="A59" s="158" t="s">
        <v>253</v>
      </c>
      <c r="B59" s="186"/>
      <c r="C59" s="187">
        <v>5.6000000000000001E-2</v>
      </c>
      <c r="D59" s="187">
        <v>7.2999999999999995E-2</v>
      </c>
      <c r="E59" s="187"/>
      <c r="F59" s="187"/>
      <c r="G59" s="188"/>
      <c r="H59" s="186"/>
      <c r="I59" s="187"/>
      <c r="J59" s="188"/>
    </row>
    <row r="60" spans="1:11">
      <c r="A60" s="158" t="s">
        <v>87</v>
      </c>
      <c r="B60" s="186"/>
      <c r="C60" s="187"/>
      <c r="D60" s="187"/>
      <c r="E60" s="187">
        <v>0.65400000000000003</v>
      </c>
      <c r="F60" s="187"/>
      <c r="G60" s="188"/>
      <c r="H60" s="186"/>
      <c r="I60" s="187"/>
      <c r="J60" s="188"/>
    </row>
    <row r="61" spans="1:11">
      <c r="A61" s="158" t="s">
        <v>254</v>
      </c>
      <c r="B61" s="186"/>
      <c r="C61" s="187"/>
      <c r="D61" s="187"/>
      <c r="E61" s="187">
        <v>0.153</v>
      </c>
      <c r="F61" s="187"/>
      <c r="G61" s="188"/>
      <c r="H61" s="186"/>
      <c r="I61" s="187"/>
      <c r="J61" s="188"/>
    </row>
    <row r="62" spans="1:11">
      <c r="A62" s="158" t="s">
        <v>249</v>
      </c>
      <c r="B62" s="186"/>
      <c r="C62" s="187"/>
      <c r="D62" s="187"/>
      <c r="E62" s="193">
        <v>4.3E-3</v>
      </c>
      <c r="F62" s="193">
        <v>6.7000000000000002E-3</v>
      </c>
      <c r="G62" s="188"/>
      <c r="H62" s="190">
        <v>4.6538400000000002E-5</v>
      </c>
      <c r="I62" s="191">
        <v>4.6538400000000002E-5</v>
      </c>
      <c r="J62" s="189">
        <v>5.9999999999999995E-4</v>
      </c>
    </row>
    <row r="63" spans="1:11">
      <c r="A63" s="158" t="s">
        <v>255</v>
      </c>
      <c r="B63" s="186"/>
      <c r="C63" s="187"/>
      <c r="D63" s="187"/>
      <c r="E63" s="187">
        <v>0.35299999999999998</v>
      </c>
      <c r="F63" s="187"/>
      <c r="G63" s="188"/>
      <c r="H63" s="186"/>
      <c r="I63" s="187"/>
      <c r="J63" s="188"/>
    </row>
    <row r="64" spans="1:11">
      <c r="A64" s="158" t="s">
        <v>256</v>
      </c>
      <c r="B64" s="186"/>
      <c r="C64" s="187"/>
      <c r="D64" s="187"/>
      <c r="E64" s="187"/>
      <c r="F64" s="187">
        <v>1.7000000000000001E-2</v>
      </c>
      <c r="G64" s="188"/>
      <c r="H64" s="186"/>
      <c r="I64" s="187"/>
      <c r="J64" s="188"/>
    </row>
    <row r="65" spans="1:10">
      <c r="A65" s="158" t="s">
        <v>257</v>
      </c>
      <c r="B65" s="186"/>
      <c r="C65" s="187"/>
      <c r="D65" s="187"/>
      <c r="E65" s="187"/>
      <c r="F65" s="187">
        <v>0.42</v>
      </c>
      <c r="G65" s="188"/>
      <c r="H65" s="186"/>
      <c r="I65" s="187"/>
      <c r="J65" s="188"/>
    </row>
    <row r="66" spans="1:10">
      <c r="A66" s="158" t="s">
        <v>258</v>
      </c>
      <c r="B66" s="186"/>
      <c r="C66" s="187"/>
      <c r="D66" s="187"/>
      <c r="E66" s="187"/>
      <c r="F66" s="187">
        <v>6.0000000000000001E-3</v>
      </c>
      <c r="G66" s="188"/>
      <c r="H66" s="186"/>
      <c r="I66" s="187"/>
      <c r="J66" s="188"/>
    </row>
    <row r="67" spans="1:10">
      <c r="A67" s="158" t="s">
        <v>259</v>
      </c>
      <c r="B67" s="186"/>
      <c r="C67" s="187"/>
      <c r="D67" s="187"/>
      <c r="E67" s="187"/>
      <c r="F67" s="193">
        <v>6.1999999999999998E-3</v>
      </c>
      <c r="G67" s="188"/>
      <c r="H67" s="190">
        <v>2.2905100000000002E-5</v>
      </c>
      <c r="I67" s="191">
        <v>2.2905100000000002E-5</v>
      </c>
      <c r="J67" s="192"/>
    </row>
    <row r="68" spans="1:10">
      <c r="A68" s="158" t="s">
        <v>260</v>
      </c>
      <c r="B68" s="186"/>
      <c r="C68" s="187"/>
      <c r="D68" s="187"/>
      <c r="E68" s="187"/>
      <c r="F68" s="187"/>
      <c r="G68" s="192">
        <v>2.2000000000000001E-4</v>
      </c>
      <c r="H68" s="190">
        <v>2.5453699999999999E-4</v>
      </c>
      <c r="I68" s="191">
        <v>2.5453699999999999E-4</v>
      </c>
      <c r="J68" s="188"/>
    </row>
    <row r="69" spans="1:10">
      <c r="A69" s="158" t="s">
        <v>261</v>
      </c>
      <c r="B69" s="186"/>
      <c r="C69" s="187"/>
      <c r="D69" s="187"/>
      <c r="E69" s="187"/>
      <c r="F69" s="187"/>
      <c r="G69" s="188"/>
      <c r="H69" s="194">
        <v>6.4999999999999997E-3</v>
      </c>
      <c r="I69" s="193">
        <v>6.4999999999999997E-3</v>
      </c>
      <c r="J69" s="188"/>
    </row>
    <row r="70" spans="1:10">
      <c r="A70" s="158" t="s">
        <v>262</v>
      </c>
      <c r="B70" s="186"/>
      <c r="C70" s="187"/>
      <c r="D70" s="187"/>
      <c r="E70" s="187"/>
      <c r="F70" s="187"/>
      <c r="G70" s="188"/>
      <c r="H70" s="190">
        <v>1.44127E-4</v>
      </c>
      <c r="I70" s="191">
        <v>1.44127E-4</v>
      </c>
      <c r="J70" s="188">
        <v>1.7999999999999999E-2</v>
      </c>
    </row>
    <row r="71" spans="1:10">
      <c r="A71" s="158" t="s">
        <v>263</v>
      </c>
      <c r="B71" s="186"/>
      <c r="C71" s="187"/>
      <c r="D71" s="187"/>
      <c r="E71" s="187"/>
      <c r="F71" s="187"/>
      <c r="G71" s="188"/>
      <c r="H71" s="186">
        <v>4.8000000000000001E-2</v>
      </c>
      <c r="I71" s="187">
        <v>4.8000000000000001E-2</v>
      </c>
      <c r="J71" s="188"/>
    </row>
    <row r="72" spans="1:10">
      <c r="A72" s="158" t="s">
        <v>264</v>
      </c>
      <c r="B72" s="186"/>
      <c r="C72" s="187"/>
      <c r="D72" s="187"/>
      <c r="E72" s="187"/>
      <c r="F72" s="187"/>
      <c r="G72" s="188"/>
      <c r="H72" s="190">
        <v>8.9428400000000013E-6</v>
      </c>
      <c r="I72" s="191">
        <v>8.9428400000000013E-6</v>
      </c>
      <c r="J72" s="188"/>
    </row>
    <row r="73" spans="1:10">
      <c r="A73" s="158" t="s">
        <v>265</v>
      </c>
      <c r="B73" s="186"/>
      <c r="C73" s="187"/>
      <c r="D73" s="187"/>
      <c r="E73" s="187"/>
      <c r="F73" s="187"/>
      <c r="G73" s="188"/>
      <c r="H73" s="190">
        <v>1.3698999999999999E-5</v>
      </c>
      <c r="I73" s="191">
        <v>1.3698999999999999E-5</v>
      </c>
      <c r="J73" s="188"/>
    </row>
    <row r="74" spans="1:10">
      <c r="A74" s="158" t="s">
        <v>266</v>
      </c>
      <c r="B74" s="186"/>
      <c r="C74" s="187"/>
      <c r="D74" s="187"/>
      <c r="E74" s="187"/>
      <c r="F74" s="187"/>
      <c r="G74" s="188"/>
      <c r="H74" s="194">
        <v>3.8E-3</v>
      </c>
      <c r="I74" s="193">
        <v>3.8E-3</v>
      </c>
      <c r="J74" s="188">
        <v>5.2999999999999999E-2</v>
      </c>
    </row>
    <row r="75" spans="1:10">
      <c r="A75" s="158" t="s">
        <v>267</v>
      </c>
      <c r="B75" s="186"/>
      <c r="C75" s="187"/>
      <c r="D75" s="187"/>
      <c r="E75" s="187"/>
      <c r="F75" s="187"/>
      <c r="G75" s="188"/>
      <c r="H75" s="186">
        <v>1.4999999999999999E-2</v>
      </c>
      <c r="I75" s="187">
        <v>1.4999999999999999E-2</v>
      </c>
      <c r="J75" s="188">
        <v>0.158</v>
      </c>
    </row>
    <row r="76" spans="1:10">
      <c r="A76" s="158" t="s">
        <v>244</v>
      </c>
      <c r="B76" s="186"/>
      <c r="C76" s="187"/>
      <c r="D76" s="187"/>
      <c r="E76" s="187"/>
      <c r="F76" s="187"/>
      <c r="G76" s="188"/>
      <c r="H76" s="186"/>
      <c r="I76" s="187"/>
      <c r="J76" s="189">
        <v>2.8E-3</v>
      </c>
    </row>
    <row r="77" spans="1:10">
      <c r="A77" s="158" t="s">
        <v>268</v>
      </c>
      <c r="B77" s="186"/>
      <c r="C77" s="187"/>
      <c r="D77" s="187"/>
      <c r="E77" s="187"/>
      <c r="F77" s="187"/>
      <c r="G77" s="188"/>
      <c r="H77" s="186"/>
      <c r="I77" s="187"/>
      <c r="J77" s="188"/>
    </row>
    <row r="78" spans="1:10">
      <c r="A78" s="158" t="s">
        <v>269</v>
      </c>
      <c r="B78" s="186"/>
      <c r="C78" s="187"/>
      <c r="D78" s="187"/>
      <c r="E78" s="187"/>
      <c r="F78" s="187"/>
      <c r="G78" s="188"/>
      <c r="H78" s="186"/>
      <c r="I78" s="187"/>
      <c r="J78" s="188"/>
    </row>
    <row r="79" spans="1:10">
      <c r="A79" s="158" t="s">
        <v>270</v>
      </c>
      <c r="B79" s="186"/>
      <c r="C79" s="187"/>
      <c r="D79" s="187"/>
      <c r="E79" s="187"/>
      <c r="F79" s="187"/>
      <c r="G79" s="188"/>
      <c r="H79" s="186"/>
      <c r="I79" s="187"/>
      <c r="J79" s="188"/>
    </row>
    <row r="80" spans="1:10">
      <c r="A80" s="158" t="s">
        <v>271</v>
      </c>
      <c r="B80" s="186"/>
      <c r="C80" s="187"/>
      <c r="D80" s="187"/>
      <c r="E80" s="187"/>
      <c r="F80" s="187"/>
      <c r="G80" s="188"/>
      <c r="H80" s="186"/>
      <c r="I80" s="187"/>
      <c r="J80" s="188"/>
    </row>
    <row r="81" spans="1:10">
      <c r="A81" s="158" t="s">
        <v>272</v>
      </c>
      <c r="B81" s="186"/>
      <c r="C81" s="187"/>
      <c r="D81" s="187"/>
      <c r="E81" s="187"/>
      <c r="F81" s="187"/>
      <c r="G81" s="188"/>
      <c r="H81" s="186"/>
      <c r="I81" s="187"/>
      <c r="J81" s="188"/>
    </row>
    <row r="82" spans="1:10">
      <c r="A82" s="158" t="s">
        <v>245</v>
      </c>
      <c r="B82" s="186"/>
      <c r="C82" s="187"/>
      <c r="D82" s="187"/>
      <c r="E82" s="187"/>
      <c r="F82" s="187"/>
      <c r="G82" s="188"/>
      <c r="H82" s="186"/>
      <c r="I82" s="187"/>
      <c r="J82" s="188"/>
    </row>
    <row r="83" spans="1:10">
      <c r="A83" s="158" t="s">
        <v>273</v>
      </c>
      <c r="B83" s="186"/>
      <c r="C83" s="187"/>
      <c r="D83" s="187"/>
      <c r="E83" s="187"/>
      <c r="F83" s="187"/>
      <c r="G83" s="188"/>
      <c r="H83" s="186"/>
      <c r="I83" s="187"/>
      <c r="J83" s="188"/>
    </row>
    <row r="84" spans="1:10">
      <c r="A84" s="158" t="s">
        <v>274</v>
      </c>
      <c r="B84" s="186"/>
      <c r="C84" s="187"/>
      <c r="D84" s="187"/>
      <c r="E84" s="187"/>
      <c r="F84" s="187"/>
      <c r="G84" s="188"/>
      <c r="H84" s="186"/>
      <c r="I84" s="187"/>
      <c r="J84" s="188"/>
    </row>
    <row r="85" spans="1:10">
      <c r="A85" s="158" t="s">
        <v>275</v>
      </c>
      <c r="B85" s="186"/>
      <c r="C85" s="187"/>
      <c r="D85" s="187"/>
      <c r="E85" s="187"/>
      <c r="F85" s="187"/>
      <c r="G85" s="188"/>
      <c r="H85" s="186"/>
      <c r="I85" s="187"/>
      <c r="J85" s="188"/>
    </row>
    <row r="86" spans="1:10">
      <c r="A86" s="158" t="s">
        <v>276</v>
      </c>
      <c r="B86" s="186"/>
      <c r="C86" s="187"/>
      <c r="D86" s="187"/>
      <c r="E86" s="187"/>
      <c r="F86" s="187"/>
      <c r="G86" s="188"/>
      <c r="H86" s="186"/>
      <c r="I86" s="187"/>
      <c r="J86" s="188"/>
    </row>
    <row r="87" spans="1:10">
      <c r="A87" s="158" t="s">
        <v>277</v>
      </c>
      <c r="B87" s="186"/>
      <c r="C87" s="187"/>
      <c r="D87" s="187"/>
      <c r="E87" s="187"/>
      <c r="F87" s="187"/>
      <c r="G87" s="188"/>
      <c r="H87" s="186"/>
      <c r="I87" s="187"/>
      <c r="J87" s="188"/>
    </row>
    <row r="88" spans="1:10">
      <c r="A88" s="158" t="s">
        <v>278</v>
      </c>
      <c r="B88" s="186"/>
      <c r="C88" s="187"/>
      <c r="D88" s="187"/>
      <c r="E88" s="187"/>
      <c r="F88" s="187"/>
      <c r="G88" s="188"/>
      <c r="H88" s="186"/>
      <c r="I88" s="187"/>
      <c r="J88" s="188"/>
    </row>
    <row r="89" spans="1:10">
      <c r="A89" s="158" t="s">
        <v>243</v>
      </c>
      <c r="B89" s="186"/>
      <c r="C89" s="187"/>
      <c r="D89" s="187"/>
      <c r="E89" s="187"/>
      <c r="F89" s="187"/>
      <c r="G89" s="188"/>
      <c r="H89" s="186"/>
      <c r="I89" s="187"/>
      <c r="J89" s="188"/>
    </row>
    <row r="90" spans="1:10">
      <c r="A90" s="158" t="s">
        <v>242</v>
      </c>
      <c r="B90" s="186"/>
      <c r="C90" s="187"/>
      <c r="D90" s="187"/>
      <c r="E90" s="187"/>
      <c r="F90" s="187"/>
      <c r="G90" s="188"/>
      <c r="H90" s="186"/>
      <c r="I90" s="187"/>
      <c r="J90" s="188"/>
    </row>
    <row r="91" spans="1:10">
      <c r="A91" s="158" t="s">
        <v>279</v>
      </c>
      <c r="B91" s="186"/>
      <c r="C91" s="187"/>
      <c r="D91" s="187"/>
      <c r="E91" s="187"/>
      <c r="F91" s="187"/>
      <c r="G91" s="188"/>
      <c r="H91" s="186"/>
      <c r="I91" s="187"/>
      <c r="J91" s="188"/>
    </row>
    <row r="92" spans="1:10">
      <c r="A92" s="158" t="s">
        <v>280</v>
      </c>
      <c r="B92" s="186"/>
      <c r="C92" s="187"/>
      <c r="D92" s="187"/>
      <c r="E92" s="187"/>
      <c r="F92" s="187"/>
      <c r="G92" s="188"/>
      <c r="H92" s="186"/>
      <c r="I92" s="187"/>
      <c r="J92" s="188"/>
    </row>
    <row r="93" spans="1:10">
      <c r="A93" s="158" t="s">
        <v>281</v>
      </c>
      <c r="B93" s="186"/>
      <c r="C93" s="187"/>
      <c r="D93" s="187"/>
      <c r="E93" s="187"/>
      <c r="F93" s="187"/>
      <c r="G93" s="188"/>
      <c r="H93" s="186"/>
      <c r="I93" s="187"/>
      <c r="J93" s="188"/>
    </row>
    <row r="94" spans="1:10">
      <c r="A94" s="158" t="s">
        <v>282</v>
      </c>
      <c r="B94" s="186"/>
      <c r="C94" s="187"/>
      <c r="D94" s="187"/>
      <c r="E94" s="187"/>
      <c r="F94" s="187"/>
      <c r="G94" s="188"/>
      <c r="H94" s="186"/>
      <c r="I94" s="187"/>
      <c r="J94" s="188"/>
    </row>
    <row r="95" spans="1:10">
      <c r="A95" s="158" t="s">
        <v>283</v>
      </c>
      <c r="B95" s="186"/>
      <c r="C95" s="187"/>
      <c r="D95" s="187"/>
      <c r="E95" s="187"/>
      <c r="F95" s="187"/>
      <c r="G95" s="188"/>
      <c r="H95" s="186"/>
      <c r="I95" s="187"/>
      <c r="J95" s="188"/>
    </row>
    <row r="96" spans="1:10">
      <c r="A96" s="158" t="s">
        <v>284</v>
      </c>
      <c r="B96" s="186"/>
      <c r="C96" s="187"/>
      <c r="D96" s="187"/>
      <c r="E96" s="187"/>
      <c r="F96" s="187"/>
      <c r="G96" s="188"/>
      <c r="H96" s="186"/>
      <c r="I96" s="187"/>
      <c r="J96" s="188"/>
    </row>
    <row r="97" spans="1:10">
      <c r="A97" s="158" t="s">
        <v>285</v>
      </c>
      <c r="B97" s="186"/>
      <c r="C97" s="187"/>
      <c r="D97" s="187"/>
      <c r="E97" s="187"/>
      <c r="F97" s="187"/>
      <c r="G97" s="188"/>
      <c r="H97" s="186"/>
      <c r="I97" s="187"/>
      <c r="J97" s="188"/>
    </row>
    <row r="98" spans="1:10">
      <c r="A98" s="158" t="s">
        <v>286</v>
      </c>
      <c r="B98" s="186"/>
      <c r="C98" s="187"/>
      <c r="D98" s="187"/>
      <c r="E98" s="187"/>
      <c r="F98" s="187"/>
      <c r="G98" s="188"/>
      <c r="H98" s="186"/>
      <c r="I98" s="187"/>
      <c r="J98" s="188"/>
    </row>
    <row r="99" spans="1:10">
      <c r="A99" s="158" t="s">
        <v>287</v>
      </c>
      <c r="B99" s="186"/>
      <c r="C99" s="187"/>
      <c r="D99" s="187"/>
      <c r="E99" s="187"/>
      <c r="F99" s="187"/>
      <c r="G99" s="188"/>
      <c r="H99" s="186"/>
      <c r="I99" s="187"/>
      <c r="J99" s="188"/>
    </row>
    <row r="100" spans="1:10">
      <c r="A100" s="158" t="s">
        <v>288</v>
      </c>
      <c r="B100" s="186"/>
      <c r="C100" s="187"/>
      <c r="D100" s="187"/>
      <c r="E100" s="187"/>
      <c r="F100" s="187"/>
      <c r="G100" s="188"/>
      <c r="H100" s="186"/>
      <c r="I100" s="187"/>
      <c r="J100" s="188"/>
    </row>
    <row r="101" spans="1:10">
      <c r="A101" s="158" t="s">
        <v>289</v>
      </c>
      <c r="B101" s="186"/>
      <c r="C101" s="187"/>
      <c r="D101" s="187"/>
      <c r="E101" s="187"/>
      <c r="F101" s="187"/>
      <c r="G101" s="188"/>
      <c r="H101" s="186"/>
      <c r="I101" s="187"/>
      <c r="J101" s="188"/>
    </row>
    <row r="102" spans="1:10">
      <c r="A102" s="158" t="s">
        <v>290</v>
      </c>
      <c r="B102" s="186"/>
      <c r="C102" s="187"/>
      <c r="D102" s="187"/>
      <c r="E102" s="187"/>
      <c r="F102" s="187"/>
      <c r="G102" s="188"/>
      <c r="H102" s="186"/>
      <c r="I102" s="187"/>
      <c r="J102" s="188"/>
    </row>
    <row r="103" spans="1:10">
      <c r="A103" s="158" t="s">
        <v>291</v>
      </c>
      <c r="B103" s="186"/>
      <c r="C103" s="187"/>
      <c r="D103" s="187"/>
      <c r="E103" s="187"/>
      <c r="F103" s="187"/>
      <c r="G103" s="188"/>
      <c r="H103" s="186"/>
      <c r="I103" s="187"/>
      <c r="J103" s="188"/>
    </row>
    <row r="104" spans="1:10">
      <c r="A104" s="158" t="s">
        <v>86</v>
      </c>
      <c r="B104" s="186"/>
      <c r="C104" s="187"/>
      <c r="D104" s="187"/>
      <c r="E104" s="187"/>
      <c r="F104" s="187"/>
      <c r="G104" s="188"/>
      <c r="H104" s="186"/>
      <c r="I104" s="187"/>
      <c r="J104" s="188"/>
    </row>
    <row r="105" spans="1:10">
      <c r="A105" s="158" t="s">
        <v>292</v>
      </c>
      <c r="B105" s="186"/>
      <c r="C105" s="187"/>
      <c r="D105" s="187"/>
      <c r="E105" s="187"/>
      <c r="F105" s="187"/>
      <c r="G105" s="188"/>
      <c r="H105" s="186"/>
      <c r="I105" s="187"/>
      <c r="J105" s="188"/>
    </row>
    <row r="106" spans="1:10">
      <c r="A106" s="158" t="s">
        <v>293</v>
      </c>
      <c r="B106" s="186"/>
      <c r="C106" s="187"/>
      <c r="D106" s="187"/>
      <c r="E106" s="187"/>
      <c r="F106" s="187"/>
      <c r="G106" s="188"/>
      <c r="H106" s="186"/>
      <c r="I106" s="187"/>
      <c r="J106" s="188"/>
    </row>
    <row r="107" spans="1:10">
      <c r="A107" s="158" t="s">
        <v>294</v>
      </c>
      <c r="B107" s="186"/>
      <c r="C107" s="187"/>
      <c r="D107" s="187"/>
      <c r="E107" s="187"/>
      <c r="F107" s="187"/>
      <c r="G107" s="188"/>
      <c r="H107" s="186"/>
      <c r="I107" s="187"/>
      <c r="J107" s="188"/>
    </row>
    <row r="108" spans="1:10">
      <c r="A108" s="158" t="s">
        <v>295</v>
      </c>
      <c r="B108" s="186"/>
      <c r="C108" s="187"/>
      <c r="D108" s="187"/>
      <c r="E108" s="187"/>
      <c r="F108" s="187"/>
      <c r="G108" s="188"/>
      <c r="H108" s="186"/>
      <c r="I108" s="187"/>
      <c r="J108" s="188"/>
    </row>
    <row r="109" spans="1:10">
      <c r="A109" s="158" t="s">
        <v>246</v>
      </c>
      <c r="B109" s="186"/>
      <c r="C109" s="187"/>
      <c r="D109" s="187"/>
      <c r="E109" s="187"/>
      <c r="F109" s="187"/>
      <c r="G109" s="188"/>
      <c r="H109" s="186"/>
      <c r="I109" s="187"/>
      <c r="J109" s="188"/>
    </row>
    <row r="110" spans="1:10">
      <c r="A110" s="158" t="s">
        <v>296</v>
      </c>
      <c r="B110" s="186"/>
      <c r="C110" s="187"/>
      <c r="D110" s="187"/>
      <c r="E110" s="187"/>
      <c r="F110" s="187"/>
      <c r="G110" s="188"/>
      <c r="H110" s="186"/>
      <c r="I110" s="187"/>
      <c r="J110" s="188"/>
    </row>
    <row r="111" spans="1:10">
      <c r="A111" s="158" t="s">
        <v>297</v>
      </c>
      <c r="B111" s="186"/>
      <c r="C111" s="187"/>
      <c r="D111" s="187"/>
      <c r="E111" s="187"/>
      <c r="F111" s="187"/>
      <c r="G111" s="188"/>
      <c r="H111" s="186"/>
      <c r="I111" s="187"/>
      <c r="J111" s="188"/>
    </row>
    <row r="112" spans="1:10">
      <c r="A112" s="158" t="s">
        <v>298</v>
      </c>
      <c r="B112" s="186"/>
      <c r="C112" s="187"/>
      <c r="D112" s="187"/>
      <c r="E112" s="187"/>
      <c r="F112" s="187"/>
      <c r="G112" s="188"/>
      <c r="H112" s="186"/>
      <c r="I112" s="187"/>
      <c r="J112" s="188"/>
    </row>
    <row r="113" spans="1:10">
      <c r="A113" s="162" t="s">
        <v>299</v>
      </c>
      <c r="B113" s="198"/>
      <c r="C113" s="199"/>
      <c r="D113" s="199"/>
      <c r="E113" s="199"/>
      <c r="F113" s="199"/>
      <c r="G113" s="200"/>
      <c r="H113" s="198"/>
      <c r="I113" s="199"/>
      <c r="J113" s="200"/>
    </row>
    <row r="115" spans="1:10">
      <c r="A115" s="143" t="s">
        <v>300</v>
      </c>
    </row>
    <row r="116" spans="1:10" ht="27">
      <c r="A116" s="201"/>
      <c r="B116" s="202" t="s">
        <v>301</v>
      </c>
    </row>
    <row r="117" spans="1:10">
      <c r="A117" s="153" t="s">
        <v>302</v>
      </c>
      <c r="B117" s="69">
        <v>0.46</v>
      </c>
    </row>
    <row r="118" spans="1:10">
      <c r="A118" s="162" t="s">
        <v>303</v>
      </c>
      <c r="B118" s="70">
        <v>0.54</v>
      </c>
    </row>
    <row r="120" spans="1:10">
      <c r="A120" s="143" t="s">
        <v>304</v>
      </c>
    </row>
    <row r="121" spans="1:10" ht="28.8">
      <c r="A121" s="145"/>
      <c r="B121" s="203" t="s">
        <v>305</v>
      </c>
    </row>
    <row r="122" spans="1:10">
      <c r="A122" s="169" t="s">
        <v>20</v>
      </c>
      <c r="B122" s="69">
        <v>7.6300000000000007E-2</v>
      </c>
    </row>
    <row r="123" spans="1:10">
      <c r="A123" s="170" t="s">
        <v>209</v>
      </c>
      <c r="B123" s="51">
        <v>0.70020000000000004</v>
      </c>
    </row>
    <row r="124" spans="1:10">
      <c r="A124" s="170" t="s">
        <v>11</v>
      </c>
      <c r="B124" s="51">
        <v>2.4899999999999999E-2</v>
      </c>
    </row>
    <row r="125" spans="1:10">
      <c r="A125" s="170" t="s">
        <v>306</v>
      </c>
      <c r="B125" s="51">
        <v>1.7100000000000001E-2</v>
      </c>
    </row>
    <row r="126" spans="1:10">
      <c r="A126" s="170" t="s">
        <v>307</v>
      </c>
      <c r="B126" s="51">
        <v>1.4E-2</v>
      </c>
    </row>
    <row r="127" spans="1:10">
      <c r="A127" s="170" t="s">
        <v>14</v>
      </c>
      <c r="B127" s="51">
        <v>6.1999999999999998E-3</v>
      </c>
    </row>
    <row r="128" spans="1:10">
      <c r="A128" s="170" t="s">
        <v>308</v>
      </c>
      <c r="B128" s="51">
        <v>0.14099999999999999</v>
      </c>
    </row>
    <row r="129" spans="1:10">
      <c r="A129" s="171" t="s">
        <v>212</v>
      </c>
      <c r="B129" s="70">
        <v>2.0299999999999874E-2</v>
      </c>
    </row>
    <row r="131" spans="1:10">
      <c r="A131" s="143" t="s">
        <v>309</v>
      </c>
    </row>
    <row r="132" spans="1:10">
      <c r="A132" s="167"/>
      <c r="B132" s="204" t="s">
        <v>206</v>
      </c>
      <c r="C132" s="204" t="s">
        <v>20</v>
      </c>
      <c r="D132" s="204" t="s">
        <v>209</v>
      </c>
      <c r="E132" s="204" t="s">
        <v>11</v>
      </c>
      <c r="F132" s="204" t="s">
        <v>306</v>
      </c>
      <c r="G132" s="204" t="s">
        <v>307</v>
      </c>
      <c r="H132" s="204" t="s">
        <v>14</v>
      </c>
      <c r="I132" s="204" t="s">
        <v>308</v>
      </c>
      <c r="J132" s="204" t="s">
        <v>212</v>
      </c>
    </row>
    <row r="133" spans="1:10">
      <c r="A133" s="169" t="s">
        <v>213</v>
      </c>
      <c r="B133" s="71">
        <v>0.1175948626446657</v>
      </c>
      <c r="C133" s="71">
        <v>1.700367300454789E-2</v>
      </c>
      <c r="D133" s="71">
        <v>2.8557019295519688E-2</v>
      </c>
      <c r="E133" s="71">
        <v>1.5734815902653939E-4</v>
      </c>
      <c r="F133" s="71">
        <v>9.8904091579253804E-3</v>
      </c>
      <c r="G133" s="71">
        <v>8.4313439118892768E-3</v>
      </c>
      <c r="H133" s="71">
        <v>3.0553058782049054E-3</v>
      </c>
      <c r="I133" s="71">
        <v>0.67681551646368965</v>
      </c>
      <c r="J133" s="71">
        <v>2.7627782529260445E-2</v>
      </c>
    </row>
    <row r="134" spans="1:10">
      <c r="A134" s="170" t="s">
        <v>214</v>
      </c>
      <c r="B134" s="71">
        <v>0.10275155709795629</v>
      </c>
      <c r="C134" s="71">
        <v>0.20822240155669022</v>
      </c>
      <c r="D134" s="71">
        <v>6.8156707955211282E-2</v>
      </c>
      <c r="E134" s="71">
        <v>3.3108675128500999E-2</v>
      </c>
      <c r="F134" s="71">
        <v>6.6116990806389511E-2</v>
      </c>
      <c r="G134" s="71">
        <v>0.17107363465321868</v>
      </c>
      <c r="H134" s="71">
        <v>4.2389420522319497E-2</v>
      </c>
      <c r="I134" s="71">
        <v>0.21109607577807848</v>
      </c>
      <c r="J134" s="71">
        <v>0.23465332110150092</v>
      </c>
    </row>
    <row r="135" spans="1:10">
      <c r="A135" s="170" t="s">
        <v>85</v>
      </c>
      <c r="B135" s="71">
        <v>8.7106962735454499E-2</v>
      </c>
      <c r="C135" s="71">
        <v>0.54877101418669727</v>
      </c>
      <c r="D135" s="71">
        <v>2.0649616800715972E-2</v>
      </c>
      <c r="E135" s="71">
        <v>0.60704919752438902</v>
      </c>
      <c r="F135" s="71">
        <v>9.5166546151173384E-3</v>
      </c>
      <c r="G135" s="71">
        <v>0.25457950669679291</v>
      </c>
      <c r="H135" s="71">
        <v>0.72459415705339891</v>
      </c>
      <c r="I135" s="71">
        <v>0</v>
      </c>
      <c r="J135" s="71">
        <v>0.36660177287617046</v>
      </c>
    </row>
    <row r="136" spans="1:10">
      <c r="A136" s="170" t="s">
        <v>215</v>
      </c>
      <c r="B136" s="71">
        <v>6.8681394230748774E-2</v>
      </c>
      <c r="C136" s="71">
        <v>1.2640565959468735E-2</v>
      </c>
      <c r="D136" s="71">
        <v>9.1639871382636656E-2</v>
      </c>
      <c r="E136" s="71">
        <v>1.7767229623413407E-2</v>
      </c>
      <c r="F136" s="71">
        <v>2.0579037816822708E-2</v>
      </c>
      <c r="G136" s="71">
        <v>9.8188128763992813E-2</v>
      </c>
      <c r="H136" s="71">
        <v>2.0428711184828002E-2</v>
      </c>
      <c r="I136" s="71">
        <v>5.4127198917456026E-3</v>
      </c>
      <c r="J136" s="71">
        <v>2.4231045559138579E-2</v>
      </c>
    </row>
    <row r="137" spans="1:10">
      <c r="A137" s="170" t="s">
        <v>216</v>
      </c>
      <c r="B137" s="71">
        <v>3.212800664280089E-2</v>
      </c>
      <c r="C137" s="71">
        <v>0</v>
      </c>
      <c r="D137" s="71">
        <v>2.2508038585209004E-2</v>
      </c>
      <c r="E137" s="71">
        <v>4.8017413196265603E-2</v>
      </c>
      <c r="F137" s="71">
        <v>0.66455623691154786</v>
      </c>
      <c r="G137" s="71">
        <v>0.11062294349607814</v>
      </c>
      <c r="H137" s="71">
        <v>2.6710027759707208E-2</v>
      </c>
      <c r="I137" s="71">
        <v>0</v>
      </c>
      <c r="J137" s="71">
        <v>0.10315317264077793</v>
      </c>
    </row>
    <row r="138" spans="1:10">
      <c r="A138" s="170" t="s">
        <v>29</v>
      </c>
      <c r="B138" s="71">
        <v>0.48189283861189353</v>
      </c>
      <c r="C138" s="71">
        <v>5.7131436242825573E-2</v>
      </c>
      <c r="D138" s="71">
        <v>0.65916398713826363</v>
      </c>
      <c r="E138" s="71">
        <v>0.1777116332738907</v>
      </c>
      <c r="F138" s="71">
        <v>0.1252885328725572</v>
      </c>
      <c r="G138" s="71">
        <v>4.2744353473827094E-2</v>
      </c>
      <c r="H138" s="71">
        <v>0.10368238226954228</v>
      </c>
      <c r="I138" s="71">
        <v>3.4957149300857013E-2</v>
      </c>
      <c r="J138" s="71">
        <v>0.16007009268903968</v>
      </c>
    </row>
    <row r="139" spans="1:10">
      <c r="A139" s="171" t="s">
        <v>217</v>
      </c>
      <c r="B139" s="71">
        <v>0.10984437803648021</v>
      </c>
      <c r="C139" s="71">
        <v>0.15623090904977033</v>
      </c>
      <c r="D139" s="71">
        <v>0.10932475884244375</v>
      </c>
      <c r="E139" s="71">
        <v>0.11618850309451378</v>
      </c>
      <c r="F139" s="71">
        <v>0.10405213781963996</v>
      </c>
      <c r="G139" s="71">
        <v>0.31436008900420109</v>
      </c>
      <c r="H139" s="71">
        <v>7.9139995331999113E-2</v>
      </c>
      <c r="I139" s="71">
        <v>7.1718538565629153E-2</v>
      </c>
      <c r="J139" s="71">
        <v>8.3662812604111902E-2</v>
      </c>
    </row>
    <row r="140" spans="1:10">
      <c r="A140" s="170" t="s">
        <v>218</v>
      </c>
      <c r="B140" s="74">
        <v>2107093.0200383952</v>
      </c>
      <c r="C140" s="76">
        <v>2566382.8293534489</v>
      </c>
      <c r="D140" s="74">
        <v>1862142.0927687497</v>
      </c>
      <c r="E140" s="75">
        <v>2434857.0641762749</v>
      </c>
      <c r="F140" s="74">
        <v>1240169.4246818933</v>
      </c>
      <c r="G140" s="75">
        <v>2155455.8851983538</v>
      </c>
      <c r="H140" s="74">
        <v>2609925.9351684023</v>
      </c>
      <c r="I140" s="75">
        <v>3077255.6419309294</v>
      </c>
      <c r="J140" s="74">
        <v>2232527.5881240033</v>
      </c>
    </row>
    <row r="141" spans="1:10">
      <c r="A141" s="170" t="s">
        <v>219</v>
      </c>
      <c r="B141" s="77">
        <v>986018.50202097266</v>
      </c>
      <c r="C141" s="79">
        <v>2278417.4785940843</v>
      </c>
      <c r="D141" s="77">
        <v>397652.43833790382</v>
      </c>
      <c r="E141" s="78">
        <v>1984036.2808672395</v>
      </c>
      <c r="F141" s="77">
        <v>229492.27400162243</v>
      </c>
      <c r="G141" s="78">
        <v>1214211.4723292189</v>
      </c>
      <c r="H141" s="77">
        <v>2297904.3403224368</v>
      </c>
      <c r="I141" s="78">
        <v>2931819.6161829308</v>
      </c>
      <c r="J141" s="77">
        <v>1762544.6500798315</v>
      </c>
    </row>
    <row r="142" spans="1:10">
      <c r="A142" s="170" t="s">
        <v>85</v>
      </c>
      <c r="B142" s="77">
        <v>274128.47779245453</v>
      </c>
      <c r="C142" s="79">
        <v>1675831.171826398</v>
      </c>
      <c r="D142" s="77">
        <v>73204.599433309006</v>
      </c>
      <c r="E142" s="78">
        <v>1864940.0260165182</v>
      </c>
      <c r="F142" s="77">
        <v>30030.932154587037</v>
      </c>
      <c r="G142" s="78">
        <v>754094.96308023238</v>
      </c>
      <c r="H142" s="77">
        <v>2144278.1017751172</v>
      </c>
      <c r="I142" s="78">
        <v>15291.77218036747</v>
      </c>
      <c r="J142" s="77">
        <v>1086018.2108217727</v>
      </c>
    </row>
    <row r="143" spans="1:10">
      <c r="A143" s="170" t="s">
        <v>84</v>
      </c>
      <c r="B143" s="77">
        <v>296036.09017241595</v>
      </c>
      <c r="C143" s="79">
        <v>517088.9816280721</v>
      </c>
      <c r="D143" s="77">
        <v>199963.55885985959</v>
      </c>
      <c r="E143" s="78">
        <v>87991.967169423253</v>
      </c>
      <c r="F143" s="77">
        <v>162274.38430703725</v>
      </c>
      <c r="G143" s="78">
        <v>410098.71639871155</v>
      </c>
      <c r="H143" s="77">
        <v>108480.44339243654</v>
      </c>
      <c r="I143" s="78">
        <v>664657.13005297584</v>
      </c>
      <c r="J143" s="77">
        <v>565084.18178654124</v>
      </c>
    </row>
    <row r="144" spans="1:10">
      <c r="A144" s="170" t="s">
        <v>213</v>
      </c>
      <c r="B144" s="77">
        <v>415853.93405610218</v>
      </c>
      <c r="C144" s="79">
        <v>85497.325139614186</v>
      </c>
      <c r="D144" s="77">
        <v>124484.28004473523</v>
      </c>
      <c r="E144" s="78">
        <v>31104.28768129797</v>
      </c>
      <c r="F144" s="77">
        <v>37186.957539998148</v>
      </c>
      <c r="G144" s="78">
        <v>50017.792850274949</v>
      </c>
      <c r="H144" s="77">
        <v>45145.795154882995</v>
      </c>
      <c r="I144" s="78">
        <v>2251870.7139495877</v>
      </c>
      <c r="J144" s="77">
        <v>111442.25747151757</v>
      </c>
    </row>
    <row r="145" spans="1:10">
      <c r="A145" s="170" t="s">
        <v>220</v>
      </c>
      <c r="B145" s="77">
        <v>798.32337626423976</v>
      </c>
      <c r="C145" s="79">
        <v>168.53206655319894</v>
      </c>
      <c r="D145" s="77">
        <v>1056.5362701030169</v>
      </c>
      <c r="E145" s="78">
        <v>337.03492563445496</v>
      </c>
      <c r="F145" s="77">
        <v>262.44543165689981</v>
      </c>
      <c r="G145" s="78">
        <v>127.4950656202825</v>
      </c>
      <c r="H145" s="77">
        <v>241.0281614335089</v>
      </c>
      <c r="I145" s="78">
        <v>167.10799537007964</v>
      </c>
      <c r="J145" s="77">
        <v>293.40708688248174</v>
      </c>
    </row>
    <row r="146" spans="1:10">
      <c r="A146" s="170" t="s">
        <v>221</v>
      </c>
      <c r="B146" s="80">
        <v>11.500743496515044</v>
      </c>
      <c r="C146" s="82">
        <v>20.39451757798636</v>
      </c>
      <c r="D146" s="80">
        <v>5.3232018397814773</v>
      </c>
      <c r="E146" s="81">
        <v>17.247872506572286</v>
      </c>
      <c r="F146" s="80">
        <v>2.5292485930749207</v>
      </c>
      <c r="G146" s="81">
        <v>12.003768413164618</v>
      </c>
      <c r="H146" s="80">
        <v>20.016013602268703</v>
      </c>
      <c r="I146" s="81">
        <v>36.320380572110118</v>
      </c>
      <c r="J146" s="80">
        <v>16.31960581076692</v>
      </c>
    </row>
    <row r="147" spans="1:10">
      <c r="A147" s="170" t="s">
        <v>222</v>
      </c>
      <c r="B147" s="80">
        <v>69.716755007482504</v>
      </c>
      <c r="C147" s="82">
        <v>77.835039846304426</v>
      </c>
      <c r="D147" s="80">
        <v>55.145252831551844</v>
      </c>
      <c r="E147" s="81">
        <v>68.966995034121581</v>
      </c>
      <c r="F147" s="80">
        <v>15.878779524980228</v>
      </c>
      <c r="G147" s="81">
        <v>75.328130451242387</v>
      </c>
      <c r="H147" s="80">
        <v>79.737722930914728</v>
      </c>
      <c r="I147" s="81">
        <v>143.78877649913079</v>
      </c>
      <c r="J147" s="80">
        <v>66.662311993279829</v>
      </c>
    </row>
    <row r="148" spans="1:10">
      <c r="A148" s="170" t="s">
        <v>223</v>
      </c>
      <c r="B148" s="80">
        <v>191.83496756433547</v>
      </c>
      <c r="C148" s="82">
        <v>173.90935020961814</v>
      </c>
      <c r="D148" s="80">
        <v>77.613288996246382</v>
      </c>
      <c r="E148" s="81">
        <v>151.56429851269905</v>
      </c>
      <c r="F148" s="80">
        <v>25.684239698369549</v>
      </c>
      <c r="G148" s="81">
        <v>107.40009373828028</v>
      </c>
      <c r="H148" s="80">
        <v>177.68755471563952</v>
      </c>
      <c r="I148" s="81">
        <v>811.79112164728815</v>
      </c>
      <c r="J148" s="80">
        <v>144.82243115867374</v>
      </c>
    </row>
    <row r="149" spans="1:10">
      <c r="A149" s="170" t="s">
        <v>224</v>
      </c>
      <c r="B149" s="80">
        <v>16.426682819533067</v>
      </c>
      <c r="C149" s="82">
        <v>30.369210088230858</v>
      </c>
      <c r="D149" s="80">
        <v>6.8939406232206801</v>
      </c>
      <c r="E149" s="81">
        <v>30.967306136190601</v>
      </c>
      <c r="F149" s="80">
        <v>2.2451428351707694</v>
      </c>
      <c r="G149" s="81">
        <v>16.415278700113948</v>
      </c>
      <c r="H149" s="80">
        <v>35.825037048748946</v>
      </c>
      <c r="I149" s="81">
        <v>53.721982237834965</v>
      </c>
      <c r="J149" s="80">
        <v>21.978737591665066</v>
      </c>
    </row>
    <row r="150" spans="1:10">
      <c r="A150" s="170" t="s">
        <v>225</v>
      </c>
      <c r="B150" s="80">
        <v>12.796167116642268</v>
      </c>
      <c r="C150" s="82">
        <v>15.036767239143815</v>
      </c>
      <c r="D150" s="80">
        <v>5.7529858500383</v>
      </c>
      <c r="E150" s="81">
        <v>14.094286360830761</v>
      </c>
      <c r="F150" s="80">
        <v>1.8297954583882696</v>
      </c>
      <c r="G150" s="81">
        <v>9.3350068929209868</v>
      </c>
      <c r="H150" s="80">
        <v>16.402673604849493</v>
      </c>
      <c r="I150" s="81">
        <v>47.980214403858866</v>
      </c>
      <c r="J150" s="80">
        <v>11.861425989191849</v>
      </c>
    </row>
    <row r="151" spans="1:10">
      <c r="A151" s="170" t="s">
        <v>226</v>
      </c>
      <c r="B151" s="80">
        <v>131.98831439135171</v>
      </c>
      <c r="C151" s="82">
        <v>191.35434229561301</v>
      </c>
      <c r="D151" s="80">
        <v>54.717771018324356</v>
      </c>
      <c r="E151" s="81">
        <v>194.86726841732096</v>
      </c>
      <c r="F151" s="80">
        <v>16.042518652252035</v>
      </c>
      <c r="G151" s="81">
        <v>106.74869494201714</v>
      </c>
      <c r="H151" s="80">
        <v>225.97826596838479</v>
      </c>
      <c r="I151" s="81">
        <v>483.60994402221422</v>
      </c>
      <c r="J151" s="80">
        <v>141.06027927569181</v>
      </c>
    </row>
    <row r="152" spans="1:10">
      <c r="A152" s="170" t="s">
        <v>227</v>
      </c>
      <c r="B152" s="80">
        <v>1.2483599179273306</v>
      </c>
      <c r="C152" s="82">
        <v>0.75961084800701006</v>
      </c>
      <c r="D152" s="80">
        <v>0.68611443258951299</v>
      </c>
      <c r="E152" s="81">
        <v>0.63475081231463171</v>
      </c>
      <c r="F152" s="80">
        <v>0.19096593538855883</v>
      </c>
      <c r="G152" s="81">
        <v>0.72170094799945905</v>
      </c>
      <c r="H152" s="80">
        <v>0.74725151013677926</v>
      </c>
      <c r="I152" s="81">
        <v>4.6939465469055506</v>
      </c>
      <c r="J152" s="80">
        <v>0.7059229583702934</v>
      </c>
    </row>
    <row r="153" spans="1:10">
      <c r="A153" s="170" t="s">
        <v>228</v>
      </c>
      <c r="B153" s="80">
        <v>2.6961447946321928</v>
      </c>
      <c r="C153" s="82">
        <v>2.1679968585555036</v>
      </c>
      <c r="D153" s="80">
        <v>1.5568476158232267</v>
      </c>
      <c r="E153" s="81">
        <v>1.333167785907545</v>
      </c>
      <c r="F153" s="80">
        <v>0.57411691351868466</v>
      </c>
      <c r="G153" s="81">
        <v>1.9431740956396035</v>
      </c>
      <c r="H153" s="80">
        <v>1.5747003859512028</v>
      </c>
      <c r="I153" s="81">
        <v>9.3442735862710098</v>
      </c>
      <c r="J153" s="80">
        <v>2.1230788787514112</v>
      </c>
    </row>
    <row r="154" spans="1:10">
      <c r="A154" s="170" t="s">
        <v>229</v>
      </c>
      <c r="B154" s="80">
        <v>130.3282325546221</v>
      </c>
      <c r="C154" s="82">
        <v>361.08153592220646</v>
      </c>
      <c r="D154" s="80">
        <v>58.175904182968836</v>
      </c>
      <c r="E154" s="81">
        <v>318.68328507685993</v>
      </c>
      <c r="F154" s="80">
        <v>34.689593329986693</v>
      </c>
      <c r="G154" s="81">
        <v>194.89054468460856</v>
      </c>
      <c r="H154" s="80">
        <v>368.36911816331497</v>
      </c>
      <c r="I154" s="81">
        <v>304.24050658064436</v>
      </c>
      <c r="J154" s="80">
        <v>276.07240514376855</v>
      </c>
    </row>
    <row r="155" spans="1:10">
      <c r="A155" s="170" t="s">
        <v>230</v>
      </c>
      <c r="B155" s="80">
        <v>2.8575449609650958</v>
      </c>
      <c r="C155" s="82">
        <v>4.711716933692669</v>
      </c>
      <c r="D155" s="80">
        <v>2.4486316785668047</v>
      </c>
      <c r="E155" s="81">
        <v>4.7944035035370405</v>
      </c>
      <c r="F155" s="80">
        <v>0.66360415392875494</v>
      </c>
      <c r="G155" s="81">
        <v>3.9585095941226607</v>
      </c>
      <c r="H155" s="80">
        <v>5.5151640984802306</v>
      </c>
      <c r="I155" s="81">
        <v>3.4730354061463213</v>
      </c>
      <c r="J155" s="80">
        <v>3.6191938584575825</v>
      </c>
    </row>
    <row r="156" spans="1:10">
      <c r="A156" s="170" t="s">
        <v>3</v>
      </c>
      <c r="B156" s="83">
        <v>80579.591652325835</v>
      </c>
      <c r="C156" s="85">
        <v>205399.86928156618</v>
      </c>
      <c r="D156" s="83">
        <v>29740.686123343439</v>
      </c>
      <c r="E156" s="84">
        <v>194086.54647886415</v>
      </c>
      <c r="F156" s="83">
        <v>15789.136229124628</v>
      </c>
      <c r="G156" s="84">
        <v>103835.65417586977</v>
      </c>
      <c r="H156" s="83">
        <v>224400.23704702681</v>
      </c>
      <c r="I156" s="84">
        <v>234457.61539121042</v>
      </c>
      <c r="J156" s="83">
        <v>151571.4072621245</v>
      </c>
    </row>
    <row r="157" spans="1:10">
      <c r="A157" s="169" t="s">
        <v>231</v>
      </c>
      <c r="B157" s="86">
        <v>1.1677121181115582</v>
      </c>
      <c r="C157" s="60">
        <v>1.4151756069838008</v>
      </c>
      <c r="D157" s="126">
        <v>0.43367536985948352</v>
      </c>
      <c r="E157" s="81">
        <v>1.1380812222235028</v>
      </c>
      <c r="F157" s="87">
        <v>0.19819330409782554</v>
      </c>
      <c r="G157" s="81">
        <v>0.79248616962702068</v>
      </c>
      <c r="H157" s="87">
        <v>1.3313446722500231</v>
      </c>
      <c r="I157" s="81">
        <v>4.830474348230049</v>
      </c>
      <c r="J157" s="87">
        <v>1.1774074357872317</v>
      </c>
    </row>
    <row r="158" spans="1:10">
      <c r="A158" s="170" t="s">
        <v>232</v>
      </c>
      <c r="B158" s="82">
        <v>5.3603273440404227</v>
      </c>
      <c r="C158" s="60">
        <v>21.538267777008912</v>
      </c>
      <c r="D158" s="61">
        <v>2.4037106038045231</v>
      </c>
      <c r="E158" s="81">
        <v>21.862309695614005</v>
      </c>
      <c r="F158" s="80">
        <v>1.1773957504674484</v>
      </c>
      <c r="G158" s="81">
        <v>10.926120196235708</v>
      </c>
      <c r="H158" s="80">
        <v>25.176407321689869</v>
      </c>
      <c r="I158" s="81">
        <v>6.058445039573761</v>
      </c>
      <c r="J158" s="80">
        <v>15.077547310111223</v>
      </c>
    </row>
    <row r="159" spans="1:10">
      <c r="A159" s="170" t="s">
        <v>233</v>
      </c>
      <c r="B159" s="82">
        <v>11.603034310550589</v>
      </c>
      <c r="C159" s="60">
        <v>49.736477472176638</v>
      </c>
      <c r="D159" s="61">
        <v>4.1551661766418269</v>
      </c>
      <c r="E159" s="81">
        <v>51.99532568960074</v>
      </c>
      <c r="F159" s="80">
        <v>2.0687342388406833</v>
      </c>
      <c r="G159" s="81">
        <v>23.796180068356318</v>
      </c>
      <c r="H159" s="80">
        <v>59.872559427617553</v>
      </c>
      <c r="I159" s="81">
        <v>15.421292658500033</v>
      </c>
      <c r="J159" s="80">
        <v>33.98404448901227</v>
      </c>
    </row>
    <row r="160" spans="1:10">
      <c r="A160" s="170" t="s">
        <v>234</v>
      </c>
      <c r="B160" s="82">
        <v>1.295993501779876</v>
      </c>
      <c r="C160" s="60">
        <v>5.4130203362257356</v>
      </c>
      <c r="D160" s="61">
        <v>0.47904560387307993</v>
      </c>
      <c r="E160" s="81">
        <v>5.5841646070212372</v>
      </c>
      <c r="F160" s="80">
        <v>0.24808658892180804</v>
      </c>
      <c r="G160" s="81">
        <v>2.6163200047742716</v>
      </c>
      <c r="H160" s="80">
        <v>6.4314602979884601</v>
      </c>
      <c r="I160" s="81">
        <v>1.7869885881518233</v>
      </c>
      <c r="J160" s="80">
        <v>3.733764239643111</v>
      </c>
    </row>
    <row r="161" spans="1:10">
      <c r="A161" s="170" t="s">
        <v>235</v>
      </c>
      <c r="B161" s="82">
        <v>1.0809837642563616</v>
      </c>
      <c r="C161" s="60">
        <v>4.3017084049149776</v>
      </c>
      <c r="D161" s="61">
        <v>0.41528700805896274</v>
      </c>
      <c r="E161" s="81">
        <v>4.361873548615173</v>
      </c>
      <c r="F161" s="80">
        <v>0.22196818219722736</v>
      </c>
      <c r="G161" s="81">
        <v>2.1086487443207433</v>
      </c>
      <c r="H161" s="80">
        <v>5.0253476964364872</v>
      </c>
      <c r="I161" s="81">
        <v>1.6163344815095844</v>
      </c>
      <c r="J161" s="80">
        <v>3.0045193404495096</v>
      </c>
    </row>
    <row r="162" spans="1:10">
      <c r="A162" s="170" t="s">
        <v>236</v>
      </c>
      <c r="B162" s="82">
        <v>11.352735566319915</v>
      </c>
      <c r="C162" s="60">
        <v>61.108224022124631</v>
      </c>
      <c r="D162" s="61">
        <v>3.3200287464383176</v>
      </c>
      <c r="E162" s="81">
        <v>67.650415589739382</v>
      </c>
      <c r="F162" s="80">
        <v>1.2949959725610387</v>
      </c>
      <c r="G162" s="81">
        <v>27.81522711642652</v>
      </c>
      <c r="H162" s="80">
        <v>77.809995858172201</v>
      </c>
      <c r="I162" s="81">
        <v>6.9324792806970503</v>
      </c>
      <c r="J162" s="80">
        <v>39.878789819284343</v>
      </c>
    </row>
    <row r="163" spans="1:10">
      <c r="A163" s="170" t="s">
        <v>237</v>
      </c>
      <c r="B163" s="82">
        <v>6.3781513363343437E-2</v>
      </c>
      <c r="C163" s="60">
        <v>0.19192868541518118</v>
      </c>
      <c r="D163" s="61">
        <v>2.5952843105642175E-2</v>
      </c>
      <c r="E163" s="81">
        <v>0.19003012378390358</v>
      </c>
      <c r="F163" s="80">
        <v>1.2376818173465583E-2</v>
      </c>
      <c r="G163" s="81">
        <v>9.7748405490530238E-2</v>
      </c>
      <c r="H163" s="80">
        <v>0.21925594316031374</v>
      </c>
      <c r="I163" s="81">
        <v>0.14541505231336493</v>
      </c>
      <c r="J163" s="80">
        <v>0.13745780049079753</v>
      </c>
    </row>
    <row r="164" spans="1:10">
      <c r="A164" s="171" t="s">
        <v>238</v>
      </c>
      <c r="B164" s="89">
        <v>0.23327773939984328</v>
      </c>
      <c r="C164" s="127">
        <v>0.59115824639544656</v>
      </c>
      <c r="D164" s="68">
        <v>0.13322393280449671</v>
      </c>
      <c r="E164" s="91">
        <v>0.40088108775681075</v>
      </c>
      <c r="F164" s="90">
        <v>9.3117783661552031E-2</v>
      </c>
      <c r="G164" s="91">
        <v>0.36666711104986538</v>
      </c>
      <c r="H164" s="90">
        <v>0.46516702841832008</v>
      </c>
      <c r="I164" s="91">
        <v>0.46103505117802213</v>
      </c>
      <c r="J164" s="90">
        <v>0.50696536538976611</v>
      </c>
    </row>
    <row r="166" spans="1:10">
      <c r="A166" s="143" t="s">
        <v>310</v>
      </c>
      <c r="C166" s="49"/>
    </row>
    <row r="167" spans="1:10" ht="28.8">
      <c r="A167" s="201"/>
      <c r="B167" s="168" t="s">
        <v>311</v>
      </c>
      <c r="C167" s="168" t="s">
        <v>312</v>
      </c>
    </row>
    <row r="168" spans="1:10">
      <c r="A168" s="153" t="s">
        <v>313</v>
      </c>
      <c r="B168" s="51">
        <v>0.81240000000000001</v>
      </c>
      <c r="C168" s="71"/>
    </row>
    <row r="169" spans="1:10">
      <c r="A169" s="158" t="s">
        <v>207</v>
      </c>
      <c r="B169" s="51">
        <v>3.0000000000000001E-3</v>
      </c>
      <c r="C169" s="71">
        <v>1.5991471215351803E-2</v>
      </c>
    </row>
    <row r="170" spans="1:10">
      <c r="A170" s="158" t="s">
        <v>208</v>
      </c>
      <c r="B170" s="51">
        <v>3.5499999999999997E-2</v>
      </c>
      <c r="C170" s="71">
        <v>0.189232409381663</v>
      </c>
    </row>
    <row r="171" spans="1:10">
      <c r="A171" s="158" t="s">
        <v>209</v>
      </c>
      <c r="B171" s="51">
        <v>2.8999999999999998E-3</v>
      </c>
      <c r="C171" s="71">
        <v>1.5458422174840076E-2</v>
      </c>
    </row>
    <row r="172" spans="1:10">
      <c r="A172" s="158" t="s">
        <v>210</v>
      </c>
      <c r="B172" s="51">
        <v>1.9400000000000001E-2</v>
      </c>
      <c r="C172" s="71">
        <v>0.10341151385927499</v>
      </c>
    </row>
    <row r="173" spans="1:10">
      <c r="A173" s="158" t="s">
        <v>211</v>
      </c>
      <c r="B173" s="51">
        <v>7.4000000000000003E-3</v>
      </c>
      <c r="C173" s="71">
        <v>3.9445628997867785E-2</v>
      </c>
    </row>
    <row r="174" spans="1:10">
      <c r="A174" s="158" t="s">
        <v>16</v>
      </c>
      <c r="B174" s="51">
        <v>0.1041</v>
      </c>
      <c r="C174" s="71">
        <v>0.55490405117270758</v>
      </c>
    </row>
    <row r="175" spans="1:10">
      <c r="A175" s="162" t="s">
        <v>212</v>
      </c>
      <c r="B175" s="70">
        <v>1.5300000000000091E-2</v>
      </c>
      <c r="C175" s="92">
        <v>8.1556503198294689E-2</v>
      </c>
    </row>
    <row r="176" spans="1:10">
      <c r="B176" s="264"/>
      <c r="C176" s="137"/>
      <c r="D176" s="62"/>
      <c r="E176" s="62"/>
      <c r="F176" s="62"/>
      <c r="G176" s="62"/>
      <c r="H176" s="62"/>
      <c r="I176" s="62"/>
      <c r="J176" s="62"/>
    </row>
    <row r="177" spans="1:40">
      <c r="A177" s="144" t="s">
        <v>317</v>
      </c>
    </row>
    <row r="178" spans="1:40">
      <c r="A178" s="169" t="s">
        <v>318</v>
      </c>
      <c r="B178" s="95">
        <v>1</v>
      </c>
    </row>
    <row r="179" spans="1:40">
      <c r="A179" s="170" t="s">
        <v>319</v>
      </c>
      <c r="B179" s="94">
        <v>1</v>
      </c>
    </row>
    <row r="180" spans="1:40">
      <c r="A180" s="170" t="s">
        <v>320</v>
      </c>
      <c r="B180" s="212">
        <v>0</v>
      </c>
    </row>
    <row r="181" spans="1:40">
      <c r="A181" s="170" t="s">
        <v>321</v>
      </c>
      <c r="B181" s="94">
        <v>1</v>
      </c>
    </row>
    <row r="182" spans="1:40">
      <c r="A182" s="170" t="s">
        <v>322</v>
      </c>
      <c r="B182" s="212">
        <v>1</v>
      </c>
      <c r="F182" s="259"/>
    </row>
    <row r="183" spans="1:40">
      <c r="A183" s="170" t="s">
        <v>323</v>
      </c>
      <c r="B183" s="212">
        <v>0</v>
      </c>
      <c r="F183" s="259"/>
    </row>
    <row r="184" spans="1:40">
      <c r="A184" s="170" t="s">
        <v>324</v>
      </c>
      <c r="B184" s="212">
        <v>0</v>
      </c>
      <c r="F184" s="259"/>
    </row>
    <row r="185" spans="1:40">
      <c r="A185" s="171" t="s">
        <v>325</v>
      </c>
      <c r="B185" s="214">
        <v>1</v>
      </c>
      <c r="F185" s="259"/>
    </row>
    <row r="186" spans="1:40">
      <c r="F186" s="259"/>
    </row>
    <row r="187" spans="1:40">
      <c r="A187" s="144" t="s">
        <v>326</v>
      </c>
    </row>
    <row r="188" spans="1:40" ht="12.75" customHeight="1">
      <c r="A188" s="1239"/>
      <c r="B188" s="1242" t="s">
        <v>327</v>
      </c>
      <c r="C188" s="1243"/>
      <c r="D188" s="1243"/>
      <c r="E188" s="1243"/>
      <c r="F188" s="1243"/>
      <c r="G188" s="1243"/>
      <c r="H188" s="1243"/>
      <c r="I188" s="1243"/>
      <c r="J188" s="1243"/>
      <c r="K188" s="1243"/>
      <c r="L188" s="1243"/>
      <c r="M188" s="1244"/>
      <c r="N188" s="1245" t="s">
        <v>328</v>
      </c>
      <c r="O188" s="1246"/>
      <c r="P188" s="1246"/>
      <c r="Q188" s="1246"/>
      <c r="R188" s="1246"/>
      <c r="S188" s="1246"/>
      <c r="T188" s="1246"/>
      <c r="U188" s="1246"/>
      <c r="V188" s="1246"/>
      <c r="W188" s="1246"/>
      <c r="X188" s="1243" t="s">
        <v>329</v>
      </c>
      <c r="Y188" s="1243"/>
      <c r="Z188" s="1243"/>
      <c r="AA188" s="1243"/>
      <c r="AB188" s="1243"/>
      <c r="AC188" s="1244"/>
      <c r="AD188" s="1255" t="s">
        <v>424</v>
      </c>
      <c r="AE188" s="1256"/>
      <c r="AF188" s="1245" t="s">
        <v>427</v>
      </c>
      <c r="AG188" s="1246"/>
      <c r="AH188" s="1246"/>
      <c r="AI188" s="1246"/>
      <c r="AJ188" s="1246"/>
      <c r="AK188" s="1251"/>
      <c r="AL188" s="1242" t="s">
        <v>428</v>
      </c>
      <c r="AM188" s="1243"/>
      <c r="AN188" s="1244"/>
    </row>
    <row r="189" spans="1:40" ht="52.8" customHeight="1">
      <c r="A189" s="1240"/>
      <c r="B189" s="1242" t="s">
        <v>182</v>
      </c>
      <c r="C189" s="1244"/>
      <c r="D189" s="1242" t="s">
        <v>332</v>
      </c>
      <c r="E189" s="1244"/>
      <c r="F189" s="1242" t="s">
        <v>333</v>
      </c>
      <c r="G189" s="1244"/>
      <c r="H189" s="1242" t="s">
        <v>334</v>
      </c>
      <c r="I189" s="1244"/>
      <c r="J189" s="1242" t="s">
        <v>335</v>
      </c>
      <c r="K189" s="1244"/>
      <c r="L189" s="1242" t="s">
        <v>336</v>
      </c>
      <c r="M189" s="1244"/>
      <c r="N189" s="1242" t="s">
        <v>182</v>
      </c>
      <c r="O189" s="1244"/>
      <c r="P189" s="1242" t="s">
        <v>333</v>
      </c>
      <c r="Q189" s="1244"/>
      <c r="R189" s="1242" t="s">
        <v>334</v>
      </c>
      <c r="S189" s="1244"/>
      <c r="T189" s="1242" t="s">
        <v>337</v>
      </c>
      <c r="U189" s="1244"/>
      <c r="V189" s="1242" t="s">
        <v>336</v>
      </c>
      <c r="W189" s="1244"/>
      <c r="X189" s="1242" t="s">
        <v>338</v>
      </c>
      <c r="Y189" s="1244"/>
      <c r="Z189" s="1242" t="s">
        <v>339</v>
      </c>
      <c r="AA189" s="1244"/>
      <c r="AB189" s="1242" t="s">
        <v>190</v>
      </c>
      <c r="AC189" s="1244"/>
      <c r="AD189" s="1257"/>
      <c r="AE189" s="1258"/>
      <c r="AF189" s="1242" t="s">
        <v>429</v>
      </c>
      <c r="AG189" s="1244"/>
      <c r="AH189" s="1242" t="s">
        <v>430</v>
      </c>
      <c r="AI189" s="1244"/>
      <c r="AJ189" s="1242" t="s">
        <v>431</v>
      </c>
      <c r="AK189" s="1244"/>
      <c r="AL189" s="202" t="s">
        <v>432</v>
      </c>
      <c r="AM189" s="202" t="s">
        <v>433</v>
      </c>
      <c r="AN189" s="202" t="s">
        <v>434</v>
      </c>
    </row>
    <row r="190" spans="1:40" ht="77.25" customHeight="1">
      <c r="A190" s="1241"/>
      <c r="B190" s="223" t="s">
        <v>352</v>
      </c>
      <c r="C190" s="223" t="s">
        <v>353</v>
      </c>
      <c r="D190" s="221" t="s">
        <v>352</v>
      </c>
      <c r="E190" s="222" t="s">
        <v>353</v>
      </c>
      <c r="F190" s="223" t="s">
        <v>352</v>
      </c>
      <c r="G190" s="223" t="s">
        <v>353</v>
      </c>
      <c r="H190" s="221" t="s">
        <v>352</v>
      </c>
      <c r="I190" s="222" t="s">
        <v>353</v>
      </c>
      <c r="J190" s="223" t="s">
        <v>352</v>
      </c>
      <c r="K190" s="223" t="s">
        <v>353</v>
      </c>
      <c r="L190" s="221" t="s">
        <v>352</v>
      </c>
      <c r="M190" s="222" t="s">
        <v>353</v>
      </c>
      <c r="N190" s="223" t="s">
        <v>352</v>
      </c>
      <c r="O190" s="223" t="s">
        <v>353</v>
      </c>
      <c r="P190" s="221" t="s">
        <v>352</v>
      </c>
      <c r="Q190" s="222" t="s">
        <v>353</v>
      </c>
      <c r="R190" s="223" t="s">
        <v>352</v>
      </c>
      <c r="S190" s="223" t="s">
        <v>353</v>
      </c>
      <c r="T190" s="221" t="s">
        <v>352</v>
      </c>
      <c r="U190" s="222" t="s">
        <v>353</v>
      </c>
      <c r="V190" s="223" t="s">
        <v>352</v>
      </c>
      <c r="W190" s="223" t="s">
        <v>353</v>
      </c>
      <c r="X190" s="221" t="s">
        <v>352</v>
      </c>
      <c r="Y190" s="222" t="s">
        <v>353</v>
      </c>
      <c r="Z190" s="223" t="s">
        <v>352</v>
      </c>
      <c r="AA190" s="223" t="s">
        <v>353</v>
      </c>
      <c r="AB190" s="221" t="s">
        <v>352</v>
      </c>
      <c r="AC190" s="222" t="s">
        <v>353</v>
      </c>
      <c r="AD190" s="221" t="s">
        <v>352</v>
      </c>
      <c r="AE190" s="222" t="s">
        <v>353</v>
      </c>
      <c r="AF190" s="221" t="s">
        <v>352</v>
      </c>
      <c r="AG190" s="222" t="s">
        <v>353</v>
      </c>
      <c r="AH190" s="221" t="s">
        <v>352</v>
      </c>
      <c r="AI190" s="222" t="s">
        <v>353</v>
      </c>
      <c r="AJ190" s="221" t="s">
        <v>352</v>
      </c>
      <c r="AK190" s="222" t="s">
        <v>353</v>
      </c>
      <c r="AL190" s="265" t="s">
        <v>435</v>
      </c>
      <c r="AM190" s="265" t="s">
        <v>435</v>
      </c>
      <c r="AN190" s="265" t="s">
        <v>435</v>
      </c>
    </row>
    <row r="191" spans="1:40" ht="27">
      <c r="A191" s="218" t="s">
        <v>354</v>
      </c>
      <c r="B191" s="156">
        <v>8.2000000000000003E-2</v>
      </c>
      <c r="C191" s="155"/>
      <c r="D191" s="137">
        <v>7.5869999999999997</v>
      </c>
      <c r="E191" s="137"/>
      <c r="F191" s="156">
        <v>10.6</v>
      </c>
      <c r="G191" s="155"/>
      <c r="H191" s="137">
        <v>2.78</v>
      </c>
      <c r="I191" s="137"/>
      <c r="J191" s="156">
        <v>46.953000000000003</v>
      </c>
      <c r="K191" s="155"/>
      <c r="L191" s="137">
        <v>1.016</v>
      </c>
      <c r="M191" s="137"/>
      <c r="N191" s="156">
        <v>8.2000000000000003E-2</v>
      </c>
      <c r="O191" s="155"/>
      <c r="P191" s="137">
        <v>10.6</v>
      </c>
      <c r="Q191" s="137"/>
      <c r="R191" s="156">
        <v>2.78</v>
      </c>
      <c r="S191" s="155"/>
      <c r="T191" s="137">
        <v>46.953000000000003</v>
      </c>
      <c r="U191" s="137"/>
      <c r="V191" s="156">
        <v>1.016</v>
      </c>
      <c r="W191" s="155"/>
      <c r="X191" s="137">
        <v>4.9829999999999997</v>
      </c>
      <c r="Y191" s="137"/>
      <c r="Z191" s="156">
        <v>4.9829999999999997</v>
      </c>
      <c r="AA191" s="155"/>
      <c r="AB191" s="137">
        <v>5.7450000000000001</v>
      </c>
      <c r="AC191" s="137"/>
      <c r="AD191" s="225">
        <v>4.633</v>
      </c>
      <c r="AE191" s="226"/>
      <c r="AF191" s="169">
        <v>46.953000000000003</v>
      </c>
      <c r="AG191" s="226"/>
      <c r="AH191" s="169">
        <v>46.953000000000003</v>
      </c>
      <c r="AI191" s="226"/>
      <c r="AJ191" s="169">
        <v>46.953000000000003</v>
      </c>
      <c r="AK191" s="226"/>
      <c r="AL191" s="153"/>
      <c r="AM191" s="153"/>
      <c r="AN191" s="153"/>
    </row>
    <row r="192" spans="1:40">
      <c r="A192" s="143" t="s">
        <v>355</v>
      </c>
      <c r="B192" s="97">
        <v>0</v>
      </c>
      <c r="C192" s="98"/>
      <c r="D192" s="99">
        <v>0</v>
      </c>
      <c r="E192" s="99"/>
      <c r="F192" s="97">
        <v>0</v>
      </c>
      <c r="G192" s="98"/>
      <c r="H192" s="99">
        <v>0</v>
      </c>
      <c r="I192" s="99"/>
      <c r="J192" s="97">
        <v>0</v>
      </c>
      <c r="K192" s="98"/>
      <c r="L192" s="99">
        <v>0</v>
      </c>
      <c r="M192" s="99"/>
      <c r="N192" s="97">
        <v>0</v>
      </c>
      <c r="O192" s="98"/>
      <c r="P192" s="99">
        <v>0</v>
      </c>
      <c r="Q192" s="99"/>
      <c r="R192" s="97">
        <v>0</v>
      </c>
      <c r="S192" s="98"/>
      <c r="T192" s="99">
        <v>0</v>
      </c>
      <c r="U192" s="99"/>
      <c r="V192" s="97">
        <v>0</v>
      </c>
      <c r="W192" s="98"/>
      <c r="X192" s="99">
        <v>0</v>
      </c>
      <c r="Y192" s="99"/>
      <c r="Z192" s="97">
        <v>0</v>
      </c>
      <c r="AA192" s="98"/>
      <c r="AB192" s="99">
        <v>0</v>
      </c>
      <c r="AC192" s="99"/>
      <c r="AD192">
        <v>0</v>
      </c>
      <c r="AF192" s="97">
        <v>0</v>
      </c>
      <c r="AG192" s="228"/>
      <c r="AH192" s="97">
        <v>0</v>
      </c>
      <c r="AI192" s="228"/>
      <c r="AJ192" s="97">
        <v>0</v>
      </c>
      <c r="AK192" s="228"/>
      <c r="AL192" s="158"/>
      <c r="AM192" s="158"/>
      <c r="AN192" s="158"/>
    </row>
    <row r="193" spans="1:40">
      <c r="A193" s="143" t="s">
        <v>356</v>
      </c>
      <c r="B193" s="231"/>
      <c r="C193" s="232"/>
      <c r="D193" s="231"/>
      <c r="E193" s="232"/>
      <c r="F193" s="233"/>
      <c r="G193" s="233"/>
      <c r="H193" s="231"/>
      <c r="I193" s="232"/>
      <c r="J193" s="233"/>
      <c r="K193" s="233"/>
      <c r="L193" s="231"/>
      <c r="M193" s="232"/>
      <c r="N193" s="233"/>
      <c r="O193" s="233"/>
      <c r="P193" s="231"/>
      <c r="Q193" s="232"/>
      <c r="R193" s="233"/>
      <c r="S193" s="233"/>
      <c r="T193" s="231"/>
      <c r="U193" s="232"/>
      <c r="V193" s="233"/>
      <c r="W193" s="233"/>
      <c r="X193" s="231"/>
      <c r="Y193" s="232"/>
      <c r="Z193" s="233"/>
      <c r="AA193" s="233"/>
      <c r="AB193" s="231"/>
      <c r="AC193" s="232"/>
      <c r="AD193" s="231"/>
      <c r="AE193" s="226"/>
      <c r="AF193" s="231"/>
      <c r="AG193" s="232"/>
      <c r="AH193" s="231"/>
      <c r="AI193" s="232"/>
      <c r="AJ193" s="231"/>
      <c r="AK193" s="232"/>
      <c r="AL193" s="153"/>
      <c r="AM193" s="153"/>
      <c r="AN193" s="153"/>
    </row>
    <row r="194" spans="1:40">
      <c r="A194" t="s">
        <v>357</v>
      </c>
      <c r="B194" s="101">
        <v>0.2089</v>
      </c>
      <c r="C194" s="102"/>
      <c r="D194" s="101">
        <v>0</v>
      </c>
      <c r="E194" s="102"/>
      <c r="F194" s="99">
        <v>8.3299999999999999E-2</v>
      </c>
      <c r="G194" s="99"/>
      <c r="H194" s="101">
        <v>0.21249999999999999</v>
      </c>
      <c r="I194" s="102"/>
      <c r="J194" s="99">
        <v>0</v>
      </c>
      <c r="K194" s="99"/>
      <c r="L194" s="101">
        <v>0</v>
      </c>
      <c r="M194" s="102"/>
      <c r="N194" s="99">
        <v>0.2089</v>
      </c>
      <c r="O194" s="99"/>
      <c r="P194" s="101">
        <v>8.3299999999999999E-2</v>
      </c>
      <c r="Q194" s="102"/>
      <c r="R194" s="99">
        <v>0.21249999999999999</v>
      </c>
      <c r="S194" s="99"/>
      <c r="T194" s="101">
        <v>0</v>
      </c>
      <c r="U194" s="102"/>
      <c r="V194" s="99">
        <v>0</v>
      </c>
      <c r="W194" s="99"/>
      <c r="X194" s="101">
        <v>0</v>
      </c>
      <c r="Y194" s="102"/>
      <c r="Z194" s="99">
        <v>0</v>
      </c>
      <c r="AA194" s="99"/>
      <c r="AB194" s="101">
        <v>0</v>
      </c>
      <c r="AC194" s="102"/>
      <c r="AD194" s="101">
        <v>0</v>
      </c>
      <c r="AE194" s="235"/>
      <c r="AF194" s="101">
        <v>0</v>
      </c>
      <c r="AG194" s="102"/>
      <c r="AH194" s="101">
        <v>0</v>
      </c>
      <c r="AI194" s="102"/>
      <c r="AJ194" s="101">
        <v>0</v>
      </c>
      <c r="AK194" s="102"/>
      <c r="AL194" s="158"/>
      <c r="AM194" s="158"/>
      <c r="AN194" s="158"/>
    </row>
    <row r="195" spans="1:40">
      <c r="A195" t="s">
        <v>358</v>
      </c>
      <c r="B195" s="101">
        <v>0.73519999999999996</v>
      </c>
      <c r="C195" s="102"/>
      <c r="D195" s="101">
        <v>0</v>
      </c>
      <c r="E195" s="102"/>
      <c r="F195" s="99">
        <v>3.3999999999999998E-3</v>
      </c>
      <c r="G195" s="99"/>
      <c r="H195" s="101">
        <v>6.7999999999999996E-3</v>
      </c>
      <c r="I195" s="102"/>
      <c r="J195" s="99">
        <v>0</v>
      </c>
      <c r="K195" s="99"/>
      <c r="L195" s="101">
        <v>0.109</v>
      </c>
      <c r="M195" s="102"/>
      <c r="N195" s="99">
        <v>0.73519999999999996</v>
      </c>
      <c r="O195" s="99"/>
      <c r="P195" s="101">
        <v>3.3999999999999998E-3</v>
      </c>
      <c r="Q195" s="102"/>
      <c r="R195" s="99">
        <v>6.7999999999999996E-3</v>
      </c>
      <c r="S195" s="99"/>
      <c r="T195" s="101">
        <v>0</v>
      </c>
      <c r="U195" s="102"/>
      <c r="V195" s="99">
        <v>0.109</v>
      </c>
      <c r="W195" s="99"/>
      <c r="X195" s="101">
        <v>1.8E-3</v>
      </c>
      <c r="Y195" s="102"/>
      <c r="Z195" s="99">
        <v>1.8E-3</v>
      </c>
      <c r="AA195" s="99"/>
      <c r="AB195" s="101">
        <v>0</v>
      </c>
      <c r="AC195" s="102"/>
      <c r="AD195" s="101">
        <v>0</v>
      </c>
      <c r="AE195" s="235"/>
      <c r="AF195" s="101">
        <v>0</v>
      </c>
      <c r="AG195" s="102"/>
      <c r="AH195" s="101">
        <v>0</v>
      </c>
      <c r="AI195" s="102"/>
      <c r="AJ195" s="101">
        <v>0</v>
      </c>
      <c r="AK195" s="102"/>
      <c r="AL195" s="158"/>
      <c r="AM195" s="158"/>
      <c r="AN195" s="158"/>
    </row>
    <row r="196" spans="1:40">
      <c r="A196" t="s">
        <v>359</v>
      </c>
      <c r="B196" s="101">
        <v>0</v>
      </c>
      <c r="C196" s="102"/>
      <c r="D196" s="101">
        <v>0</v>
      </c>
      <c r="E196" s="102"/>
      <c r="F196" s="99">
        <v>0</v>
      </c>
      <c r="G196" s="99"/>
      <c r="H196" s="101">
        <v>0</v>
      </c>
      <c r="I196" s="102"/>
      <c r="J196" s="99">
        <v>0</v>
      </c>
      <c r="K196" s="99"/>
      <c r="L196" s="101">
        <v>0</v>
      </c>
      <c r="M196" s="102"/>
      <c r="N196" s="99">
        <v>0</v>
      </c>
      <c r="O196" s="99"/>
      <c r="P196" s="101">
        <v>0</v>
      </c>
      <c r="Q196" s="102"/>
      <c r="R196" s="99">
        <v>0</v>
      </c>
      <c r="S196" s="99"/>
      <c r="T196" s="101">
        <v>0</v>
      </c>
      <c r="U196" s="102"/>
      <c r="V196" s="99">
        <v>0</v>
      </c>
      <c r="W196" s="99"/>
      <c r="X196" s="101">
        <v>0</v>
      </c>
      <c r="Y196" s="102"/>
      <c r="Z196" s="99">
        <v>0</v>
      </c>
      <c r="AA196" s="99"/>
      <c r="AB196" s="101">
        <v>0</v>
      </c>
      <c r="AC196" s="102"/>
      <c r="AD196" s="101">
        <v>0</v>
      </c>
      <c r="AE196" s="235"/>
      <c r="AF196" s="101">
        <v>0</v>
      </c>
      <c r="AG196" s="102"/>
      <c r="AH196" s="101">
        <v>0</v>
      </c>
      <c r="AI196" s="102"/>
      <c r="AJ196" s="101">
        <v>0</v>
      </c>
      <c r="AK196" s="102"/>
      <c r="AL196" s="158"/>
      <c r="AM196" s="158"/>
      <c r="AN196" s="158"/>
    </row>
    <row r="197" spans="1:40">
      <c r="A197" t="s">
        <v>360</v>
      </c>
      <c r="B197" s="101">
        <v>0</v>
      </c>
      <c r="C197" s="102"/>
      <c r="D197" s="101">
        <v>0.96960000000000002</v>
      </c>
      <c r="E197" s="102"/>
      <c r="F197" s="99">
        <v>0.18920000000000001</v>
      </c>
      <c r="G197" s="99"/>
      <c r="H197" s="101">
        <v>0.50480000000000003</v>
      </c>
      <c r="I197" s="102"/>
      <c r="J197" s="99">
        <v>0</v>
      </c>
      <c r="K197" s="99"/>
      <c r="L197" s="101">
        <v>0.72970000000000002</v>
      </c>
      <c r="M197" s="102"/>
      <c r="N197" s="99">
        <v>0</v>
      </c>
      <c r="O197" s="99"/>
      <c r="P197" s="101">
        <v>0.18920000000000001</v>
      </c>
      <c r="Q197" s="102"/>
      <c r="R197" s="99">
        <v>0.50480000000000003</v>
      </c>
      <c r="S197" s="99"/>
      <c r="T197" s="101">
        <v>0</v>
      </c>
      <c r="U197" s="102"/>
      <c r="V197" s="99">
        <v>0.72970000000000002</v>
      </c>
      <c r="W197" s="99"/>
      <c r="X197" s="101">
        <v>0.91390000000000005</v>
      </c>
      <c r="Y197" s="102"/>
      <c r="Z197" s="99">
        <v>0.91390000000000005</v>
      </c>
      <c r="AA197" s="99"/>
      <c r="AB197" s="101">
        <v>0.88680000000000003</v>
      </c>
      <c r="AC197" s="102"/>
      <c r="AD197" s="101">
        <v>0.35239999999999999</v>
      </c>
      <c r="AE197" s="235"/>
      <c r="AF197" s="101">
        <v>0</v>
      </c>
      <c r="AG197" s="102"/>
      <c r="AH197" s="101">
        <v>0</v>
      </c>
      <c r="AI197" s="102"/>
      <c r="AJ197" s="101">
        <v>0</v>
      </c>
      <c r="AK197" s="102"/>
      <c r="AL197" s="158"/>
      <c r="AM197" s="158"/>
      <c r="AN197" s="158"/>
    </row>
    <row r="198" spans="1:40">
      <c r="A198" t="s">
        <v>361</v>
      </c>
      <c r="B198" s="101">
        <v>0</v>
      </c>
      <c r="C198" s="102"/>
      <c r="D198" s="101">
        <v>0</v>
      </c>
      <c r="E198" s="102"/>
      <c r="F198" s="99">
        <v>0.66059999999999997</v>
      </c>
      <c r="G198" s="99"/>
      <c r="H198" s="101">
        <v>0</v>
      </c>
      <c r="I198" s="102"/>
      <c r="J198" s="99">
        <v>0</v>
      </c>
      <c r="K198" s="99"/>
      <c r="L198" s="101">
        <v>0</v>
      </c>
      <c r="M198" s="102"/>
      <c r="N198" s="99">
        <v>0</v>
      </c>
      <c r="O198" s="99"/>
      <c r="P198" s="101">
        <v>0.66059999999999997</v>
      </c>
      <c r="Q198" s="102"/>
      <c r="R198" s="99">
        <v>0</v>
      </c>
      <c r="S198" s="99"/>
      <c r="T198" s="101">
        <v>0</v>
      </c>
      <c r="U198" s="102"/>
      <c r="V198" s="99">
        <v>0</v>
      </c>
      <c r="W198" s="99"/>
      <c r="X198" s="101">
        <v>0</v>
      </c>
      <c r="Y198" s="102"/>
      <c r="Z198" s="99">
        <v>0</v>
      </c>
      <c r="AA198" s="99"/>
      <c r="AB198" s="101">
        <v>0</v>
      </c>
      <c r="AC198" s="102"/>
      <c r="AD198" s="101">
        <v>0</v>
      </c>
      <c r="AE198" s="235"/>
      <c r="AF198" s="101">
        <v>0</v>
      </c>
      <c r="AG198" s="102"/>
      <c r="AH198" s="101">
        <v>0</v>
      </c>
      <c r="AI198" s="102"/>
      <c r="AJ198" s="101">
        <v>0</v>
      </c>
      <c r="AK198" s="102"/>
      <c r="AL198" s="51"/>
      <c r="AM198" s="51"/>
      <c r="AN198" s="51"/>
    </row>
    <row r="199" spans="1:40">
      <c r="A199" t="s">
        <v>362</v>
      </c>
      <c r="B199" s="101">
        <v>0</v>
      </c>
      <c r="C199" s="102"/>
      <c r="D199" s="101">
        <v>0</v>
      </c>
      <c r="E199" s="102"/>
      <c r="F199" s="99">
        <v>0</v>
      </c>
      <c r="G199" s="99"/>
      <c r="H199" s="101">
        <v>0</v>
      </c>
      <c r="I199" s="102"/>
      <c r="J199" s="99">
        <v>0</v>
      </c>
      <c r="K199" s="99"/>
      <c r="L199" s="101">
        <v>0</v>
      </c>
      <c r="M199" s="102"/>
      <c r="N199" s="99">
        <v>0</v>
      </c>
      <c r="O199" s="99"/>
      <c r="P199" s="101">
        <v>0</v>
      </c>
      <c r="Q199" s="102"/>
      <c r="R199" s="99">
        <v>0</v>
      </c>
      <c r="S199" s="99"/>
      <c r="T199" s="101">
        <v>0</v>
      </c>
      <c r="U199" s="102"/>
      <c r="V199" s="99">
        <v>0</v>
      </c>
      <c r="W199" s="99"/>
      <c r="X199" s="101">
        <v>0</v>
      </c>
      <c r="Y199" s="102"/>
      <c r="Z199" s="99">
        <v>0</v>
      </c>
      <c r="AA199" s="99"/>
      <c r="AB199" s="101">
        <v>0</v>
      </c>
      <c r="AC199" s="102"/>
      <c r="AD199" s="101">
        <v>0</v>
      </c>
      <c r="AE199" s="235"/>
      <c r="AF199" s="101">
        <v>0</v>
      </c>
      <c r="AG199" s="102"/>
      <c r="AH199" s="101">
        <v>0</v>
      </c>
      <c r="AI199" s="102"/>
      <c r="AJ199" s="101">
        <v>0</v>
      </c>
      <c r="AK199" s="102"/>
      <c r="AL199" s="158"/>
      <c r="AM199" s="158"/>
      <c r="AN199" s="158"/>
    </row>
    <row r="200" spans="1:40">
      <c r="A200" t="s">
        <v>363</v>
      </c>
      <c r="B200" s="101">
        <v>0</v>
      </c>
      <c r="C200" s="102"/>
      <c r="D200" s="101">
        <v>0</v>
      </c>
      <c r="E200" s="102"/>
      <c r="F200" s="99">
        <v>0</v>
      </c>
      <c r="G200" s="99"/>
      <c r="H200" s="101">
        <v>0</v>
      </c>
      <c r="I200" s="102"/>
      <c r="J200" s="99">
        <v>0</v>
      </c>
      <c r="K200" s="99"/>
      <c r="L200" s="101">
        <v>0</v>
      </c>
      <c r="M200" s="102"/>
      <c r="N200" s="99">
        <v>0</v>
      </c>
      <c r="O200" s="99"/>
      <c r="P200" s="101">
        <v>0</v>
      </c>
      <c r="Q200" s="102"/>
      <c r="R200" s="99">
        <v>0</v>
      </c>
      <c r="S200" s="99"/>
      <c r="T200" s="101">
        <v>0</v>
      </c>
      <c r="U200" s="102"/>
      <c r="V200" s="99">
        <v>0</v>
      </c>
      <c r="W200" s="99"/>
      <c r="X200" s="101">
        <v>4.0000000000000002E-4</v>
      </c>
      <c r="Y200" s="102"/>
      <c r="Z200" s="99">
        <v>4.0000000000000002E-4</v>
      </c>
      <c r="AA200" s="99"/>
      <c r="AB200" s="101">
        <v>0</v>
      </c>
      <c r="AC200" s="102"/>
      <c r="AD200" s="101">
        <v>0</v>
      </c>
      <c r="AE200" s="235"/>
      <c r="AF200" s="101">
        <v>0</v>
      </c>
      <c r="AG200" s="102"/>
      <c r="AH200" s="101">
        <v>0</v>
      </c>
      <c r="AI200" s="102"/>
      <c r="AJ200" s="101">
        <v>0</v>
      </c>
      <c r="AK200" s="102"/>
      <c r="AL200" s="266"/>
      <c r="AM200" s="266"/>
      <c r="AN200" s="266"/>
    </row>
    <row r="201" spans="1:40">
      <c r="A201" t="s">
        <v>364</v>
      </c>
      <c r="B201" s="101">
        <v>0</v>
      </c>
      <c r="C201" s="102"/>
      <c r="D201" s="101">
        <v>0</v>
      </c>
      <c r="E201" s="102"/>
      <c r="F201" s="99">
        <v>0</v>
      </c>
      <c r="G201" s="99"/>
      <c r="H201" s="101">
        <v>0</v>
      </c>
      <c r="I201" s="102"/>
      <c r="J201" s="99">
        <v>0</v>
      </c>
      <c r="K201" s="99"/>
      <c r="L201" s="101">
        <v>0</v>
      </c>
      <c r="M201" s="102"/>
      <c r="N201" s="99">
        <v>0</v>
      </c>
      <c r="O201" s="99"/>
      <c r="P201" s="101">
        <v>0</v>
      </c>
      <c r="Q201" s="102"/>
      <c r="R201" s="99">
        <v>0</v>
      </c>
      <c r="S201" s="99"/>
      <c r="T201" s="101">
        <v>0</v>
      </c>
      <c r="U201" s="102"/>
      <c r="V201" s="99">
        <v>0</v>
      </c>
      <c r="W201" s="99"/>
      <c r="X201" s="101">
        <v>0</v>
      </c>
      <c r="Y201" s="102"/>
      <c r="Z201" s="99">
        <v>0</v>
      </c>
      <c r="AA201" s="99"/>
      <c r="AB201" s="101">
        <v>0</v>
      </c>
      <c r="AC201" s="102"/>
      <c r="AD201" s="101">
        <v>0</v>
      </c>
      <c r="AE201" s="235"/>
      <c r="AF201" s="101">
        <v>0</v>
      </c>
      <c r="AG201" s="102"/>
      <c r="AH201" s="101">
        <v>0</v>
      </c>
      <c r="AI201" s="102"/>
      <c r="AJ201" s="101">
        <v>0</v>
      </c>
      <c r="AK201" s="102"/>
      <c r="AL201" s="266"/>
      <c r="AM201" s="266"/>
      <c r="AN201" s="266"/>
    </row>
    <row r="202" spans="1:40">
      <c r="A202" t="s">
        <v>365</v>
      </c>
      <c r="B202" s="103">
        <v>5.5900000000000061E-2</v>
      </c>
      <c r="C202" s="104"/>
      <c r="D202" s="103">
        <v>3.0399999999999983E-2</v>
      </c>
      <c r="E202" s="104"/>
      <c r="F202" s="49">
        <v>6.3500000000000001E-2</v>
      </c>
      <c r="G202" s="49"/>
      <c r="H202" s="103">
        <v>0.27590000000000003</v>
      </c>
      <c r="I202" s="104"/>
      <c r="J202" s="49">
        <v>1</v>
      </c>
      <c r="K202" s="49"/>
      <c r="L202" s="103">
        <v>0.1613</v>
      </c>
      <c r="M202" s="104"/>
      <c r="N202" s="49">
        <v>5.5900000000000061E-2</v>
      </c>
      <c r="O202" s="49"/>
      <c r="P202" s="103">
        <v>6.3500000000000001E-2</v>
      </c>
      <c r="Q202" s="104"/>
      <c r="R202" s="49">
        <v>0.27590000000000003</v>
      </c>
      <c r="S202" s="49"/>
      <c r="T202" s="103">
        <v>1</v>
      </c>
      <c r="U202" s="104"/>
      <c r="V202" s="49">
        <v>0.1613</v>
      </c>
      <c r="W202" s="49"/>
      <c r="X202" s="103">
        <v>8.3899999999999975E-2</v>
      </c>
      <c r="Y202" s="104"/>
      <c r="Z202" s="49">
        <v>8.3899999999999975E-2</v>
      </c>
      <c r="AA202" s="49"/>
      <c r="AB202" s="103">
        <v>0.11319999999999997</v>
      </c>
      <c r="AC202" s="104"/>
      <c r="AD202" s="103">
        <v>0.64759999999999995</v>
      </c>
      <c r="AE202" s="104"/>
      <c r="AF202" s="103">
        <v>1</v>
      </c>
      <c r="AG202" s="104"/>
      <c r="AH202" s="103">
        <v>1</v>
      </c>
      <c r="AI202" s="104"/>
      <c r="AJ202" s="103">
        <v>1</v>
      </c>
      <c r="AK202" s="104"/>
      <c r="AL202" s="267"/>
      <c r="AM202" s="267"/>
      <c r="AN202" s="267"/>
    </row>
    <row r="203" spans="1:40">
      <c r="A203" s="143" t="s">
        <v>366</v>
      </c>
      <c r="B203" s="169"/>
      <c r="C203" s="226"/>
      <c r="F203" s="169"/>
      <c r="G203" s="226"/>
      <c r="J203" s="169"/>
      <c r="K203" s="226"/>
      <c r="N203" s="169"/>
      <c r="O203" s="226"/>
      <c r="R203" s="169"/>
      <c r="S203" s="226"/>
      <c r="V203" s="169"/>
      <c r="W203" s="226"/>
      <c r="Z203" s="169"/>
      <c r="AA203" s="226"/>
      <c r="AD203" s="169"/>
      <c r="AE203" s="226"/>
      <c r="AF203" s="169"/>
      <c r="AG203" s="226"/>
      <c r="AJ203" s="169"/>
      <c r="AK203" s="226"/>
      <c r="AL203" s="266"/>
      <c r="AM203" s="266"/>
      <c r="AN203" s="266"/>
    </row>
    <row r="204" spans="1:40">
      <c r="A204" t="s">
        <v>357</v>
      </c>
      <c r="B204" s="105">
        <v>1.7129800000000001E-2</v>
      </c>
      <c r="C204" s="159"/>
      <c r="D204" s="106">
        <v>0</v>
      </c>
      <c r="E204" s="137"/>
      <c r="F204" s="105">
        <v>0.88297999999999999</v>
      </c>
      <c r="G204" s="235"/>
      <c r="H204" s="106">
        <v>0.59075</v>
      </c>
      <c r="I204" s="137"/>
      <c r="J204" s="105">
        <v>0</v>
      </c>
      <c r="K204" s="159"/>
      <c r="L204" s="106">
        <v>0</v>
      </c>
      <c r="M204" s="137"/>
      <c r="N204" s="105">
        <v>1.7129800000000001E-2</v>
      </c>
      <c r="O204" s="235"/>
      <c r="P204" s="106">
        <v>0.88297999999999999</v>
      </c>
      <c r="R204" s="105">
        <v>0.59075</v>
      </c>
      <c r="S204" s="235"/>
      <c r="T204" s="106">
        <v>0</v>
      </c>
      <c r="V204" s="105">
        <v>0</v>
      </c>
      <c r="W204" s="235"/>
      <c r="X204" s="106">
        <v>0</v>
      </c>
      <c r="Z204" s="105">
        <v>0</v>
      </c>
      <c r="AA204" s="235"/>
      <c r="AB204" s="106">
        <v>0</v>
      </c>
      <c r="AD204" s="105">
        <v>0</v>
      </c>
      <c r="AE204" s="235"/>
      <c r="AF204" s="105">
        <v>0</v>
      </c>
      <c r="AG204" s="235"/>
      <c r="AH204" s="106">
        <v>0</v>
      </c>
      <c r="AJ204" s="105">
        <v>0</v>
      </c>
      <c r="AK204" s="235"/>
      <c r="AL204" s="266"/>
      <c r="AM204" s="266"/>
      <c r="AN204" s="266"/>
    </row>
    <row r="205" spans="1:40">
      <c r="A205" t="s">
        <v>358</v>
      </c>
      <c r="B205" s="105">
        <v>6.0286399999999997E-2</v>
      </c>
      <c r="C205" s="159"/>
      <c r="D205" s="106">
        <v>0</v>
      </c>
      <c r="E205" s="137"/>
      <c r="F205" s="105">
        <v>3.6039999999999996E-2</v>
      </c>
      <c r="G205" s="235"/>
      <c r="H205" s="106">
        <v>1.8903999999999997E-2</v>
      </c>
      <c r="I205" s="137"/>
      <c r="J205" s="105">
        <v>0</v>
      </c>
      <c r="K205" s="159"/>
      <c r="L205" s="106">
        <v>0.110744</v>
      </c>
      <c r="M205" s="137"/>
      <c r="N205" s="105">
        <v>6.0286399999999997E-2</v>
      </c>
      <c r="O205" s="235"/>
      <c r="P205" s="106">
        <v>3.6039999999999996E-2</v>
      </c>
      <c r="R205" s="105">
        <v>1.8903999999999997E-2</v>
      </c>
      <c r="S205" s="235"/>
      <c r="T205" s="106">
        <v>0</v>
      </c>
      <c r="V205" s="105">
        <v>0.110744</v>
      </c>
      <c r="W205" s="235"/>
      <c r="X205" s="106">
        <v>8.9693999999999989E-3</v>
      </c>
      <c r="Z205" s="105">
        <v>8.9693999999999989E-3</v>
      </c>
      <c r="AA205" s="235"/>
      <c r="AB205" s="106">
        <v>0</v>
      </c>
      <c r="AD205" s="105">
        <v>0</v>
      </c>
      <c r="AE205" s="235"/>
      <c r="AF205" s="105">
        <v>0</v>
      </c>
      <c r="AG205" s="235"/>
      <c r="AH205" s="106">
        <v>0</v>
      </c>
      <c r="AJ205" s="105">
        <v>0</v>
      </c>
      <c r="AK205" s="235"/>
      <c r="AL205" s="266"/>
      <c r="AM205" s="266"/>
      <c r="AN205" s="266"/>
    </row>
    <row r="206" spans="1:40">
      <c r="A206" t="s">
        <v>359</v>
      </c>
      <c r="B206" s="105">
        <v>0</v>
      </c>
      <c r="C206" s="159"/>
      <c r="D206" s="106">
        <v>0</v>
      </c>
      <c r="E206" s="137"/>
      <c r="F206" s="105">
        <v>0</v>
      </c>
      <c r="G206" s="235"/>
      <c r="H206" s="106">
        <v>0</v>
      </c>
      <c r="I206" s="137"/>
      <c r="J206" s="105">
        <v>0</v>
      </c>
      <c r="K206" s="159"/>
      <c r="L206" s="106">
        <v>0</v>
      </c>
      <c r="M206" s="137"/>
      <c r="N206" s="105">
        <v>0</v>
      </c>
      <c r="O206" s="235"/>
      <c r="P206" s="106">
        <v>0</v>
      </c>
      <c r="R206" s="105">
        <v>0</v>
      </c>
      <c r="S206" s="235"/>
      <c r="T206" s="106">
        <v>0</v>
      </c>
      <c r="V206" s="105">
        <v>0</v>
      </c>
      <c r="W206" s="235"/>
      <c r="X206" s="106">
        <v>0</v>
      </c>
      <c r="Z206" s="105">
        <v>0</v>
      </c>
      <c r="AA206" s="235"/>
      <c r="AB206" s="106">
        <v>0</v>
      </c>
      <c r="AD206" s="105">
        <v>0</v>
      </c>
      <c r="AE206" s="235"/>
      <c r="AF206" s="105">
        <v>0</v>
      </c>
      <c r="AG206" s="235"/>
      <c r="AH206" s="106">
        <v>0</v>
      </c>
      <c r="AJ206" s="105">
        <v>0</v>
      </c>
      <c r="AK206" s="235"/>
      <c r="AL206" s="266"/>
      <c r="AM206" s="266"/>
      <c r="AN206" s="266"/>
    </row>
    <row r="207" spans="1:40">
      <c r="A207" t="s">
        <v>367</v>
      </c>
      <c r="B207" s="105">
        <v>0</v>
      </c>
      <c r="C207" s="159"/>
      <c r="D207" s="106">
        <v>7.3563552000000003</v>
      </c>
      <c r="E207" s="137"/>
      <c r="F207" s="105">
        <v>2.0055200000000002</v>
      </c>
      <c r="G207" s="235"/>
      <c r="H207" s="106">
        <v>1.4033439999999999</v>
      </c>
      <c r="I207" s="137"/>
      <c r="J207" s="105">
        <v>0</v>
      </c>
      <c r="K207" s="159"/>
      <c r="L207" s="106">
        <v>0.74137520000000001</v>
      </c>
      <c r="M207" s="137"/>
      <c r="N207" s="105">
        <v>0</v>
      </c>
      <c r="O207" s="235"/>
      <c r="P207" s="106">
        <v>2.0055200000000002</v>
      </c>
      <c r="R207" s="105">
        <v>1.4033439999999999</v>
      </c>
      <c r="S207" s="235"/>
      <c r="T207" s="106">
        <v>0</v>
      </c>
      <c r="V207" s="105">
        <v>0.74137520000000001</v>
      </c>
      <c r="W207" s="235"/>
      <c r="X207" s="106">
        <v>4.5539636999999997</v>
      </c>
      <c r="Z207" s="105">
        <v>4.5539636999999997</v>
      </c>
      <c r="AA207" s="235"/>
      <c r="AB207" s="106">
        <v>5.0946660000000001</v>
      </c>
      <c r="AD207" s="105">
        <v>1.6326692</v>
      </c>
      <c r="AE207" s="235"/>
      <c r="AF207" s="105">
        <v>0</v>
      </c>
      <c r="AG207" s="235"/>
      <c r="AH207" s="106">
        <v>0</v>
      </c>
      <c r="AJ207" s="105">
        <v>0</v>
      </c>
      <c r="AK207" s="235"/>
      <c r="AL207" s="266"/>
      <c r="AM207" s="266"/>
      <c r="AN207" s="266"/>
    </row>
    <row r="208" spans="1:40">
      <c r="A208" t="s">
        <v>361</v>
      </c>
      <c r="B208" s="105">
        <v>0</v>
      </c>
      <c r="C208" s="159"/>
      <c r="D208" s="106">
        <v>0</v>
      </c>
      <c r="E208" s="137"/>
      <c r="F208" s="105">
        <v>7.0023599999999995</v>
      </c>
      <c r="G208" s="235"/>
      <c r="H208" s="106">
        <v>0</v>
      </c>
      <c r="I208" s="137"/>
      <c r="J208" s="105">
        <v>0</v>
      </c>
      <c r="K208" s="159"/>
      <c r="L208" s="106">
        <v>0</v>
      </c>
      <c r="M208" s="137"/>
      <c r="N208" s="105">
        <v>0</v>
      </c>
      <c r="O208" s="235"/>
      <c r="P208" s="106">
        <v>7.0023599999999995</v>
      </c>
      <c r="R208" s="105">
        <v>0</v>
      </c>
      <c r="S208" s="235"/>
      <c r="T208" s="106">
        <v>0</v>
      </c>
      <c r="V208" s="105">
        <v>0</v>
      </c>
      <c r="W208" s="235"/>
      <c r="X208" s="106">
        <v>0</v>
      </c>
      <c r="Z208" s="105">
        <v>0</v>
      </c>
      <c r="AA208" s="235"/>
      <c r="AB208" s="106">
        <v>0</v>
      </c>
      <c r="AD208" s="105">
        <v>0</v>
      </c>
      <c r="AE208" s="235"/>
      <c r="AF208" s="105">
        <v>0</v>
      </c>
      <c r="AG208" s="235"/>
      <c r="AH208" s="106">
        <v>0</v>
      </c>
      <c r="AJ208" s="105">
        <v>0</v>
      </c>
      <c r="AK208" s="235"/>
      <c r="AL208" s="266"/>
      <c r="AM208" s="266"/>
      <c r="AN208" s="266"/>
    </row>
    <row r="209" spans="1:40">
      <c r="A209" t="s">
        <v>362</v>
      </c>
      <c r="B209" s="105">
        <v>0</v>
      </c>
      <c r="C209" s="159"/>
      <c r="D209" s="106">
        <v>0</v>
      </c>
      <c r="E209" s="137"/>
      <c r="F209" s="105">
        <v>0</v>
      </c>
      <c r="G209" s="235"/>
      <c r="H209" s="106">
        <v>0</v>
      </c>
      <c r="I209" s="137"/>
      <c r="J209" s="105">
        <v>0</v>
      </c>
      <c r="K209" s="159"/>
      <c r="L209" s="106">
        <v>0</v>
      </c>
      <c r="M209" s="137"/>
      <c r="N209" s="105">
        <v>0</v>
      </c>
      <c r="O209" s="235"/>
      <c r="P209" s="106">
        <v>0</v>
      </c>
      <c r="R209" s="105">
        <v>0</v>
      </c>
      <c r="S209" s="235"/>
      <c r="T209" s="106">
        <v>0</v>
      </c>
      <c r="V209" s="105">
        <v>0</v>
      </c>
      <c r="W209" s="235"/>
      <c r="X209" s="106">
        <v>0</v>
      </c>
      <c r="Z209" s="105">
        <v>0</v>
      </c>
      <c r="AA209" s="235"/>
      <c r="AB209" s="106">
        <v>0</v>
      </c>
      <c r="AD209" s="105">
        <v>0</v>
      </c>
      <c r="AE209" s="235"/>
      <c r="AF209" s="105">
        <v>0</v>
      </c>
      <c r="AG209" s="235"/>
      <c r="AH209" s="106">
        <v>0</v>
      </c>
      <c r="AJ209" s="105">
        <v>0</v>
      </c>
      <c r="AK209" s="235"/>
      <c r="AL209" s="266"/>
      <c r="AM209" s="266"/>
      <c r="AN209" s="266"/>
    </row>
    <row r="210" spans="1:40">
      <c r="A210" t="s">
        <v>363</v>
      </c>
      <c r="B210" s="105">
        <v>0</v>
      </c>
      <c r="C210" s="159"/>
      <c r="D210" s="106">
        <v>0</v>
      </c>
      <c r="E210" s="137"/>
      <c r="F210" s="105">
        <v>0</v>
      </c>
      <c r="G210" s="235"/>
      <c r="H210" s="106">
        <v>0</v>
      </c>
      <c r="I210" s="137"/>
      <c r="J210" s="105">
        <v>0</v>
      </c>
      <c r="K210" s="159"/>
      <c r="L210" s="106">
        <v>0</v>
      </c>
      <c r="M210" s="137"/>
      <c r="N210" s="105">
        <v>0</v>
      </c>
      <c r="O210" s="235"/>
      <c r="P210" s="106">
        <v>0</v>
      </c>
      <c r="R210" s="105">
        <v>0</v>
      </c>
      <c r="S210" s="235"/>
      <c r="T210" s="106">
        <v>0</v>
      </c>
      <c r="V210" s="105">
        <v>0</v>
      </c>
      <c r="W210" s="235"/>
      <c r="X210" s="106">
        <v>1.9932000000000001E-3</v>
      </c>
      <c r="Z210" s="105">
        <v>1.9932000000000001E-3</v>
      </c>
      <c r="AA210" s="235"/>
      <c r="AB210" s="106">
        <v>0</v>
      </c>
      <c r="AD210" s="105">
        <v>0</v>
      </c>
      <c r="AE210" s="235"/>
      <c r="AF210" s="105">
        <v>0</v>
      </c>
      <c r="AG210" s="235"/>
      <c r="AH210" s="106">
        <v>0</v>
      </c>
      <c r="AJ210" s="105">
        <v>0</v>
      </c>
      <c r="AK210" s="235"/>
      <c r="AL210" s="266"/>
      <c r="AM210" s="266"/>
      <c r="AN210" s="266"/>
    </row>
    <row r="211" spans="1:40">
      <c r="A211" t="s">
        <v>364</v>
      </c>
      <c r="B211" s="105">
        <v>0</v>
      </c>
      <c r="C211" s="159"/>
      <c r="D211" s="106">
        <v>0</v>
      </c>
      <c r="E211" s="137"/>
      <c r="F211" s="105">
        <v>0</v>
      </c>
      <c r="G211" s="235"/>
      <c r="H211" s="106">
        <v>0</v>
      </c>
      <c r="I211" s="137"/>
      <c r="J211" s="105">
        <v>0</v>
      </c>
      <c r="K211" s="159"/>
      <c r="L211" s="106">
        <v>0</v>
      </c>
      <c r="M211" s="137"/>
      <c r="N211" s="105">
        <v>0</v>
      </c>
      <c r="O211" s="235"/>
      <c r="P211" s="106">
        <v>0</v>
      </c>
      <c r="R211" s="105">
        <v>0</v>
      </c>
      <c r="S211" s="235"/>
      <c r="T211" s="106">
        <v>0</v>
      </c>
      <c r="V211" s="105">
        <v>0</v>
      </c>
      <c r="W211" s="235"/>
      <c r="X211" s="106">
        <v>0</v>
      </c>
      <c r="Z211" s="105">
        <v>0</v>
      </c>
      <c r="AA211" s="235"/>
      <c r="AB211" s="106">
        <v>0</v>
      </c>
      <c r="AD211" s="105">
        <v>0</v>
      </c>
      <c r="AE211" s="235"/>
      <c r="AF211" s="105">
        <v>0</v>
      </c>
      <c r="AG211" s="235"/>
      <c r="AH211" s="106">
        <v>0</v>
      </c>
      <c r="AJ211" s="105">
        <v>0</v>
      </c>
      <c r="AK211" s="235"/>
      <c r="AL211" s="266"/>
      <c r="AM211" s="266"/>
      <c r="AN211" s="266"/>
    </row>
    <row r="212" spans="1:40">
      <c r="A212" t="s">
        <v>365</v>
      </c>
      <c r="B212" s="108">
        <v>4.5838000000000051E-3</v>
      </c>
      <c r="C212" s="164"/>
      <c r="D212" s="106">
        <v>0.23064479999999987</v>
      </c>
      <c r="E212" s="137"/>
      <c r="F212" s="108">
        <v>0.67310000000000003</v>
      </c>
      <c r="G212" s="228"/>
      <c r="H212" s="106">
        <v>0.76700200000000007</v>
      </c>
      <c r="I212" s="137"/>
      <c r="J212" s="108">
        <v>46.953000000000003</v>
      </c>
      <c r="K212" s="164"/>
      <c r="L212" s="106">
        <v>0.16388079999999999</v>
      </c>
      <c r="M212" s="137"/>
      <c r="N212" s="108">
        <v>4.5838000000000051E-3</v>
      </c>
      <c r="O212" s="228"/>
      <c r="P212" s="106">
        <v>0.67310000000000003</v>
      </c>
      <c r="R212" s="108">
        <v>0.76700200000000007</v>
      </c>
      <c r="S212" s="228"/>
      <c r="T212" s="106">
        <v>46.953000000000003</v>
      </c>
      <c r="V212" s="108">
        <v>0.16388079999999999</v>
      </c>
      <c r="W212" s="228"/>
      <c r="X212" s="106">
        <v>0.41807369999999983</v>
      </c>
      <c r="Z212" s="108">
        <v>0.41807369999999983</v>
      </c>
      <c r="AA212" s="228"/>
      <c r="AB212" s="106">
        <v>0.65033399999999986</v>
      </c>
      <c r="AD212" s="108">
        <v>3.0003308</v>
      </c>
      <c r="AE212" s="228"/>
      <c r="AF212" s="108">
        <v>46.953000000000003</v>
      </c>
      <c r="AG212" s="228"/>
      <c r="AH212" s="106">
        <v>46.953000000000003</v>
      </c>
      <c r="AJ212" s="108">
        <v>46.953000000000003</v>
      </c>
      <c r="AK212" s="228"/>
      <c r="AL212" s="266"/>
      <c r="AM212" s="266"/>
      <c r="AN212" s="266"/>
    </row>
    <row r="213" spans="1:40">
      <c r="A213" s="236" t="s">
        <v>368</v>
      </c>
      <c r="B213" s="156">
        <v>9.9816689259519392E-2</v>
      </c>
      <c r="C213" s="155"/>
      <c r="D213" s="156">
        <v>8.6482114065559035</v>
      </c>
      <c r="E213" s="154"/>
      <c r="F213" s="156">
        <v>11.840453451066534</v>
      </c>
      <c r="G213" s="155"/>
      <c r="H213" s="156">
        <v>3.8051091239579131</v>
      </c>
      <c r="I213" s="154"/>
      <c r="J213" s="156">
        <v>67.428144406996807</v>
      </c>
      <c r="K213" s="155"/>
      <c r="L213" s="156">
        <v>1.2874402812496173</v>
      </c>
      <c r="M213" s="154"/>
      <c r="N213" s="156">
        <v>0.1003854931251011</v>
      </c>
      <c r="O213" s="155"/>
      <c r="P213" s="156">
        <v>11.870318332595383</v>
      </c>
      <c r="Q213" s="154"/>
      <c r="R213" s="156">
        <v>3.9002864228166993</v>
      </c>
      <c r="S213" s="155"/>
      <c r="T213" s="156">
        <v>101.01760373465855</v>
      </c>
      <c r="U213" s="154"/>
      <c r="V213" s="156">
        <v>1.3077762541399318</v>
      </c>
      <c r="W213" s="155"/>
      <c r="X213" s="156">
        <v>5.924770365643087</v>
      </c>
      <c r="Y213" s="154"/>
      <c r="Z213" s="156">
        <v>5.924770365643087</v>
      </c>
      <c r="AA213" s="155"/>
      <c r="AB213" s="156">
        <v>6.9839741955840751</v>
      </c>
      <c r="AC213" s="154"/>
      <c r="AD213" s="156">
        <v>7.8983910741633307</v>
      </c>
      <c r="AE213" s="155"/>
      <c r="AF213" s="156">
        <v>123.39154204149705</v>
      </c>
      <c r="AG213" s="154"/>
      <c r="AH213" s="156">
        <v>109.7544951415527</v>
      </c>
      <c r="AI213" s="154"/>
      <c r="AJ213" s="156">
        <v>55.321774222281448</v>
      </c>
      <c r="AK213" s="155"/>
      <c r="AL213" s="258">
        <v>157.62569287548234</v>
      </c>
      <c r="AM213" s="258">
        <v>143.98864597553799</v>
      </c>
      <c r="AN213" s="258">
        <v>89.555925056266744</v>
      </c>
    </row>
    <row r="214" spans="1:40">
      <c r="A214" t="s">
        <v>369</v>
      </c>
      <c r="B214" s="160">
        <v>9.7362401954790331E-2</v>
      </c>
      <c r="C214" s="159"/>
      <c r="D214" s="160">
        <v>8.5422664284575589</v>
      </c>
      <c r="E214" s="137"/>
      <c r="F214" s="160">
        <v>11.074126636662234</v>
      </c>
      <c r="G214" s="159"/>
      <c r="H214" s="160">
        <v>3.4645677088609963</v>
      </c>
      <c r="I214" s="137"/>
      <c r="J214" s="160">
        <v>27.726093067041671</v>
      </c>
      <c r="K214" s="159"/>
      <c r="L214" s="160">
        <v>1.2143944411754541</v>
      </c>
      <c r="M214" s="137"/>
      <c r="N214" s="160">
        <v>9.8173122753522149E-2</v>
      </c>
      <c r="O214" s="159"/>
      <c r="P214" s="160">
        <v>11.598747412553378</v>
      </c>
      <c r="Q214" s="137"/>
      <c r="R214" s="160">
        <v>3.6002246908560438</v>
      </c>
      <c r="S214" s="159"/>
      <c r="T214" s="160">
        <v>82.892157820943879</v>
      </c>
      <c r="U214" s="137"/>
      <c r="V214" s="160">
        <v>1.2433794695520868</v>
      </c>
      <c r="W214" s="159"/>
      <c r="X214" s="160">
        <v>5.7383174503239962</v>
      </c>
      <c r="Y214" s="137"/>
      <c r="Z214" s="160">
        <v>5.7383174503239962</v>
      </c>
      <c r="AA214" s="159"/>
      <c r="AB214" s="160">
        <v>6.6953212286345716</v>
      </c>
      <c r="AC214" s="137"/>
      <c r="AD214" s="160">
        <v>6.580763917890561</v>
      </c>
      <c r="AE214" s="159"/>
      <c r="AF214" s="160">
        <v>113.95428992571509</v>
      </c>
      <c r="AG214" s="137"/>
      <c r="AH214" s="160">
        <v>96.286574625312753</v>
      </c>
      <c r="AI214" s="137"/>
      <c r="AJ214" s="160">
        <v>12.671246865071993</v>
      </c>
      <c r="AK214" s="159"/>
      <c r="AL214" s="177">
        <v>147.32317075111084</v>
      </c>
      <c r="AM214" s="177">
        <v>129.6554554507085</v>
      </c>
      <c r="AN214" s="177">
        <v>46.040127690467727</v>
      </c>
    </row>
    <row r="215" spans="1:40">
      <c r="A215" t="s">
        <v>361</v>
      </c>
      <c r="B215" s="160">
        <v>3.4970030939026802E-3</v>
      </c>
      <c r="C215" s="159"/>
      <c r="D215" s="160">
        <v>0.15185589351789555</v>
      </c>
      <c r="E215" s="137"/>
      <c r="F215" s="160">
        <v>7.2078621792199478</v>
      </c>
      <c r="G215" s="159"/>
      <c r="H215" s="160">
        <v>0.48795274013979867</v>
      </c>
      <c r="I215" s="137"/>
      <c r="J215" s="160">
        <v>24.189080768330829</v>
      </c>
      <c r="K215" s="159"/>
      <c r="L215" s="160">
        <v>0.10467062824917682</v>
      </c>
      <c r="M215" s="137"/>
      <c r="N215" s="160">
        <v>2.3786369554616316E-3</v>
      </c>
      <c r="O215" s="159"/>
      <c r="P215" s="160">
        <v>7.2824820187224475</v>
      </c>
      <c r="Q215" s="137"/>
      <c r="R215" s="160">
        <v>0.30081781607754454</v>
      </c>
      <c r="S215" s="159"/>
      <c r="T215" s="160">
        <v>18.076362149420198</v>
      </c>
      <c r="U215" s="137"/>
      <c r="V215" s="160">
        <v>6.4686611175868713E-2</v>
      </c>
      <c r="W215" s="159"/>
      <c r="X215" s="160">
        <v>0.26724965722080374</v>
      </c>
      <c r="Y215" s="137"/>
      <c r="Z215" s="160">
        <v>0.26724965722080374</v>
      </c>
      <c r="AA215" s="159"/>
      <c r="AB215" s="160">
        <v>0.41374146508693382</v>
      </c>
      <c r="AC215" s="137"/>
      <c r="AD215" s="160">
        <v>1.8886266455172624</v>
      </c>
      <c r="AE215" s="159"/>
      <c r="AF215" s="160">
        <v>111.8600772825655</v>
      </c>
      <c r="AG215" s="137"/>
      <c r="AH215" s="160">
        <v>84.312468424989802</v>
      </c>
      <c r="AI215" s="137"/>
      <c r="AJ215" s="160">
        <v>8.1951069443259073</v>
      </c>
      <c r="AK215" s="159"/>
      <c r="AL215" s="177">
        <v>115.10342977559809</v>
      </c>
      <c r="AM215" s="177">
        <v>87.555820918022391</v>
      </c>
      <c r="AN215" s="177">
        <v>11.438459437358492</v>
      </c>
    </row>
    <row r="216" spans="1:40">
      <c r="A216" t="s">
        <v>360</v>
      </c>
      <c r="B216" s="160">
        <v>1.2906812436709492E-2</v>
      </c>
      <c r="C216" s="159"/>
      <c r="D216" s="160">
        <v>8.3825014161830023</v>
      </c>
      <c r="E216" s="137"/>
      <c r="F216" s="160">
        <v>2.5216343616641477</v>
      </c>
      <c r="G216" s="159"/>
      <c r="H216" s="160">
        <v>2.3264302036369875</v>
      </c>
      <c r="I216" s="137"/>
      <c r="J216" s="160">
        <v>3.1653281168940604</v>
      </c>
      <c r="K216" s="159"/>
      <c r="L216" s="160">
        <v>0.99035884803889196</v>
      </c>
      <c r="M216" s="137"/>
      <c r="N216" s="160">
        <v>1.459027051370021E-2</v>
      </c>
      <c r="O216" s="159"/>
      <c r="P216" s="160">
        <v>3.2022735663429898</v>
      </c>
      <c r="Q216" s="137"/>
      <c r="R216" s="160">
        <v>2.6081213140624051</v>
      </c>
      <c r="S216" s="159"/>
      <c r="T216" s="160">
        <v>61.378689951292891</v>
      </c>
      <c r="U216" s="137"/>
      <c r="V216" s="160">
        <v>1.0505461285536828</v>
      </c>
      <c r="W216" s="159"/>
      <c r="X216" s="160">
        <v>5.4492844974039283</v>
      </c>
      <c r="Y216" s="137"/>
      <c r="Z216" s="160">
        <v>5.4492844974039283</v>
      </c>
      <c r="AA216" s="159"/>
      <c r="AB216" s="160">
        <v>6.2664782643002352</v>
      </c>
      <c r="AC216" s="137"/>
      <c r="AD216" s="160">
        <v>4.632529154295443</v>
      </c>
      <c r="AE216" s="159"/>
      <c r="AF216" s="160">
        <v>0.3827542955944101</v>
      </c>
      <c r="AG216" s="137"/>
      <c r="AH216" s="160">
        <v>10.642064446432222</v>
      </c>
      <c r="AI216" s="137"/>
      <c r="AJ216" s="160">
        <v>2.1659856410357179</v>
      </c>
      <c r="AK216" s="159"/>
      <c r="AL216" s="177">
        <v>21.560399673720859</v>
      </c>
      <c r="AM216" s="177">
        <v>31.819709824558672</v>
      </c>
      <c r="AN216" s="177">
        <v>23.343631019162167</v>
      </c>
    </row>
    <row r="217" spans="1:40">
      <c r="A217" t="s">
        <v>370</v>
      </c>
      <c r="B217" s="165">
        <v>8.0958586424178164E-2</v>
      </c>
      <c r="C217" s="164"/>
      <c r="D217" s="165">
        <v>7.9091187566610044E-3</v>
      </c>
      <c r="E217" s="137"/>
      <c r="F217" s="165">
        <v>1.3446300957781383</v>
      </c>
      <c r="G217" s="164"/>
      <c r="H217" s="165">
        <v>0.6501847650842103</v>
      </c>
      <c r="I217" s="137"/>
      <c r="J217" s="165">
        <v>0.37168418181678109</v>
      </c>
      <c r="K217" s="164"/>
      <c r="L217" s="165">
        <v>0.11936496488738546</v>
      </c>
      <c r="M217" s="137"/>
      <c r="N217" s="165">
        <v>8.1204215284360309E-2</v>
      </c>
      <c r="O217" s="164"/>
      <c r="P217" s="165">
        <v>1.1139918274879403</v>
      </c>
      <c r="Q217" s="137"/>
      <c r="R217" s="165">
        <v>0.69128556071609437</v>
      </c>
      <c r="S217" s="164"/>
      <c r="T217" s="165">
        <v>3.4371057202307989</v>
      </c>
      <c r="U217" s="137"/>
      <c r="V217" s="165">
        <v>0.12814672982253511</v>
      </c>
      <c r="W217" s="164"/>
      <c r="X217" s="165">
        <v>2.178329569926428E-2</v>
      </c>
      <c r="Y217" s="137"/>
      <c r="Z217" s="165">
        <v>2.178329569926428E-2</v>
      </c>
      <c r="AA217" s="164"/>
      <c r="AB217" s="165">
        <v>1.5101499247401982E-2</v>
      </c>
      <c r="AC217" s="137"/>
      <c r="AD217" s="165">
        <v>5.9608118077856001E-2</v>
      </c>
      <c r="AE217" s="164"/>
      <c r="AF217" s="165">
        <v>1.7114583475551792</v>
      </c>
      <c r="AG217" s="137"/>
      <c r="AH217" s="165">
        <v>1.3320417538907279</v>
      </c>
      <c r="AI217" s="137"/>
      <c r="AJ217" s="160">
        <v>2.3101542797103676</v>
      </c>
      <c r="AK217" s="159"/>
      <c r="AL217" s="181">
        <v>10.659341301791878</v>
      </c>
      <c r="AM217" s="181">
        <v>10.279924708127426</v>
      </c>
      <c r="AN217" s="181">
        <v>11.258037233947066</v>
      </c>
    </row>
    <row r="218" spans="1:40">
      <c r="A218" s="204" t="s">
        <v>220</v>
      </c>
      <c r="B218" s="240">
        <v>2.5546865047948506</v>
      </c>
      <c r="C218" s="239"/>
      <c r="D218" s="240">
        <v>64.826489504882446</v>
      </c>
      <c r="E218" s="239"/>
      <c r="F218" s="139">
        <v>591.07802873028481</v>
      </c>
      <c r="G218" s="139"/>
      <c r="H218" s="240">
        <v>148.93434780188664</v>
      </c>
      <c r="I218" s="239"/>
      <c r="J218" s="139">
        <v>51169.627797826084</v>
      </c>
      <c r="K218" s="139"/>
      <c r="L218" s="240">
        <v>33.135040932513476</v>
      </c>
      <c r="M218" s="239"/>
      <c r="N218" s="139">
        <v>3.2070591449802803</v>
      </c>
      <c r="O218" s="139"/>
      <c r="P218" s="139">
        <v>264.48703926880705</v>
      </c>
      <c r="Q218" s="239"/>
      <c r="R218" s="139">
        <v>258.09511392770031</v>
      </c>
      <c r="S218" s="139"/>
      <c r="T218" s="240">
        <v>14701.881722572221</v>
      </c>
      <c r="U218" s="239"/>
      <c r="V218" s="139">
        <v>56.45877891665333</v>
      </c>
      <c r="W218" s="139"/>
      <c r="X218" s="240">
        <v>87.35938887734234</v>
      </c>
      <c r="Y218" s="239"/>
      <c r="Z218" s="240">
        <v>87.35938887734234</v>
      </c>
      <c r="AA218" s="139"/>
      <c r="AB218" s="240">
        <v>128.68920204365747</v>
      </c>
      <c r="AC218" s="239"/>
      <c r="AD218" s="240">
        <v>518.09433734978631</v>
      </c>
      <c r="AE218" s="239"/>
      <c r="AF218" s="139">
        <v>14235.573717552172</v>
      </c>
      <c r="AG218" s="239"/>
      <c r="AH218" s="139">
        <v>19360.034246452928</v>
      </c>
      <c r="AI218" s="239"/>
      <c r="AJ218" s="240">
        <v>38529.154140894054</v>
      </c>
      <c r="AK218" s="239"/>
      <c r="AL218" s="268">
        <v>19111.640983426481</v>
      </c>
      <c r="AM218" s="268">
        <v>24236.101512327237</v>
      </c>
      <c r="AN218" s="239">
        <v>43405.221406768367</v>
      </c>
    </row>
    <row r="219" spans="1:40">
      <c r="A219" s="145" t="s">
        <v>371</v>
      </c>
      <c r="B219" s="243"/>
      <c r="C219" s="244"/>
      <c r="D219" s="264"/>
      <c r="E219" s="264"/>
      <c r="F219" s="156"/>
      <c r="G219" s="155"/>
      <c r="H219" s="264"/>
      <c r="I219" s="264"/>
      <c r="J219" s="243"/>
      <c r="K219" s="244"/>
      <c r="L219" s="264"/>
      <c r="M219" s="264"/>
      <c r="N219" s="156"/>
      <c r="O219" s="155"/>
      <c r="P219" s="156"/>
      <c r="Q219" s="137"/>
      <c r="R219" s="156"/>
      <c r="S219" s="155"/>
      <c r="T219" s="156"/>
      <c r="U219" s="137"/>
      <c r="V219" s="156"/>
      <c r="W219" s="155"/>
      <c r="X219" s="156"/>
      <c r="Y219" s="155"/>
      <c r="Z219" s="154"/>
      <c r="AA219" s="155"/>
      <c r="AB219" s="156"/>
      <c r="AC219" s="155"/>
      <c r="AD219" s="154"/>
      <c r="AE219" s="155"/>
      <c r="AF219" s="156"/>
      <c r="AG219" s="137"/>
      <c r="AH219" s="156"/>
      <c r="AI219" s="137"/>
      <c r="AJ219" s="156"/>
      <c r="AK219" s="155"/>
      <c r="AL219" s="261"/>
      <c r="AM219" s="261"/>
      <c r="AN219" s="261"/>
    </row>
    <row r="220" spans="1:40">
      <c r="A220" s="158" t="s">
        <v>372</v>
      </c>
      <c r="B220" s="160">
        <v>2.3447036022830923</v>
      </c>
      <c r="C220" s="159"/>
      <c r="D220" s="137">
        <v>103.75736030742443</v>
      </c>
      <c r="E220" s="137"/>
      <c r="F220" s="160">
        <v>96.474032733555333</v>
      </c>
      <c r="G220" s="159"/>
      <c r="H220" s="137">
        <v>34.601834861267328</v>
      </c>
      <c r="I220" s="137"/>
      <c r="J220" s="160">
        <v>240.02069194616905</v>
      </c>
      <c r="K220" s="159"/>
      <c r="L220" s="137">
        <v>13.559634050255125</v>
      </c>
      <c r="M220" s="137"/>
      <c r="N220" s="160">
        <v>2.354709725034223</v>
      </c>
      <c r="O220" s="159"/>
      <c r="P220" s="160">
        <v>100.01477002726425</v>
      </c>
      <c r="Q220" s="137"/>
      <c r="R220" s="160">
        <v>36.276147912090345</v>
      </c>
      <c r="S220" s="159"/>
      <c r="T220" s="160">
        <v>786.9833235970633</v>
      </c>
      <c r="U220" s="137"/>
      <c r="V220" s="160">
        <v>13.917374658779375</v>
      </c>
      <c r="W220" s="159"/>
      <c r="X220" s="160">
        <v>68.345841345171266</v>
      </c>
      <c r="Y220" s="188">
        <v>45.470999999999997</v>
      </c>
      <c r="Z220" s="137">
        <v>68.345841345171266</v>
      </c>
      <c r="AA220" s="188">
        <v>45.470999999999997</v>
      </c>
      <c r="AB220" s="160">
        <v>79.009519700351902</v>
      </c>
      <c r="AC220" s="188">
        <v>72.393000000000001</v>
      </c>
      <c r="AD220" s="137">
        <v>66.020947591522955</v>
      </c>
      <c r="AE220" s="159"/>
      <c r="AF220" s="160">
        <v>974.03659268890908</v>
      </c>
      <c r="AG220" s="137"/>
      <c r="AH220" s="160">
        <v>833.34910170093576</v>
      </c>
      <c r="AI220" s="137"/>
      <c r="AJ220" s="160">
        <v>120.75972205446257</v>
      </c>
      <c r="AK220" s="159"/>
      <c r="AL220" s="175">
        <v>1462.035044500409</v>
      </c>
      <c r="AM220" s="175">
        <v>1321.3475535124355</v>
      </c>
      <c r="AN220" s="175">
        <v>608.75817386596236</v>
      </c>
    </row>
    <row r="221" spans="1:40">
      <c r="A221" s="158" t="s">
        <v>373</v>
      </c>
      <c r="B221" s="160">
        <v>6.2451998818084986</v>
      </c>
      <c r="C221" s="159"/>
      <c r="D221" s="137">
        <v>432.85904161410826</v>
      </c>
      <c r="E221" s="137"/>
      <c r="F221" s="160">
        <v>402.89314238838676</v>
      </c>
      <c r="G221" s="159"/>
      <c r="H221" s="137">
        <v>157.75206763219512</v>
      </c>
      <c r="I221" s="137"/>
      <c r="J221" s="160">
        <v>869.95013216454311</v>
      </c>
      <c r="K221" s="159"/>
      <c r="L221" s="137">
        <v>110.54694577572603</v>
      </c>
      <c r="M221" s="137"/>
      <c r="N221" s="160">
        <v>6.2847859194517852</v>
      </c>
      <c r="O221" s="159"/>
      <c r="P221" s="160">
        <v>396.68016076154538</v>
      </c>
      <c r="Q221" s="137"/>
      <c r="R221" s="160">
        <v>164.37595393711155</v>
      </c>
      <c r="S221" s="159"/>
      <c r="T221" s="160">
        <v>2840.0158694380339</v>
      </c>
      <c r="U221" s="137"/>
      <c r="V221" s="160">
        <v>111.96223255041338</v>
      </c>
      <c r="W221" s="159"/>
      <c r="X221" s="160">
        <v>287.09292933014746</v>
      </c>
      <c r="Y221" s="159"/>
      <c r="Z221" s="137">
        <v>287.09292933014746</v>
      </c>
      <c r="AA221" s="159"/>
      <c r="AB221" s="160">
        <v>325.21559688618299</v>
      </c>
      <c r="AC221" s="159"/>
      <c r="AD221" s="137">
        <v>248.9825368483362</v>
      </c>
      <c r="AE221" s="159"/>
      <c r="AF221" s="160">
        <v>3563.284707069341</v>
      </c>
      <c r="AG221" s="137"/>
      <c r="AH221" s="160">
        <v>3021.4546967299548</v>
      </c>
      <c r="AI221" s="137"/>
      <c r="AJ221" s="160">
        <v>447.41477592263135</v>
      </c>
      <c r="AK221" s="159"/>
      <c r="AL221" s="175">
        <v>5277.0078229056426</v>
      </c>
      <c r="AM221" s="175">
        <v>4735.1778125662568</v>
      </c>
      <c r="AN221" s="175">
        <v>2161.1378917589327</v>
      </c>
    </row>
    <row r="222" spans="1:40">
      <c r="A222" s="158" t="s">
        <v>374</v>
      </c>
      <c r="B222" s="160">
        <v>24.001120113087339</v>
      </c>
      <c r="C222" s="159"/>
      <c r="D222" s="137">
        <v>591.95965814687759</v>
      </c>
      <c r="E222" s="187">
        <v>537.053</v>
      </c>
      <c r="F222" s="160">
        <v>1323.0615761446263</v>
      </c>
      <c r="G222" s="188">
        <v>555.197</v>
      </c>
      <c r="H222" s="137">
        <v>277.04674044454572</v>
      </c>
      <c r="I222" s="187">
        <v>313.88600000000002</v>
      </c>
      <c r="J222" s="160">
        <v>1994.0966918901734</v>
      </c>
      <c r="K222" s="188">
        <v>140.614</v>
      </c>
      <c r="L222" s="137">
        <v>104.28393077671554</v>
      </c>
      <c r="M222" s="187">
        <v>79.468999999999994</v>
      </c>
      <c r="N222" s="160">
        <v>24.080720783397794</v>
      </c>
      <c r="O222" s="159"/>
      <c r="P222" s="160">
        <v>1267.4425911243275</v>
      </c>
      <c r="Q222" s="187">
        <v>555.197</v>
      </c>
      <c r="R222" s="160">
        <v>290.36622936846493</v>
      </c>
      <c r="S222" s="188">
        <v>313.88600000000002</v>
      </c>
      <c r="T222" s="160">
        <v>5127.4497789831839</v>
      </c>
      <c r="U222" s="187">
        <v>140.614</v>
      </c>
      <c r="V222" s="160">
        <v>107.1298275285402</v>
      </c>
      <c r="W222" s="188">
        <v>79.468999999999994</v>
      </c>
      <c r="X222" s="160">
        <v>394.34330340868229</v>
      </c>
      <c r="Y222" s="188">
        <v>36.393999999999998</v>
      </c>
      <c r="Z222" s="137">
        <v>394.34330340868229</v>
      </c>
      <c r="AA222" s="188">
        <v>36.393999999999998</v>
      </c>
      <c r="AB222" s="160">
        <v>455.01930614013094</v>
      </c>
      <c r="AC222" s="188">
        <v>21.954000000000001</v>
      </c>
      <c r="AD222" s="137">
        <v>402.22343769853097</v>
      </c>
      <c r="AE222" s="159"/>
      <c r="AF222" s="160">
        <v>8620.1142950518006</v>
      </c>
      <c r="AG222" s="187">
        <v>140.614</v>
      </c>
      <c r="AH222" s="160">
        <v>6946.9231248750048</v>
      </c>
      <c r="AI222" s="187">
        <v>140.614</v>
      </c>
      <c r="AJ222" s="160">
        <v>1478.8767096249633</v>
      </c>
      <c r="AK222" s="188">
        <v>140.614</v>
      </c>
      <c r="AL222" s="175">
        <v>11889.430790591987</v>
      </c>
      <c r="AM222" s="175">
        <v>10216.23962041519</v>
      </c>
      <c r="AN222" s="175">
        <v>4748.1932051651493</v>
      </c>
    </row>
    <row r="223" spans="1:40">
      <c r="A223" s="158" t="s">
        <v>375</v>
      </c>
      <c r="B223" s="160">
        <v>1.2253506625591657</v>
      </c>
      <c r="C223" s="159"/>
      <c r="D223" s="137">
        <v>31.850918900895739</v>
      </c>
      <c r="E223" s="137"/>
      <c r="F223" s="160">
        <v>125.13854183353916</v>
      </c>
      <c r="G223" s="188">
        <v>60.237000000000002</v>
      </c>
      <c r="H223" s="137">
        <v>34.250581644546756</v>
      </c>
      <c r="I223" s="187">
        <v>185.066</v>
      </c>
      <c r="J223" s="160">
        <v>401.88563333076183</v>
      </c>
      <c r="K223" s="188">
        <v>621.42200000000003</v>
      </c>
      <c r="L223" s="137">
        <v>7.7183609430584772</v>
      </c>
      <c r="M223" s="187">
        <v>58.06</v>
      </c>
      <c r="N223" s="160">
        <v>1.2186141125993175</v>
      </c>
      <c r="O223" s="159"/>
      <c r="P223" s="160">
        <v>122.03752271076966</v>
      </c>
      <c r="Q223" s="187">
        <v>60.237000000000002</v>
      </c>
      <c r="R223" s="160">
        <v>33.123362461270133</v>
      </c>
      <c r="S223" s="188">
        <v>185.066</v>
      </c>
      <c r="T223" s="160">
        <v>554.96625938617217</v>
      </c>
      <c r="U223" s="187">
        <v>621.42200000000003</v>
      </c>
      <c r="V223" s="160">
        <v>7.4775146590452417</v>
      </c>
      <c r="W223" s="188">
        <v>58.06</v>
      </c>
      <c r="X223" s="160">
        <v>23.593164062642934</v>
      </c>
      <c r="Y223" s="188">
        <v>102.35899999999999</v>
      </c>
      <c r="Z223" s="137">
        <v>23.593164062642934</v>
      </c>
      <c r="AA223" s="188">
        <v>102.35899999999999</v>
      </c>
      <c r="AB223" s="160">
        <v>28.578162043406422</v>
      </c>
      <c r="AC223" s="188">
        <v>219.62899999999999</v>
      </c>
      <c r="AD223" s="137">
        <v>46.260886524395076</v>
      </c>
      <c r="AE223" s="188">
        <v>272.15499999999997</v>
      </c>
      <c r="AF223" s="160">
        <v>1815.8799145654514</v>
      </c>
      <c r="AG223" s="187">
        <v>621.42200000000003</v>
      </c>
      <c r="AH223" s="160">
        <v>1400.4654854313042</v>
      </c>
      <c r="AI223" s="187">
        <v>621.42200000000003</v>
      </c>
      <c r="AJ223" s="160">
        <v>189.25627613569193</v>
      </c>
      <c r="AK223" s="188">
        <v>621.42200000000003</v>
      </c>
      <c r="AL223" s="175">
        <v>2780.0097251156012</v>
      </c>
      <c r="AM223" s="175">
        <v>2364.595295981454</v>
      </c>
      <c r="AN223" s="175">
        <v>1153.386086685842</v>
      </c>
    </row>
    <row r="224" spans="1:40">
      <c r="A224" s="158" t="s">
        <v>376</v>
      </c>
      <c r="B224" s="160">
        <v>0.92048827330493788</v>
      </c>
      <c r="C224" s="159"/>
      <c r="D224" s="137">
        <v>30.354020555693218</v>
      </c>
      <c r="E224" s="137"/>
      <c r="F224" s="160">
        <v>57.49953523260443</v>
      </c>
      <c r="G224" s="188">
        <v>53.252000000000002</v>
      </c>
      <c r="H224" s="137">
        <v>21.171086494496706</v>
      </c>
      <c r="I224" s="187">
        <v>93.44</v>
      </c>
      <c r="J224" s="160">
        <v>183.31475711976964</v>
      </c>
      <c r="K224" s="188">
        <v>1215.6279999999999</v>
      </c>
      <c r="L224" s="137">
        <v>6.7055849281820983</v>
      </c>
      <c r="M224" s="137"/>
      <c r="N224" s="160">
        <v>0.92304152897004965</v>
      </c>
      <c r="O224" s="159"/>
      <c r="P224" s="160">
        <v>54.313930023985534</v>
      </c>
      <c r="Q224" s="187">
        <v>53.252000000000002</v>
      </c>
      <c r="R224" s="160">
        <v>21.598319838371225</v>
      </c>
      <c r="S224" s="188">
        <v>93.44</v>
      </c>
      <c r="T224" s="160">
        <v>378.60223887628143</v>
      </c>
      <c r="U224" s="187">
        <v>1215.6279999999999</v>
      </c>
      <c r="V224" s="160">
        <v>6.7968693605314678</v>
      </c>
      <c r="W224" s="159"/>
      <c r="X224" s="160">
        <v>21.070059669066012</v>
      </c>
      <c r="Y224" s="188">
        <v>18.332999999999998</v>
      </c>
      <c r="Z224" s="137">
        <v>21.070059669066012</v>
      </c>
      <c r="AA224" s="188">
        <v>18.332999999999998</v>
      </c>
      <c r="AB224" s="160">
        <v>24.704416623064326</v>
      </c>
      <c r="AC224" s="188">
        <v>130.72499999999999</v>
      </c>
      <c r="AD224" s="137">
        <v>28.874244201870635</v>
      </c>
      <c r="AE224" s="159"/>
      <c r="AF224" s="160">
        <v>806.27649837983995</v>
      </c>
      <c r="AG224" s="187">
        <v>1215.6279999999999</v>
      </c>
      <c r="AH224" s="160">
        <v>638.5745823651572</v>
      </c>
      <c r="AI224" s="187">
        <v>1215.6279999999999</v>
      </c>
      <c r="AJ224" s="160">
        <v>109.67358360482017</v>
      </c>
      <c r="AK224" s="188">
        <v>1215.6279999999999</v>
      </c>
      <c r="AL224" s="175">
        <v>2201.708030470531</v>
      </c>
      <c r="AM224" s="175">
        <v>2034.0061144558483</v>
      </c>
      <c r="AN224" s="175">
        <v>1505.1051156955114</v>
      </c>
    </row>
    <row r="225" spans="1:40">
      <c r="A225" s="158" t="s">
        <v>377</v>
      </c>
      <c r="B225" s="160">
        <v>2.7495904754266727</v>
      </c>
      <c r="C225" s="159"/>
      <c r="D225" s="137">
        <v>102.17564013291201</v>
      </c>
      <c r="E225" s="187">
        <v>55.52</v>
      </c>
      <c r="F225" s="160">
        <v>1791.5104170196362</v>
      </c>
      <c r="G225" s="188">
        <v>1034.191</v>
      </c>
      <c r="H225" s="137">
        <v>147.12536277452676</v>
      </c>
      <c r="I225" s="187">
        <v>2866.7040000000002</v>
      </c>
      <c r="J225" s="160">
        <v>2500.6073471516215</v>
      </c>
      <c r="K225" s="188">
        <v>15059.267</v>
      </c>
      <c r="L225" s="137">
        <v>21.695220049942705</v>
      </c>
      <c r="M225" s="187">
        <v>10.342000000000001</v>
      </c>
      <c r="N225" s="160">
        <v>2.7125254389184827</v>
      </c>
      <c r="O225" s="159"/>
      <c r="P225" s="160">
        <v>1748.9663400670227</v>
      </c>
      <c r="Q225" s="187">
        <v>1034.191</v>
      </c>
      <c r="R225" s="160">
        <v>140.92331269994787</v>
      </c>
      <c r="S225" s="188">
        <v>2866.7040000000002</v>
      </c>
      <c r="T225" s="160">
        <v>3229.5277517706631</v>
      </c>
      <c r="U225" s="187">
        <v>15059.267</v>
      </c>
      <c r="V225" s="160">
        <v>20.370064538142156</v>
      </c>
      <c r="W225" s="188">
        <v>10.342000000000001</v>
      </c>
      <c r="X225" s="160">
        <v>84.474023062544774</v>
      </c>
      <c r="Y225" s="188">
        <v>31.861999999999998</v>
      </c>
      <c r="Z225" s="137">
        <v>84.474023062544774</v>
      </c>
      <c r="AA225" s="188">
        <v>31.861999999999998</v>
      </c>
      <c r="AB225" s="160">
        <v>108.47362180146524</v>
      </c>
      <c r="AC225" s="159"/>
      <c r="AD225" s="137">
        <v>249.37215182480523</v>
      </c>
      <c r="AE225" s="159"/>
      <c r="AF225" s="160">
        <v>11407.818575415358</v>
      </c>
      <c r="AG225" s="187">
        <v>15059.267</v>
      </c>
      <c r="AH225" s="160">
        <v>8719.5939907924894</v>
      </c>
      <c r="AI225" s="187">
        <v>15059.267</v>
      </c>
      <c r="AJ225" s="160">
        <v>1317.81079512572</v>
      </c>
      <c r="AK225" s="188">
        <v>15059.267</v>
      </c>
      <c r="AL225" s="175">
        <v>28545.398540975959</v>
      </c>
      <c r="AM225" s="175">
        <v>25857.17395635309</v>
      </c>
      <c r="AN225" s="175">
        <v>18455.390760686318</v>
      </c>
    </row>
    <row r="226" spans="1:40">
      <c r="A226" s="158" t="s">
        <v>378</v>
      </c>
      <c r="B226" s="160">
        <v>0.45092511165767818</v>
      </c>
      <c r="C226" s="159"/>
      <c r="D226" s="137">
        <v>4.9167791401030181</v>
      </c>
      <c r="E226" s="137"/>
      <c r="F226" s="160">
        <v>4.8164134273192376</v>
      </c>
      <c r="G226" s="159"/>
      <c r="H226" s="137">
        <v>2.2363490014128447</v>
      </c>
      <c r="I226" s="137"/>
      <c r="J226" s="160">
        <v>7.730163525517205</v>
      </c>
      <c r="K226" s="159"/>
      <c r="L226" s="137">
        <v>2.5780393299388416</v>
      </c>
      <c r="M226" s="137"/>
      <c r="N226" s="160">
        <v>0.45151991739304465</v>
      </c>
      <c r="O226" s="159"/>
      <c r="P226" s="160">
        <v>4.3327881652076643</v>
      </c>
      <c r="Q226" s="137"/>
      <c r="R226" s="160">
        <v>2.3358771633390973</v>
      </c>
      <c r="S226" s="159"/>
      <c r="T226" s="160">
        <v>24.878309588164306</v>
      </c>
      <c r="U226" s="137"/>
      <c r="V226" s="160">
        <v>2.5993049261159102</v>
      </c>
      <c r="W226" s="159"/>
      <c r="X226" s="160">
        <v>3.3183446255873212</v>
      </c>
      <c r="Y226" s="159"/>
      <c r="Z226" s="137">
        <v>3.3183446255873212</v>
      </c>
      <c r="AA226" s="159"/>
      <c r="AB226" s="160">
        <v>3.6014159637139218</v>
      </c>
      <c r="AC226" s="159"/>
      <c r="AD226" s="137">
        <v>2.2711606709786443</v>
      </c>
      <c r="AE226" s="159"/>
      <c r="AF226" s="160">
        <v>32.935808050380182</v>
      </c>
      <c r="AG226" s="137"/>
      <c r="AH226" s="160">
        <v>26.936655918197602</v>
      </c>
      <c r="AI226" s="137"/>
      <c r="AJ226" s="160">
        <v>7.268292227545202</v>
      </c>
      <c r="AK226" s="159"/>
      <c r="AL226" s="175">
        <v>50.936956365163475</v>
      </c>
      <c r="AM226" s="175">
        <v>44.937804232980895</v>
      </c>
      <c r="AN226" s="175">
        <v>25.269440542328496</v>
      </c>
    </row>
    <row r="227" spans="1:40">
      <c r="A227" s="158" t="s">
        <v>379</v>
      </c>
      <c r="B227" s="160">
        <v>0.1594405784309007</v>
      </c>
      <c r="C227" s="159"/>
      <c r="D227" s="137">
        <v>12.716411016406635</v>
      </c>
      <c r="E227" s="137"/>
      <c r="F227" s="160">
        <v>8.1851813191733278</v>
      </c>
      <c r="G227" s="159"/>
      <c r="H227" s="137">
        <v>4.6192369153486172</v>
      </c>
      <c r="I227" s="137"/>
      <c r="J227" s="160">
        <v>19.234985770303894</v>
      </c>
      <c r="K227" s="159"/>
      <c r="L227" s="137">
        <v>2.0555747634248416</v>
      </c>
      <c r="M227" s="137"/>
      <c r="N227" s="160">
        <v>0.16290591056157322</v>
      </c>
      <c r="O227" s="159"/>
      <c r="P227" s="160">
        <v>8.2879584607062178</v>
      </c>
      <c r="Q227" s="137"/>
      <c r="R227" s="160">
        <v>5.1990869687737398</v>
      </c>
      <c r="S227" s="159"/>
      <c r="T227" s="160">
        <v>133.76144492357733</v>
      </c>
      <c r="U227" s="137"/>
      <c r="V227" s="160">
        <v>2.1794679092515175</v>
      </c>
      <c r="W227" s="159"/>
      <c r="X227" s="160">
        <v>8.4877278721787839</v>
      </c>
      <c r="Y227" s="159"/>
      <c r="Z227" s="137">
        <v>8.4877278721787839</v>
      </c>
      <c r="AA227" s="159"/>
      <c r="AB227" s="160">
        <v>9.833537411411152</v>
      </c>
      <c r="AC227" s="159"/>
      <c r="AD227" s="137">
        <v>8.9943656194107451</v>
      </c>
      <c r="AE227" s="159"/>
      <c r="AF227" s="160">
        <v>63.346622937474919</v>
      </c>
      <c r="AG227" s="137"/>
      <c r="AH227" s="160">
        <v>66.476301963196534</v>
      </c>
      <c r="AI227" s="137"/>
      <c r="AJ227" s="160">
        <v>16.333020211631485</v>
      </c>
      <c r="AK227" s="159"/>
      <c r="AL227" s="175">
        <v>99.871197050381781</v>
      </c>
      <c r="AM227" s="175">
        <v>103.00087607610341</v>
      </c>
      <c r="AN227" s="175">
        <v>52.857594324538354</v>
      </c>
    </row>
    <row r="228" spans="1:40">
      <c r="A228" s="158" t="s">
        <v>380</v>
      </c>
      <c r="B228" s="160">
        <v>9.6779502258074626</v>
      </c>
      <c r="C228" s="159"/>
      <c r="D228" s="137">
        <v>1616.8669373811365</v>
      </c>
      <c r="E228" s="137"/>
      <c r="F228" s="160">
        <v>1651.7332365367338</v>
      </c>
      <c r="G228" s="159"/>
      <c r="H228" s="137">
        <v>554.96299291728667</v>
      </c>
      <c r="I228" s="137"/>
      <c r="J228" s="160">
        <v>4445.311050671572</v>
      </c>
      <c r="K228" s="159"/>
      <c r="L228" s="137">
        <v>211.16797429560816</v>
      </c>
      <c r="M228" s="137"/>
      <c r="N228" s="160">
        <v>9.7876133663346963</v>
      </c>
      <c r="O228" s="159"/>
      <c r="P228" s="160">
        <v>1750.6100612494488</v>
      </c>
      <c r="Q228" s="137"/>
      <c r="R228" s="160">
        <v>573.3128005246582</v>
      </c>
      <c r="S228" s="159"/>
      <c r="T228" s="160">
        <v>13016.588014407585</v>
      </c>
      <c r="U228" s="137"/>
      <c r="V228" s="160">
        <v>215.08866961392823</v>
      </c>
      <c r="W228" s="159"/>
      <c r="X228" s="160">
        <v>1071.8953962395042</v>
      </c>
      <c r="Y228" s="159"/>
      <c r="Z228" s="137">
        <v>1071.8953962395042</v>
      </c>
      <c r="AA228" s="159"/>
      <c r="AB228" s="160">
        <v>1244.0360234313212</v>
      </c>
      <c r="AC228" s="159"/>
      <c r="AD228" s="137">
        <v>1105.8703556153589</v>
      </c>
      <c r="AE228" s="159"/>
      <c r="AF228" s="160">
        <v>18283.466031222437</v>
      </c>
      <c r="AG228" s="137"/>
      <c r="AH228" s="160">
        <v>15435.209144756001</v>
      </c>
      <c r="AI228" s="137"/>
      <c r="AJ228" s="160">
        <v>1870.4047030203228</v>
      </c>
      <c r="AK228" s="159"/>
      <c r="AL228" s="175">
        <v>24606.041254976964</v>
      </c>
      <c r="AM228" s="175">
        <v>21757.784368510529</v>
      </c>
      <c r="AN228" s="175">
        <v>8192.9799267748531</v>
      </c>
    </row>
    <row r="229" spans="1:40">
      <c r="A229" s="158" t="s">
        <v>381</v>
      </c>
      <c r="B229" s="160">
        <v>0.17901936667111853</v>
      </c>
      <c r="C229" s="159"/>
      <c r="D229" s="137">
        <v>16.495185992529191</v>
      </c>
      <c r="E229" s="137"/>
      <c r="F229" s="160">
        <v>14.183584737322324</v>
      </c>
      <c r="G229" s="159"/>
      <c r="H229" s="137">
        <v>6.0082337180265268</v>
      </c>
      <c r="I229" s="137"/>
      <c r="J229" s="160">
        <v>59.675086777741434</v>
      </c>
      <c r="K229" s="159"/>
      <c r="L229" s="137">
        <v>2.092872547874157</v>
      </c>
      <c r="M229" s="137"/>
      <c r="N229" s="160">
        <v>0.17857389419831909</v>
      </c>
      <c r="O229" s="159"/>
      <c r="P229" s="160">
        <v>13.813047855355933</v>
      </c>
      <c r="Q229" s="137"/>
      <c r="R229" s="160">
        <v>5.9336933197582544</v>
      </c>
      <c r="S229" s="159"/>
      <c r="T229" s="160">
        <v>108.32300767718611</v>
      </c>
      <c r="U229" s="137"/>
      <c r="V229" s="160">
        <v>2.0769459399897929</v>
      </c>
      <c r="W229" s="159"/>
      <c r="X229" s="160">
        <v>10.881217980830755</v>
      </c>
      <c r="Y229" s="159"/>
      <c r="Z229" s="137">
        <v>10.881217980830755</v>
      </c>
      <c r="AA229" s="159"/>
      <c r="AB229" s="160">
        <v>12.603309626549567</v>
      </c>
      <c r="AC229" s="159"/>
      <c r="AD229" s="137">
        <v>10.751373119594611</v>
      </c>
      <c r="AE229" s="159"/>
      <c r="AF229" s="160">
        <v>262.93165189590206</v>
      </c>
      <c r="AG229" s="137"/>
      <c r="AH229" s="160">
        <v>207.66045158578828</v>
      </c>
      <c r="AI229" s="137"/>
      <c r="AJ229" s="160">
        <v>24.068545466663423</v>
      </c>
      <c r="AK229" s="159"/>
      <c r="AL229" s="175">
        <v>306.64671051311683</v>
      </c>
      <c r="AM229" s="175">
        <v>251.37551020300302</v>
      </c>
      <c r="AN229" s="175">
        <v>67.783604083878174</v>
      </c>
    </row>
    <row r="230" spans="1:40">
      <c r="A230" s="158" t="s">
        <v>382</v>
      </c>
      <c r="B230" s="160">
        <v>0</v>
      </c>
      <c r="C230" s="107"/>
      <c r="D230" s="137">
        <v>0</v>
      </c>
      <c r="E230" s="106"/>
      <c r="F230" s="160">
        <v>0</v>
      </c>
      <c r="G230" s="159"/>
      <c r="H230" s="137">
        <v>0</v>
      </c>
      <c r="I230" s="137"/>
      <c r="J230" s="186">
        <v>32.114066162375508</v>
      </c>
      <c r="K230" s="159"/>
      <c r="L230" s="137">
        <v>0</v>
      </c>
      <c r="M230" s="106"/>
      <c r="N230" s="160">
        <v>0</v>
      </c>
      <c r="O230" s="159"/>
      <c r="P230" s="160">
        <v>0</v>
      </c>
      <c r="Q230" s="137"/>
      <c r="R230" s="160">
        <v>0</v>
      </c>
      <c r="S230" s="159"/>
      <c r="T230" s="160">
        <v>32.114066162375508</v>
      </c>
      <c r="U230" s="137"/>
      <c r="V230" s="160">
        <v>0</v>
      </c>
      <c r="W230" s="159"/>
      <c r="X230" s="160">
        <v>0</v>
      </c>
      <c r="Y230" s="159"/>
      <c r="Z230" s="137">
        <v>0</v>
      </c>
      <c r="AA230" s="159"/>
      <c r="AB230" s="160">
        <v>0</v>
      </c>
      <c r="AC230" s="159"/>
      <c r="AD230" s="137">
        <v>0</v>
      </c>
      <c r="AE230" s="159"/>
      <c r="AF230" s="186">
        <v>32.114066162375508</v>
      </c>
      <c r="AG230" s="137"/>
      <c r="AH230" s="186">
        <v>32.114066162375508</v>
      </c>
      <c r="AI230" s="137"/>
      <c r="AJ230" s="186">
        <v>32.114066162375508</v>
      </c>
      <c r="AK230" s="159"/>
      <c r="AL230" s="175">
        <v>32.114066162375508</v>
      </c>
      <c r="AM230" s="175">
        <v>32.114066162375508</v>
      </c>
      <c r="AN230" s="175">
        <v>32.114066162375508</v>
      </c>
    </row>
    <row r="231" spans="1:40">
      <c r="A231" s="158" t="s">
        <v>383</v>
      </c>
      <c r="B231" s="160">
        <v>0</v>
      </c>
      <c r="C231" s="107"/>
      <c r="D231" s="137">
        <v>0</v>
      </c>
      <c r="E231" s="106"/>
      <c r="F231" s="160">
        <v>0</v>
      </c>
      <c r="G231" s="159"/>
      <c r="H231" s="137">
        <v>0</v>
      </c>
      <c r="I231" s="137"/>
      <c r="J231" s="186">
        <v>5.0079881616657165</v>
      </c>
      <c r="K231" s="159"/>
      <c r="L231" s="137">
        <v>0</v>
      </c>
      <c r="M231" s="106"/>
      <c r="N231" s="160">
        <v>0</v>
      </c>
      <c r="O231" s="159"/>
      <c r="P231" s="160">
        <v>0</v>
      </c>
      <c r="Q231" s="137"/>
      <c r="R231" s="160">
        <v>0</v>
      </c>
      <c r="S231" s="159"/>
      <c r="T231" s="160">
        <v>5.0079881616657165</v>
      </c>
      <c r="U231" s="137"/>
      <c r="V231" s="160">
        <v>0</v>
      </c>
      <c r="W231" s="159"/>
      <c r="X231" s="160">
        <v>0</v>
      </c>
      <c r="Y231" s="159"/>
      <c r="Z231" s="137">
        <v>0</v>
      </c>
      <c r="AA231" s="159"/>
      <c r="AB231" s="160">
        <v>0</v>
      </c>
      <c r="AC231" s="159"/>
      <c r="AD231" s="137">
        <v>0</v>
      </c>
      <c r="AE231" s="159"/>
      <c r="AF231" s="186">
        <v>5.0079881616657165</v>
      </c>
      <c r="AG231" s="137"/>
      <c r="AH231" s="186">
        <v>5.0079881616657165</v>
      </c>
      <c r="AI231" s="137"/>
      <c r="AJ231" s="186">
        <v>5.0079881616657165</v>
      </c>
      <c r="AK231" s="159"/>
      <c r="AL231" s="175">
        <v>5.0079881616657165</v>
      </c>
      <c r="AM231" s="175">
        <v>5.0079881616657165</v>
      </c>
      <c r="AN231" s="175">
        <v>5.0079881616657165</v>
      </c>
    </row>
    <row r="232" spans="1:40">
      <c r="A232" s="162" t="s">
        <v>384</v>
      </c>
      <c r="B232" s="246">
        <v>7644.3546259961222</v>
      </c>
      <c r="C232" s="110"/>
      <c r="D232" s="139">
        <v>513243.14486046403</v>
      </c>
      <c r="E232" s="111">
        <v>167829</v>
      </c>
      <c r="F232" s="246">
        <v>984887.41499399778</v>
      </c>
      <c r="G232" s="247">
        <v>215003</v>
      </c>
      <c r="H232" s="139">
        <v>242650.00145177252</v>
      </c>
      <c r="I232" s="197">
        <v>214096</v>
      </c>
      <c r="J232" s="246">
        <v>2635356.3739297828</v>
      </c>
      <c r="K232" s="247">
        <v>1363499</v>
      </c>
      <c r="L232" s="139">
        <v>78646.149781168453</v>
      </c>
      <c r="M232" s="112"/>
      <c r="N232" s="246">
        <v>7653.3776809610918</v>
      </c>
      <c r="O232" s="248"/>
      <c r="P232" s="246">
        <v>1013065.0440635654</v>
      </c>
      <c r="Q232" s="197">
        <v>215003</v>
      </c>
      <c r="R232" s="246">
        <v>244159.81889673986</v>
      </c>
      <c r="S232" s="247">
        <v>214096</v>
      </c>
      <c r="T232" s="246">
        <v>5749022.1565165063</v>
      </c>
      <c r="U232" s="197">
        <v>1363499</v>
      </c>
      <c r="V232" s="246">
        <v>78968.743582403913</v>
      </c>
      <c r="W232" s="248"/>
      <c r="X232" s="246">
        <v>351727.20312003762</v>
      </c>
      <c r="Y232" s="248"/>
      <c r="Z232" s="139">
        <v>351727.20312003762</v>
      </c>
      <c r="AA232" s="248"/>
      <c r="AB232" s="246">
        <v>414552.4654388153</v>
      </c>
      <c r="AC232" s="248"/>
      <c r="AD232" s="139">
        <v>469202.84722361102</v>
      </c>
      <c r="AE232" s="248"/>
      <c r="AF232" s="246">
        <v>11338736.873808647</v>
      </c>
      <c r="AG232" s="197">
        <v>1363499</v>
      </c>
      <c r="AH232" s="246">
        <v>9165606.9969159272</v>
      </c>
      <c r="AI232" s="197">
        <v>1363499</v>
      </c>
      <c r="AJ232" s="246">
        <v>1145320.5012720546</v>
      </c>
      <c r="AK232" s="247">
        <v>1363499</v>
      </c>
      <c r="AL232" s="179">
        <v>14695840.387855308</v>
      </c>
      <c r="AM232" s="179">
        <v>12522710.510962589</v>
      </c>
      <c r="AN232" s="179">
        <v>4502424.0153187159</v>
      </c>
    </row>
    <row r="233" spans="1:40">
      <c r="A233" s="145" t="s">
        <v>385</v>
      </c>
      <c r="B233" s="113"/>
      <c r="C233" s="114"/>
      <c r="D233" s="113"/>
      <c r="E233" s="114"/>
      <c r="F233" s="113"/>
      <c r="G233" s="114"/>
      <c r="H233" s="113"/>
      <c r="I233" s="114"/>
      <c r="J233" s="113"/>
      <c r="K233" s="114"/>
      <c r="L233" s="113"/>
      <c r="M233" s="114"/>
      <c r="N233" s="113"/>
      <c r="O233" s="114"/>
      <c r="P233" s="113"/>
      <c r="Q233" s="114"/>
      <c r="R233" s="113"/>
      <c r="S233" s="114"/>
      <c r="T233" s="113"/>
      <c r="U233" s="114"/>
      <c r="V233" s="113"/>
      <c r="W233" s="114"/>
      <c r="X233" s="113"/>
      <c r="Y233" s="114"/>
      <c r="Z233" s="113"/>
      <c r="AA233" s="114"/>
      <c r="AB233" s="113"/>
      <c r="AC233" s="114"/>
      <c r="AD233" s="113"/>
      <c r="AE233" s="114"/>
      <c r="AF233" s="113"/>
      <c r="AG233" s="114"/>
      <c r="AH233" s="113"/>
      <c r="AI233" s="114"/>
      <c r="AJ233" s="113"/>
      <c r="AK233" s="114"/>
      <c r="AL233" s="175"/>
      <c r="AM233" s="175"/>
      <c r="AN233" s="175"/>
    </row>
    <row r="234" spans="1:40">
      <c r="A234" s="158" t="s">
        <v>372</v>
      </c>
      <c r="B234" s="160">
        <v>0.20574518676395331</v>
      </c>
      <c r="C234" s="107">
        <v>0</v>
      </c>
      <c r="D234" s="160">
        <v>4.5960358382262134</v>
      </c>
      <c r="E234" s="107">
        <v>0</v>
      </c>
      <c r="F234" s="160">
        <v>4.2908028056814631</v>
      </c>
      <c r="G234" s="107">
        <v>0</v>
      </c>
      <c r="H234" s="160">
        <v>2.8219243548295374</v>
      </c>
      <c r="I234" s="107">
        <v>0</v>
      </c>
      <c r="J234" s="160">
        <v>15.947510959083727</v>
      </c>
      <c r="K234" s="107">
        <v>0</v>
      </c>
      <c r="L234" s="160">
        <v>0.90849981184809958</v>
      </c>
      <c r="M234" s="107">
        <v>0</v>
      </c>
      <c r="N234" s="160">
        <v>0.20669815213592491</v>
      </c>
      <c r="O234" s="107">
        <v>0</v>
      </c>
      <c r="P234" s="160">
        <v>4.3078276036892635</v>
      </c>
      <c r="Q234" s="107">
        <v>0</v>
      </c>
      <c r="R234" s="160">
        <v>2.9813829582225675</v>
      </c>
      <c r="S234" s="107">
        <v>0</v>
      </c>
      <c r="T234" s="160">
        <v>56.015174870817269</v>
      </c>
      <c r="U234" s="107">
        <v>0</v>
      </c>
      <c r="V234" s="160">
        <v>0.94257039248665397</v>
      </c>
      <c r="W234" s="107">
        <v>0</v>
      </c>
      <c r="X234" s="160">
        <v>3.1460694022919462</v>
      </c>
      <c r="Y234" s="107">
        <v>0</v>
      </c>
      <c r="Z234" s="160">
        <v>3.1460694022919462</v>
      </c>
      <c r="AA234" s="107">
        <v>0</v>
      </c>
      <c r="AB234" s="160">
        <v>3.6662920779863084</v>
      </c>
      <c r="AC234" s="107">
        <v>0</v>
      </c>
      <c r="AD234" s="160">
        <v>3.9252630370956472</v>
      </c>
      <c r="AE234" s="107">
        <v>0</v>
      </c>
      <c r="AF234" s="160">
        <v>64.588052067969173</v>
      </c>
      <c r="AG234" s="107">
        <v>0</v>
      </c>
      <c r="AH234" s="160">
        <v>55.405708929684764</v>
      </c>
      <c r="AI234" s="107">
        <v>0</v>
      </c>
      <c r="AJ234" s="160">
        <v>10.372702447967114</v>
      </c>
      <c r="AK234" s="107">
        <v>0</v>
      </c>
      <c r="AL234" s="175">
        <v>95.727465439278632</v>
      </c>
      <c r="AM234" s="175">
        <v>86.545122300994223</v>
      </c>
      <c r="AN234" s="175">
        <v>41.51211581927658</v>
      </c>
    </row>
    <row r="235" spans="1:40">
      <c r="A235" s="158" t="s">
        <v>373</v>
      </c>
      <c r="B235" s="160">
        <v>0.18840891051218056</v>
      </c>
      <c r="C235" s="107">
        <v>0</v>
      </c>
      <c r="D235" s="160">
        <v>23.99019911456103</v>
      </c>
      <c r="E235" s="107">
        <v>0</v>
      </c>
      <c r="F235" s="160">
        <v>11.292904404130853</v>
      </c>
      <c r="G235" s="107">
        <v>0</v>
      </c>
      <c r="H235" s="160">
        <v>13.487476840363186</v>
      </c>
      <c r="I235" s="107">
        <v>0</v>
      </c>
      <c r="J235" s="160">
        <v>290.75362249713805</v>
      </c>
      <c r="K235" s="107">
        <v>0</v>
      </c>
      <c r="L235" s="160">
        <v>4.1990421307987722</v>
      </c>
      <c r="M235" s="107">
        <v>0</v>
      </c>
      <c r="N235" s="160">
        <v>0.18307796834943835</v>
      </c>
      <c r="O235" s="107">
        <v>0</v>
      </c>
      <c r="P235" s="160">
        <v>14.424216714832715</v>
      </c>
      <c r="Q235" s="107">
        <v>0</v>
      </c>
      <c r="R235" s="160">
        <v>12.595456398653777</v>
      </c>
      <c r="S235" s="107">
        <v>0</v>
      </c>
      <c r="T235" s="160">
        <v>470.11237108079973</v>
      </c>
      <c r="U235" s="107">
        <v>0</v>
      </c>
      <c r="V235" s="160">
        <v>4.008449376668155</v>
      </c>
      <c r="W235" s="107">
        <v>0</v>
      </c>
      <c r="X235" s="160">
        <v>17.950636903068695</v>
      </c>
      <c r="Y235" s="107">
        <v>0</v>
      </c>
      <c r="Z235" s="160">
        <v>17.950636903068695</v>
      </c>
      <c r="AA235" s="107">
        <v>0</v>
      </c>
      <c r="AB235" s="160">
        <v>22.09713858389453</v>
      </c>
      <c r="AC235" s="107">
        <v>0</v>
      </c>
      <c r="AD235" s="160">
        <v>38.282218413607424</v>
      </c>
      <c r="AE235" s="107">
        <v>0</v>
      </c>
      <c r="AF235" s="160">
        <v>1284.9220067943656</v>
      </c>
      <c r="AG235" s="107">
        <v>0</v>
      </c>
      <c r="AH235" s="160">
        <v>1011.8558437468305</v>
      </c>
      <c r="AI235" s="107">
        <v>0</v>
      </c>
      <c r="AJ235" s="160">
        <v>106.04736390352562</v>
      </c>
      <c r="AK235" s="107">
        <v>0</v>
      </c>
      <c r="AL235" s="175">
        <v>1369.3478097257123</v>
      </c>
      <c r="AM235" s="175">
        <v>1096.2816466781771</v>
      </c>
      <c r="AN235" s="175">
        <v>190.47316683487227</v>
      </c>
    </row>
    <row r="236" spans="1:40">
      <c r="A236" s="158" t="s">
        <v>374</v>
      </c>
      <c r="B236" s="160">
        <v>0.3183689298461107</v>
      </c>
      <c r="C236" s="107">
        <v>0</v>
      </c>
      <c r="D236" s="160">
        <v>30.730490483849163</v>
      </c>
      <c r="E236" s="107">
        <v>0</v>
      </c>
      <c r="F236" s="160">
        <v>19.356726582883987</v>
      </c>
      <c r="G236" s="107">
        <v>0</v>
      </c>
      <c r="H236" s="160">
        <v>24.052845761294186</v>
      </c>
      <c r="I236" s="107">
        <v>0</v>
      </c>
      <c r="J236" s="160">
        <v>686.29841129312581</v>
      </c>
      <c r="K236" s="107">
        <v>0</v>
      </c>
      <c r="L236" s="160">
        <v>6.6895716859441734</v>
      </c>
      <c r="M236" s="107">
        <v>0</v>
      </c>
      <c r="N236" s="160">
        <v>0.29942683902446376</v>
      </c>
      <c r="O236" s="107">
        <v>0</v>
      </c>
      <c r="P236" s="160">
        <v>24.431855923782805</v>
      </c>
      <c r="Q236" s="107">
        <v>0</v>
      </c>
      <c r="R236" s="160">
        <v>20.883287415732681</v>
      </c>
      <c r="S236" s="107">
        <v>0</v>
      </c>
      <c r="T236" s="160">
        <v>898.8197747273349</v>
      </c>
      <c r="U236" s="107">
        <v>0</v>
      </c>
      <c r="V236" s="160">
        <v>6.0123508216996271</v>
      </c>
      <c r="W236" s="107">
        <v>0</v>
      </c>
      <c r="X236" s="160">
        <v>25.464574017339181</v>
      </c>
      <c r="Y236" s="107">
        <v>0</v>
      </c>
      <c r="Z236" s="160">
        <v>25.464574017339181</v>
      </c>
      <c r="AA236" s="107">
        <v>0</v>
      </c>
      <c r="AB236" s="160">
        <v>32.701394772511165</v>
      </c>
      <c r="AC236" s="107">
        <v>0</v>
      </c>
      <c r="AD236" s="160">
        <v>75.462674775083045</v>
      </c>
      <c r="AE236" s="107">
        <v>0</v>
      </c>
      <c r="AF236" s="160">
        <v>3084.3242225068057</v>
      </c>
      <c r="AG236" s="107">
        <v>0</v>
      </c>
      <c r="AH236" s="160">
        <v>2389.8659385657761</v>
      </c>
      <c r="AI236" s="107">
        <v>0</v>
      </c>
      <c r="AJ236" s="160">
        <v>249.81213831687177</v>
      </c>
      <c r="AK236" s="107">
        <v>0</v>
      </c>
      <c r="AL236" s="175">
        <v>3208.2336367080884</v>
      </c>
      <c r="AM236" s="175">
        <v>2513.7753527670588</v>
      </c>
      <c r="AN236" s="175">
        <v>373.72155251815445</v>
      </c>
    </row>
    <row r="237" spans="1:40">
      <c r="A237" s="158" t="s">
        <v>375</v>
      </c>
      <c r="B237" s="160">
        <v>4.9020198173474597E-2</v>
      </c>
      <c r="C237" s="107">
        <v>0</v>
      </c>
      <c r="D237" s="160">
        <v>0.7006677631299606</v>
      </c>
      <c r="E237" s="107">
        <v>0</v>
      </c>
      <c r="F237" s="160">
        <v>1.389327957236141</v>
      </c>
      <c r="G237" s="107">
        <v>0</v>
      </c>
      <c r="H237" s="160">
        <v>2.2963092331934254</v>
      </c>
      <c r="I237" s="107">
        <v>0</v>
      </c>
      <c r="J237" s="160">
        <v>74.034420312811662</v>
      </c>
      <c r="K237" s="107">
        <v>0</v>
      </c>
      <c r="L237" s="160">
        <v>0.49785973034187525</v>
      </c>
      <c r="M237" s="107">
        <v>0</v>
      </c>
      <c r="N237" s="160">
        <v>4.7269394964034782E-2</v>
      </c>
      <c r="O237" s="107">
        <v>0</v>
      </c>
      <c r="P237" s="160">
        <v>2.0415078443327648</v>
      </c>
      <c r="Q237" s="107">
        <v>0</v>
      </c>
      <c r="R237" s="160">
        <v>2.0033493389470021</v>
      </c>
      <c r="S237" s="107">
        <v>0</v>
      </c>
      <c r="T237" s="160">
        <v>106.34447214601271</v>
      </c>
      <c r="U237" s="107">
        <v>0</v>
      </c>
      <c r="V237" s="160">
        <v>0.43526471515675286</v>
      </c>
      <c r="W237" s="107">
        <v>0</v>
      </c>
      <c r="X237" s="160">
        <v>1.1686377877879006</v>
      </c>
      <c r="Y237" s="107">
        <v>0</v>
      </c>
      <c r="Z237" s="160">
        <v>1.1686377877879006</v>
      </c>
      <c r="AA237" s="107">
        <v>0</v>
      </c>
      <c r="AB237" s="160">
        <v>1.7838035695156793</v>
      </c>
      <c r="AC237" s="107">
        <v>0</v>
      </c>
      <c r="AD237" s="160">
        <v>7.9614938391450005</v>
      </c>
      <c r="AE237" s="107">
        <v>0</v>
      </c>
      <c r="AF237" s="160">
        <v>330.4598535655366</v>
      </c>
      <c r="AG237" s="107">
        <v>0</v>
      </c>
      <c r="AH237" s="160">
        <v>257.74538545742627</v>
      </c>
      <c r="AI237" s="107">
        <v>0</v>
      </c>
      <c r="AJ237" s="160">
        <v>27.136970413164281</v>
      </c>
      <c r="AK237" s="107">
        <v>0</v>
      </c>
      <c r="AL237" s="175">
        <v>339.88091451366489</v>
      </c>
      <c r="AM237" s="175">
        <v>267.16644640555455</v>
      </c>
      <c r="AN237" s="175">
        <v>36.558031361292549</v>
      </c>
    </row>
    <row r="238" spans="1:40">
      <c r="A238" s="158" t="s">
        <v>376</v>
      </c>
      <c r="B238" s="160">
        <v>4.1989348056209436E-2</v>
      </c>
      <c r="C238" s="107">
        <v>0</v>
      </c>
      <c r="D238" s="160">
        <v>0.5951448648025256</v>
      </c>
      <c r="E238" s="107">
        <v>0</v>
      </c>
      <c r="F238" s="160">
        <v>1.1830663825339915</v>
      </c>
      <c r="G238" s="107">
        <v>0</v>
      </c>
      <c r="H238" s="160">
        <v>1.9333301971671495</v>
      </c>
      <c r="I238" s="107">
        <v>0</v>
      </c>
      <c r="J238" s="160">
        <v>58.147620429761282</v>
      </c>
      <c r="K238" s="107">
        <v>0</v>
      </c>
      <c r="L238" s="160">
        <v>0.41872975038997062</v>
      </c>
      <c r="M238" s="107">
        <v>0</v>
      </c>
      <c r="N238" s="160">
        <v>4.0916321995105913E-2</v>
      </c>
      <c r="O238" s="107">
        <v>0</v>
      </c>
      <c r="P238" s="160">
        <v>1.7886478524104095</v>
      </c>
      <c r="Q238" s="107">
        <v>0</v>
      </c>
      <c r="R238" s="160">
        <v>1.7537819762765083</v>
      </c>
      <c r="S238" s="107">
        <v>0</v>
      </c>
      <c r="T238" s="160">
        <v>92.998584382590309</v>
      </c>
      <c r="U238" s="107">
        <v>0</v>
      </c>
      <c r="V238" s="160">
        <v>0.38036673950064437</v>
      </c>
      <c r="W238" s="107">
        <v>0</v>
      </c>
      <c r="X238" s="160">
        <v>0.98350201632459555</v>
      </c>
      <c r="Y238" s="107">
        <v>0</v>
      </c>
      <c r="Z238" s="160">
        <v>0.98350201632459555</v>
      </c>
      <c r="AA238" s="107">
        <v>0</v>
      </c>
      <c r="AB238" s="160">
        <v>1.4987335812657923</v>
      </c>
      <c r="AC238" s="107">
        <v>0</v>
      </c>
      <c r="AD238" s="160">
        <v>6.6637415149864392</v>
      </c>
      <c r="AE238" s="107">
        <v>0</v>
      </c>
      <c r="AF238" s="160">
        <v>257.29722429429188</v>
      </c>
      <c r="AG238" s="107">
        <v>0</v>
      </c>
      <c r="AH238" s="160">
        <v>202.37691900768013</v>
      </c>
      <c r="AI238" s="107">
        <v>0</v>
      </c>
      <c r="AJ238" s="160">
        <v>21.589729520261173</v>
      </c>
      <c r="AK238" s="107">
        <v>0</v>
      </c>
      <c r="AL238" s="175">
        <v>265.17963719219182</v>
      </c>
      <c r="AM238" s="175">
        <v>210.2593319055801</v>
      </c>
      <c r="AN238" s="175">
        <v>29.472142418161138</v>
      </c>
    </row>
    <row r="239" spans="1:40">
      <c r="A239" s="158" t="s">
        <v>377</v>
      </c>
      <c r="B239" s="160">
        <v>0.18479548821673186</v>
      </c>
      <c r="C239" s="107">
        <v>0</v>
      </c>
      <c r="D239" s="160">
        <v>6.4230530493521298</v>
      </c>
      <c r="E239" s="107">
        <v>0</v>
      </c>
      <c r="F239" s="160">
        <v>9.2035327119158108</v>
      </c>
      <c r="G239" s="107">
        <v>0</v>
      </c>
      <c r="H239" s="160">
        <v>18.574200979823836</v>
      </c>
      <c r="I239" s="107">
        <v>0</v>
      </c>
      <c r="J239" s="160">
        <v>877.59039623663682</v>
      </c>
      <c r="K239" s="107">
        <v>0</v>
      </c>
      <c r="L239" s="160">
        <v>4.0218487380468897</v>
      </c>
      <c r="M239" s="107">
        <v>0</v>
      </c>
      <c r="N239" s="160">
        <v>0.14568864086472388</v>
      </c>
      <c r="O239" s="107">
        <v>0</v>
      </c>
      <c r="P239" s="160">
        <v>11.42454666202876</v>
      </c>
      <c r="Q239" s="107">
        <v>0</v>
      </c>
      <c r="R239" s="160">
        <v>12.030497037094044</v>
      </c>
      <c r="S239" s="107">
        <v>0</v>
      </c>
      <c r="T239" s="160">
        <v>687.97482219361882</v>
      </c>
      <c r="U239" s="107">
        <v>0</v>
      </c>
      <c r="V239" s="160">
        <v>2.6236940564453923</v>
      </c>
      <c r="W239" s="107">
        <v>0</v>
      </c>
      <c r="X239" s="160">
        <v>10.372769874922396</v>
      </c>
      <c r="Y239" s="107">
        <v>0</v>
      </c>
      <c r="Z239" s="160">
        <v>10.372769874922396</v>
      </c>
      <c r="AA239" s="107">
        <v>0</v>
      </c>
      <c r="AB239" s="160">
        <v>15.822355887537931</v>
      </c>
      <c r="AC239" s="107">
        <v>0</v>
      </c>
      <c r="AD239" s="160">
        <v>69.798278270940301</v>
      </c>
      <c r="AE239" s="107">
        <v>0</v>
      </c>
      <c r="AF239" s="160">
        <v>4052.794878846626</v>
      </c>
      <c r="AG239" s="107">
        <v>0</v>
      </c>
      <c r="AH239" s="160">
        <v>3058.8445901011305</v>
      </c>
      <c r="AI239" s="107">
        <v>0</v>
      </c>
      <c r="AJ239" s="160">
        <v>303.64411945121947</v>
      </c>
      <c r="AK239" s="107">
        <v>0</v>
      </c>
      <c r="AL239" s="175">
        <v>4106.9858696039228</v>
      </c>
      <c r="AM239" s="175">
        <v>3113.0355808584272</v>
      </c>
      <c r="AN239" s="175">
        <v>357.83511020851614</v>
      </c>
    </row>
    <row r="240" spans="1:40">
      <c r="A240" s="158" t="s">
        <v>378</v>
      </c>
      <c r="B240" s="160">
        <v>4.3809203193679409E-3</v>
      </c>
      <c r="C240" s="107">
        <v>0</v>
      </c>
      <c r="D240" s="160">
        <v>3.6904124158857937E-2</v>
      </c>
      <c r="E240" s="107">
        <v>0</v>
      </c>
      <c r="F240" s="160">
        <v>9.1635216005078443E-2</v>
      </c>
      <c r="G240" s="107">
        <v>0</v>
      </c>
      <c r="H240" s="160">
        <v>0.10468851225021271</v>
      </c>
      <c r="I240" s="107">
        <v>0</v>
      </c>
      <c r="J240" s="160">
        <v>2.5391446381115612</v>
      </c>
      <c r="K240" s="107">
        <v>0</v>
      </c>
      <c r="L240" s="160">
        <v>2.4123031638416646E-2</v>
      </c>
      <c r="M240" s="107">
        <v>0</v>
      </c>
      <c r="N240" s="160">
        <v>4.3543399010805587E-3</v>
      </c>
      <c r="O240" s="107">
        <v>0</v>
      </c>
      <c r="P240" s="160">
        <v>0.11380755297018853</v>
      </c>
      <c r="Q240" s="107">
        <v>0</v>
      </c>
      <c r="R240" s="160">
        <v>0.10024084132494142</v>
      </c>
      <c r="S240" s="107">
        <v>0</v>
      </c>
      <c r="T240" s="160">
        <v>4.5413947214518338</v>
      </c>
      <c r="U240" s="107">
        <v>0</v>
      </c>
      <c r="V240" s="160">
        <v>2.3172723986845729E-2</v>
      </c>
      <c r="W240" s="107">
        <v>0</v>
      </c>
      <c r="X240" s="160">
        <v>5.1679053602659411E-2</v>
      </c>
      <c r="Y240" s="107">
        <v>0</v>
      </c>
      <c r="Z240" s="160">
        <v>5.1679053602659411E-2</v>
      </c>
      <c r="AA240" s="107">
        <v>0</v>
      </c>
      <c r="AB240" s="160">
        <v>7.5854849017481019E-2</v>
      </c>
      <c r="AC240" s="107">
        <v>0</v>
      </c>
      <c r="AD240" s="160">
        <v>0.310539186092881</v>
      </c>
      <c r="AE240" s="107">
        <v>0</v>
      </c>
      <c r="AF240" s="160">
        <v>11.145078163290973</v>
      </c>
      <c r="AG240" s="107">
        <v>0</v>
      </c>
      <c r="AH240" s="160">
        <v>8.8358992493585937</v>
      </c>
      <c r="AI240" s="107">
        <v>0</v>
      </c>
      <c r="AJ240" s="160">
        <v>1.0181378481652921</v>
      </c>
      <c r="AK240" s="107">
        <v>0</v>
      </c>
      <c r="AL240" s="175">
        <v>11.814153853492071</v>
      </c>
      <c r="AM240" s="175">
        <v>9.5049749395596912</v>
      </c>
      <c r="AN240" s="175">
        <v>1.6872135383663902</v>
      </c>
    </row>
    <row r="241" spans="1:58">
      <c r="A241" s="162" t="s">
        <v>379</v>
      </c>
      <c r="B241" s="165">
        <v>8.3543733890772513E-3</v>
      </c>
      <c r="C241" s="109">
        <v>0</v>
      </c>
      <c r="D241" s="165">
        <v>0.17271155550338113</v>
      </c>
      <c r="E241" s="109">
        <v>0</v>
      </c>
      <c r="F241" s="165">
        <v>0.26236363028659809</v>
      </c>
      <c r="G241" s="109">
        <v>0</v>
      </c>
      <c r="H241" s="165">
        <v>0.50916611462469907</v>
      </c>
      <c r="I241" s="109">
        <v>0</v>
      </c>
      <c r="J241" s="165">
        <v>6.2336128886444175</v>
      </c>
      <c r="K241" s="109">
        <v>0</v>
      </c>
      <c r="L241" s="165">
        <v>0.11155600555897521</v>
      </c>
      <c r="M241" s="109">
        <v>0</v>
      </c>
      <c r="N241" s="165">
        <v>9.0348459934581071E-3</v>
      </c>
      <c r="O241" s="109">
        <v>0</v>
      </c>
      <c r="P241" s="165">
        <v>0.61565886940840164</v>
      </c>
      <c r="Q241" s="109">
        <v>0</v>
      </c>
      <c r="R241" s="165">
        <v>0.62302881555085765</v>
      </c>
      <c r="S241" s="109">
        <v>0</v>
      </c>
      <c r="T241" s="165">
        <v>35.597676479330467</v>
      </c>
      <c r="U241" s="109">
        <v>0</v>
      </c>
      <c r="V241" s="165">
        <v>0.13588437825935878</v>
      </c>
      <c r="W241" s="109">
        <v>0</v>
      </c>
      <c r="X241" s="165">
        <v>0.27561873917362018</v>
      </c>
      <c r="Y241" s="109">
        <v>0</v>
      </c>
      <c r="Z241" s="165">
        <v>0.27561873917362018</v>
      </c>
      <c r="AA241" s="109">
        <v>0</v>
      </c>
      <c r="AB241" s="165">
        <v>0.4187327896752584</v>
      </c>
      <c r="AC241" s="109">
        <v>0</v>
      </c>
      <c r="AD241" s="165">
        <v>1.8364346491792023</v>
      </c>
      <c r="AE241" s="109">
        <v>0</v>
      </c>
      <c r="AF241" s="165">
        <v>21.396140703723951</v>
      </c>
      <c r="AG241" s="109">
        <v>0</v>
      </c>
      <c r="AH241" s="165">
        <v>21.526315798568305</v>
      </c>
      <c r="AI241" s="109">
        <v>0</v>
      </c>
      <c r="AJ241" s="165">
        <v>2.7853371319325504</v>
      </c>
      <c r="AK241" s="109">
        <v>0</v>
      </c>
      <c r="AL241" s="179">
        <v>23.216803769972227</v>
      </c>
      <c r="AM241" s="179">
        <v>23.346978864816581</v>
      </c>
      <c r="AN241" s="179">
        <v>4.6060001981808272</v>
      </c>
    </row>
    <row r="243" spans="1:58">
      <c r="A243" s="144" t="s">
        <v>386</v>
      </c>
      <c r="AG243" s="1250"/>
      <c r="AH243" s="1250"/>
      <c r="AI243" s="1250"/>
      <c r="AJ243" s="1250"/>
      <c r="AK243" s="1250"/>
      <c r="AL243" s="1250"/>
      <c r="AM243" s="1250"/>
      <c r="AN243" s="1250"/>
      <c r="AO243" s="1250"/>
      <c r="AP243" s="1250"/>
      <c r="AQ243" s="1250"/>
      <c r="AR243" s="1250"/>
      <c r="AS243" s="1250"/>
      <c r="AT243" s="1250"/>
      <c r="AU243" s="1250"/>
      <c r="AV243" s="1250"/>
    </row>
    <row r="244" spans="1:58">
      <c r="A244" s="143" t="s">
        <v>387</v>
      </c>
    </row>
    <row r="245" spans="1:58" ht="57.6">
      <c r="A245" s="167"/>
      <c r="B245" s="182" t="s">
        <v>251</v>
      </c>
      <c r="C245" s="183" t="s">
        <v>252</v>
      </c>
      <c r="D245" s="183" t="s">
        <v>253</v>
      </c>
      <c r="E245" s="183" t="s">
        <v>87</v>
      </c>
      <c r="F245" s="183" t="s">
        <v>254</v>
      </c>
      <c r="G245" s="183" t="s">
        <v>249</v>
      </c>
      <c r="H245" s="183" t="s">
        <v>255</v>
      </c>
      <c r="I245" s="183" t="s">
        <v>256</v>
      </c>
      <c r="J245" s="183" t="s">
        <v>257</v>
      </c>
      <c r="K245" s="183" t="s">
        <v>258</v>
      </c>
      <c r="L245" s="183" t="s">
        <v>259</v>
      </c>
      <c r="M245" s="183" t="s">
        <v>260</v>
      </c>
      <c r="N245" s="183" t="s">
        <v>261</v>
      </c>
      <c r="O245" s="183" t="s">
        <v>262</v>
      </c>
      <c r="P245" s="183" t="s">
        <v>263</v>
      </c>
      <c r="Q245" s="183" t="s">
        <v>264</v>
      </c>
      <c r="R245" s="183" t="s">
        <v>265</v>
      </c>
      <c r="S245" s="183" t="s">
        <v>266</v>
      </c>
      <c r="T245" s="183" t="s">
        <v>267</v>
      </c>
      <c r="U245" s="183" t="s">
        <v>244</v>
      </c>
      <c r="V245" s="183" t="s">
        <v>268</v>
      </c>
      <c r="W245" s="183" t="s">
        <v>269</v>
      </c>
      <c r="X245" s="183" t="s">
        <v>270</v>
      </c>
      <c r="Y245" s="183" t="s">
        <v>271</v>
      </c>
      <c r="Z245" s="183" t="s">
        <v>272</v>
      </c>
      <c r="AA245" s="183" t="s">
        <v>245</v>
      </c>
      <c r="AB245" s="183" t="s">
        <v>273</v>
      </c>
      <c r="AC245" s="183" t="s">
        <v>274</v>
      </c>
      <c r="AD245" s="183" t="s">
        <v>275</v>
      </c>
      <c r="AE245" s="183" t="s">
        <v>276</v>
      </c>
      <c r="AF245" s="183" t="s">
        <v>277</v>
      </c>
      <c r="AG245" s="183" t="s">
        <v>278</v>
      </c>
      <c r="AH245" s="183" t="s">
        <v>243</v>
      </c>
      <c r="AI245" s="183" t="s">
        <v>242</v>
      </c>
      <c r="AJ245" s="183" t="s">
        <v>279</v>
      </c>
      <c r="AK245" s="183" t="s">
        <v>280</v>
      </c>
      <c r="AL245" s="183" t="s">
        <v>281</v>
      </c>
      <c r="AM245" s="183" t="s">
        <v>282</v>
      </c>
      <c r="AN245" s="183" t="s">
        <v>283</v>
      </c>
      <c r="AO245" s="183" t="s">
        <v>284</v>
      </c>
      <c r="AP245" s="183" t="s">
        <v>285</v>
      </c>
      <c r="AQ245" s="183" t="s">
        <v>286</v>
      </c>
      <c r="AR245" s="183" t="s">
        <v>287</v>
      </c>
      <c r="AS245" s="183" t="s">
        <v>288</v>
      </c>
      <c r="AT245" s="183" t="s">
        <v>289</v>
      </c>
      <c r="AU245" s="183" t="s">
        <v>290</v>
      </c>
      <c r="AV245" s="183" t="s">
        <v>291</v>
      </c>
      <c r="AW245" s="183" t="s">
        <v>86</v>
      </c>
      <c r="AX245" s="183" t="s">
        <v>292</v>
      </c>
      <c r="AY245" s="183" t="s">
        <v>293</v>
      </c>
      <c r="AZ245" s="183" t="s">
        <v>294</v>
      </c>
      <c r="BA245" s="183" t="s">
        <v>295</v>
      </c>
      <c r="BB245" s="183" t="s">
        <v>246</v>
      </c>
      <c r="BC245" s="183" t="s">
        <v>296</v>
      </c>
      <c r="BD245" s="183" t="s">
        <v>297</v>
      </c>
      <c r="BE245" s="183" t="s">
        <v>298</v>
      </c>
      <c r="BF245" s="184" t="s">
        <v>299</v>
      </c>
    </row>
    <row r="246" spans="1:58">
      <c r="A246" s="249" t="s">
        <v>388</v>
      </c>
      <c r="B246" s="115"/>
      <c r="C246" s="236"/>
      <c r="D246" s="116"/>
      <c r="E246" s="236"/>
      <c r="F246" s="116"/>
      <c r="G246" s="236"/>
      <c r="H246" s="116"/>
      <c r="I246" s="236"/>
      <c r="J246" s="116"/>
      <c r="K246" s="236"/>
      <c r="L246" s="116"/>
      <c r="M246" s="236"/>
      <c r="N246" s="116"/>
      <c r="O246" s="236"/>
      <c r="P246" s="116"/>
      <c r="Q246" s="236"/>
      <c r="R246" s="116"/>
      <c r="S246" s="236"/>
      <c r="T246" s="116"/>
      <c r="U246" s="236"/>
      <c r="V246" s="116"/>
      <c r="W246" s="236"/>
      <c r="X246" s="116"/>
      <c r="Y246" s="236"/>
      <c r="Z246" s="116"/>
      <c r="AA246" s="236"/>
      <c r="AB246" s="116"/>
      <c r="AC246" s="236"/>
      <c r="AD246" s="236"/>
      <c r="AE246" s="236"/>
      <c r="AF246" s="116"/>
      <c r="AG246" s="236"/>
      <c r="AH246" s="116"/>
      <c r="AI246" s="236"/>
      <c r="AJ246" s="116"/>
      <c r="AK246" s="236"/>
      <c r="AL246" s="116"/>
      <c r="AM246" s="236"/>
      <c r="AN246" s="116"/>
      <c r="AO246" s="236"/>
      <c r="AP246" s="236"/>
      <c r="AQ246" s="236"/>
      <c r="AR246" s="236"/>
      <c r="AS246" s="236"/>
      <c r="AT246" s="116"/>
      <c r="AU246" s="236"/>
      <c r="AV246" s="116"/>
      <c r="AW246" s="236"/>
      <c r="AX246" s="116"/>
      <c r="AY246" s="236"/>
      <c r="AZ246" s="116"/>
      <c r="BA246" s="236"/>
      <c r="BB246" s="116"/>
      <c r="BC246" s="236"/>
      <c r="BD246" s="116"/>
      <c r="BE246" s="236"/>
      <c r="BF246" s="226"/>
    </row>
    <row r="247" spans="1:58">
      <c r="A247" s="170" t="s">
        <v>368</v>
      </c>
      <c r="B247" s="82">
        <v>0</v>
      </c>
      <c r="C247" s="81">
        <v>4.275490649974123</v>
      </c>
      <c r="D247" s="81">
        <v>28.115400241402202</v>
      </c>
      <c r="E247" s="81">
        <v>31.026243911848621</v>
      </c>
      <c r="F247" s="81">
        <v>26.557005706181489</v>
      </c>
      <c r="G247" s="81">
        <v>27.333687949547386</v>
      </c>
      <c r="H247" s="81">
        <v>0</v>
      </c>
      <c r="I247" s="81">
        <v>0</v>
      </c>
      <c r="J247" s="81">
        <v>28.277029373535729</v>
      </c>
      <c r="K247" s="81">
        <v>85.92696159883468</v>
      </c>
      <c r="L247" s="81">
        <v>22.877346551872421</v>
      </c>
      <c r="M247" s="81">
        <v>2.6355837988715223</v>
      </c>
      <c r="N247" s="81">
        <v>112.50214401530454</v>
      </c>
      <c r="O247" s="81">
        <v>122.64383017329698</v>
      </c>
      <c r="P247" s="81">
        <v>10.181270200562627</v>
      </c>
      <c r="Q247" s="81">
        <v>0</v>
      </c>
      <c r="R247" s="81">
        <v>35.156594032087256</v>
      </c>
      <c r="S247" s="81">
        <v>6.4576722320177247</v>
      </c>
      <c r="T247" s="81">
        <v>2.9327825004652075</v>
      </c>
      <c r="U247" s="81">
        <v>35.4509768998034</v>
      </c>
      <c r="V247" s="81">
        <v>0</v>
      </c>
      <c r="W247" s="81">
        <v>24.239861940084268</v>
      </c>
      <c r="X247" s="81">
        <v>1.7578297016043629</v>
      </c>
      <c r="Y247" s="81">
        <v>0</v>
      </c>
      <c r="Z247" s="81">
        <v>0</v>
      </c>
      <c r="AA247" s="81">
        <v>5.0638013814528504</v>
      </c>
      <c r="AB247" s="81">
        <v>67.207060044594201</v>
      </c>
      <c r="AC247" s="81">
        <v>1.7578297016043629</v>
      </c>
      <c r="AD247" s="81">
        <v>0.53816405246075794</v>
      </c>
      <c r="AE247" s="81">
        <v>0</v>
      </c>
      <c r="AF247" s="81">
        <v>35.156594032087256</v>
      </c>
      <c r="AG247" s="81">
        <v>1.1124336772093635</v>
      </c>
      <c r="AH247" s="81">
        <v>22.378495062148854</v>
      </c>
      <c r="AI247" s="81">
        <v>6.9013687268647237</v>
      </c>
      <c r="AJ247" s="81">
        <v>39.756510679044823</v>
      </c>
      <c r="AK247" s="81">
        <v>99.497441505514459</v>
      </c>
      <c r="AL247" s="81">
        <v>24.636971769641097</v>
      </c>
      <c r="AM247" s="81">
        <v>0</v>
      </c>
      <c r="AN247" s="81">
        <v>0</v>
      </c>
      <c r="AO247" s="81">
        <v>0</v>
      </c>
      <c r="AP247" s="81">
        <v>31.683020884953542</v>
      </c>
      <c r="AQ247" s="81">
        <v>0</v>
      </c>
      <c r="AR247" s="81">
        <v>0</v>
      </c>
      <c r="AS247" s="81">
        <v>0</v>
      </c>
      <c r="AT247" s="81">
        <v>0</v>
      </c>
      <c r="AU247" s="81">
        <v>0</v>
      </c>
      <c r="AV247" s="81">
        <v>13.959154181417563</v>
      </c>
      <c r="AW247" s="81">
        <v>0.10374303679833322</v>
      </c>
      <c r="AX247" s="81">
        <v>0.32437954447649509</v>
      </c>
      <c r="AY247" s="81">
        <v>0</v>
      </c>
      <c r="AZ247" s="81">
        <v>0</v>
      </c>
      <c r="BA247" s="81">
        <v>0</v>
      </c>
      <c r="BB247" s="81">
        <v>2.5193184501235828E-2</v>
      </c>
      <c r="BC247" s="81">
        <v>85.92696159883468</v>
      </c>
      <c r="BD247" s="81">
        <v>6.5761541324410429</v>
      </c>
      <c r="BE247" s="81">
        <v>22.153131061660741</v>
      </c>
      <c r="BF247" s="128">
        <v>0</v>
      </c>
    </row>
    <row r="248" spans="1:58">
      <c r="A248" s="170" t="s">
        <v>369</v>
      </c>
      <c r="B248" s="82">
        <v>0</v>
      </c>
      <c r="C248" s="81">
        <v>4.1860960580614037</v>
      </c>
      <c r="D248" s="81">
        <v>25.032755096437185</v>
      </c>
      <c r="E248" s="81">
        <v>30.885447078540164</v>
      </c>
      <c r="F248" s="81">
        <v>26.477169582339119</v>
      </c>
      <c r="G248" s="81">
        <v>24.191088806580005</v>
      </c>
      <c r="H248" s="81">
        <v>0</v>
      </c>
      <c r="I248" s="81">
        <v>0</v>
      </c>
      <c r="J248" s="81">
        <v>27.818678726192445</v>
      </c>
      <c r="K248" s="81">
        <v>81.693642227215307</v>
      </c>
      <c r="L248" s="81">
        <v>22.181135400192783</v>
      </c>
      <c r="M248" s="81">
        <v>2.065130380357957</v>
      </c>
      <c r="N248" s="81">
        <v>75.307226163069572</v>
      </c>
      <c r="O248" s="81">
        <v>96.098443070860583</v>
      </c>
      <c r="P248" s="81">
        <v>9.3379232039998818</v>
      </c>
      <c r="Q248" s="81">
        <v>0</v>
      </c>
      <c r="R248" s="81">
        <v>2.9943530405235106</v>
      </c>
      <c r="S248" s="81">
        <v>5.7293642054151892</v>
      </c>
      <c r="T248" s="81">
        <v>2.7909063649459842</v>
      </c>
      <c r="U248" s="81">
        <v>30.97082190300641</v>
      </c>
      <c r="V248" s="81">
        <v>0</v>
      </c>
      <c r="W248" s="81">
        <v>21.42528471481954</v>
      </c>
      <c r="X248" s="81">
        <v>0.14971765202617554</v>
      </c>
      <c r="Y248" s="81">
        <v>0</v>
      </c>
      <c r="Z248" s="81">
        <v>0</v>
      </c>
      <c r="AA248" s="81">
        <v>4.2851030993391204</v>
      </c>
      <c r="AB248" s="81">
        <v>64.648181692307929</v>
      </c>
      <c r="AC248" s="81">
        <v>0.14971765202617554</v>
      </c>
      <c r="AD248" s="81">
        <v>0.50569870565271757</v>
      </c>
      <c r="AE248" s="81">
        <v>0</v>
      </c>
      <c r="AF248" s="81">
        <v>2.9943530405235106</v>
      </c>
      <c r="AG248" s="81">
        <v>1.0248619069037375</v>
      </c>
      <c r="AH248" s="81">
        <v>18.543349938870058</v>
      </c>
      <c r="AI248" s="81">
        <v>6.7141345117148825</v>
      </c>
      <c r="AJ248" s="81">
        <v>39.198895178752743</v>
      </c>
      <c r="AK248" s="81">
        <v>99.343193943184076</v>
      </c>
      <c r="AL248" s="81">
        <v>21.745529982030909</v>
      </c>
      <c r="AM248" s="81">
        <v>0</v>
      </c>
      <c r="AN248" s="81">
        <v>0</v>
      </c>
      <c r="AO248" s="81">
        <v>0</v>
      </c>
      <c r="AP248" s="81">
        <v>31.577126622533086</v>
      </c>
      <c r="AQ248" s="81">
        <v>0</v>
      </c>
      <c r="AR248" s="81">
        <v>0</v>
      </c>
      <c r="AS248" s="81">
        <v>0</v>
      </c>
      <c r="AT248" s="81">
        <v>0</v>
      </c>
      <c r="AU248" s="81">
        <v>0</v>
      </c>
      <c r="AV248" s="81">
        <v>11.957986619216006</v>
      </c>
      <c r="AW248" s="81">
        <v>0.10313274882978068</v>
      </c>
      <c r="AX248" s="81">
        <v>0.25416989296713316</v>
      </c>
      <c r="AY248" s="81">
        <v>0</v>
      </c>
      <c r="AZ248" s="81">
        <v>0</v>
      </c>
      <c r="BA248" s="81">
        <v>0</v>
      </c>
      <c r="BB248" s="81">
        <v>2.4269347416082561E-2</v>
      </c>
      <c r="BC248" s="81">
        <v>81.693642227215307</v>
      </c>
      <c r="BD248" s="81">
        <v>6.508061269566392</v>
      </c>
      <c r="BE248" s="81">
        <v>17.91769868199561</v>
      </c>
      <c r="BF248" s="128">
        <v>0</v>
      </c>
    </row>
    <row r="249" spans="1:58">
      <c r="A249" s="170" t="s">
        <v>361</v>
      </c>
      <c r="B249" s="82">
        <v>0</v>
      </c>
      <c r="C249" s="81">
        <v>3.5167632849100072</v>
      </c>
      <c r="D249" s="81">
        <v>4.9885798388708418</v>
      </c>
      <c r="E249" s="81">
        <v>0.19449589828165761</v>
      </c>
      <c r="F249" s="81">
        <v>25.470086885305488</v>
      </c>
      <c r="G249" s="81">
        <v>6.578704542058472</v>
      </c>
      <c r="H249" s="81">
        <v>0</v>
      </c>
      <c r="I249" s="81">
        <v>0</v>
      </c>
      <c r="J249" s="81">
        <v>4.5403647805985932</v>
      </c>
      <c r="K249" s="81">
        <v>11.255143443311914</v>
      </c>
      <c r="L249" s="81">
        <v>17.706733955356544</v>
      </c>
      <c r="M249" s="81">
        <v>0.81766198028887083</v>
      </c>
      <c r="N249" s="81">
        <v>34.894679992502802</v>
      </c>
      <c r="O249" s="81">
        <v>38.048950328442366</v>
      </c>
      <c r="P249" s="81">
        <v>1.306311337823812</v>
      </c>
      <c r="Q249" s="81">
        <v>0</v>
      </c>
      <c r="R249" s="81">
        <v>0.60272052481397909</v>
      </c>
      <c r="S249" s="81">
        <v>1.0434585238818193</v>
      </c>
      <c r="T249" s="81">
        <v>0.46327981172816524</v>
      </c>
      <c r="U249" s="81">
        <v>6.7756498294050411</v>
      </c>
      <c r="V249" s="81">
        <v>0</v>
      </c>
      <c r="W249" s="81">
        <v>4.6044874554042341</v>
      </c>
      <c r="X249" s="81">
        <v>3.0136026240698957E-2</v>
      </c>
      <c r="Y249" s="81">
        <v>0</v>
      </c>
      <c r="Z249" s="81">
        <v>0</v>
      </c>
      <c r="AA249" s="81">
        <v>1.1108323478478352</v>
      </c>
      <c r="AB249" s="81">
        <v>3.6683369940710717</v>
      </c>
      <c r="AC249" s="81">
        <v>3.0136026240698957E-2</v>
      </c>
      <c r="AD249" s="81">
        <v>4.6453577460047676E-2</v>
      </c>
      <c r="AE249" s="81">
        <v>0</v>
      </c>
      <c r="AF249" s="81">
        <v>0.60272052481397909</v>
      </c>
      <c r="AG249" s="81">
        <v>0.12536486821848691</v>
      </c>
      <c r="AH249" s="81">
        <v>5.4963568530800551</v>
      </c>
      <c r="AI249" s="81">
        <v>0.34462382950009118</v>
      </c>
      <c r="AJ249" s="81">
        <v>0.79858963136442707</v>
      </c>
      <c r="AK249" s="81">
        <v>0.21549085016039513</v>
      </c>
      <c r="AL249" s="81">
        <v>4.1430252483054542</v>
      </c>
      <c r="AM249" s="81">
        <v>0</v>
      </c>
      <c r="AN249" s="81">
        <v>0</v>
      </c>
      <c r="AO249" s="81">
        <v>0</v>
      </c>
      <c r="AP249" s="81">
        <v>0.15170421235759457</v>
      </c>
      <c r="AQ249" s="81">
        <v>0</v>
      </c>
      <c r="AR249" s="81">
        <v>0</v>
      </c>
      <c r="AS249" s="81">
        <v>0</v>
      </c>
      <c r="AT249" s="81">
        <v>0</v>
      </c>
      <c r="AU249" s="81">
        <v>0</v>
      </c>
      <c r="AV249" s="81">
        <v>2.8951341390155623</v>
      </c>
      <c r="AW249" s="81">
        <v>4.3281656003984099E-3</v>
      </c>
      <c r="AX249" s="81">
        <v>0.10063532065093796</v>
      </c>
      <c r="AY249" s="81">
        <v>0</v>
      </c>
      <c r="AZ249" s="81">
        <v>0</v>
      </c>
      <c r="BA249" s="81">
        <v>0</v>
      </c>
      <c r="BB249" s="81">
        <v>1.319291680258164E-3</v>
      </c>
      <c r="BC249" s="81">
        <v>11.255143443311914</v>
      </c>
      <c r="BD249" s="81">
        <v>6.2138364176930718</v>
      </c>
      <c r="BE249" s="81">
        <v>6.2679786700450064</v>
      </c>
      <c r="BF249" s="128">
        <v>0</v>
      </c>
    </row>
    <row r="250" spans="1:58">
      <c r="A250" s="170" t="s">
        <v>360</v>
      </c>
      <c r="B250" s="82">
        <v>0</v>
      </c>
      <c r="C250" s="81">
        <v>0.45012298820271918</v>
      </c>
      <c r="D250" s="81">
        <v>18.722957884744279</v>
      </c>
      <c r="E250" s="81">
        <v>2.3308191726784067</v>
      </c>
      <c r="F250" s="81">
        <v>0.66931856185558902</v>
      </c>
      <c r="G250" s="81">
        <v>12.798039735035831</v>
      </c>
      <c r="H250" s="81">
        <v>0</v>
      </c>
      <c r="I250" s="81">
        <v>0</v>
      </c>
      <c r="J250" s="81">
        <v>4.0082232533932247</v>
      </c>
      <c r="K250" s="81">
        <v>38.754086171458233</v>
      </c>
      <c r="L250" s="81">
        <v>4.7167391779720473</v>
      </c>
      <c r="M250" s="81">
        <v>1.2219665382293232</v>
      </c>
      <c r="N250" s="81">
        <v>28.902461068289469</v>
      </c>
      <c r="O250" s="81">
        <v>56.862793228664202</v>
      </c>
      <c r="P250" s="81">
        <v>7.7336679975182108</v>
      </c>
      <c r="Q250" s="81">
        <v>0</v>
      </c>
      <c r="R250" s="81">
        <v>1.6117881162943553</v>
      </c>
      <c r="S250" s="81">
        <v>2.8508915247354683</v>
      </c>
      <c r="T250" s="81">
        <v>1.3754436095536695</v>
      </c>
      <c r="U250" s="81">
        <v>21.557615117605398</v>
      </c>
      <c r="V250" s="81">
        <v>0</v>
      </c>
      <c r="W250" s="81">
        <v>16.069574256154254</v>
      </c>
      <c r="X250" s="81">
        <v>8.0589405814717768E-2</v>
      </c>
      <c r="Y250" s="81">
        <v>0</v>
      </c>
      <c r="Z250" s="81">
        <v>0</v>
      </c>
      <c r="AA250" s="81">
        <v>2.8803209876106699</v>
      </c>
      <c r="AB250" s="81">
        <v>56.661947479203043</v>
      </c>
      <c r="AC250" s="81">
        <v>8.0589405814717768E-2</v>
      </c>
      <c r="AD250" s="81">
        <v>0.14474213319837528</v>
      </c>
      <c r="AE250" s="81">
        <v>0</v>
      </c>
      <c r="AF250" s="81">
        <v>1.6117881162943553</v>
      </c>
      <c r="AG250" s="81">
        <v>0.28894984302886895</v>
      </c>
      <c r="AH250" s="81">
        <v>9.9079277469506977</v>
      </c>
      <c r="AI250" s="81">
        <v>6.1940823642269525</v>
      </c>
      <c r="AJ250" s="81">
        <v>35.774612806554714</v>
      </c>
      <c r="AK250" s="81">
        <v>77.414853098890035</v>
      </c>
      <c r="AL250" s="81">
        <v>11.908268821964574</v>
      </c>
      <c r="AM250" s="81">
        <v>0</v>
      </c>
      <c r="AN250" s="81">
        <v>0</v>
      </c>
      <c r="AO250" s="81">
        <v>0</v>
      </c>
      <c r="AP250" s="81">
        <v>31.111386604223103</v>
      </c>
      <c r="AQ250" s="81">
        <v>0</v>
      </c>
      <c r="AR250" s="81">
        <v>0</v>
      </c>
      <c r="AS250" s="81">
        <v>0</v>
      </c>
      <c r="AT250" s="81">
        <v>0</v>
      </c>
      <c r="AU250" s="81">
        <v>0</v>
      </c>
      <c r="AV250" s="81">
        <v>7.9122790281028994</v>
      </c>
      <c r="AW250" s="81">
        <v>1.0412896943726144E-2</v>
      </c>
      <c r="AX250" s="81">
        <v>0.15039588162822437</v>
      </c>
      <c r="AY250" s="81">
        <v>0</v>
      </c>
      <c r="AZ250" s="81">
        <v>0</v>
      </c>
      <c r="BA250" s="81">
        <v>0</v>
      </c>
      <c r="BB250" s="81">
        <v>3.9398439356415245E-3</v>
      </c>
      <c r="BC250" s="81">
        <v>38.754086171458233</v>
      </c>
      <c r="BD250" s="81">
        <v>0.15981231087207634</v>
      </c>
      <c r="BE250" s="81">
        <v>10.206653957004743</v>
      </c>
      <c r="BF250" s="128">
        <v>0</v>
      </c>
    </row>
    <row r="251" spans="1:58">
      <c r="A251" s="170" t="s">
        <v>370</v>
      </c>
      <c r="B251" s="82">
        <v>0</v>
      </c>
      <c r="C251" s="81">
        <v>0.21920978494867677</v>
      </c>
      <c r="D251" s="81">
        <v>1.3212173728220669</v>
      </c>
      <c r="E251" s="81">
        <v>28.360132007580098</v>
      </c>
      <c r="F251" s="81">
        <v>0.3377641351780446</v>
      </c>
      <c r="G251" s="81">
        <v>4.8143445294857026</v>
      </c>
      <c r="H251" s="81">
        <v>0</v>
      </c>
      <c r="I251" s="81">
        <v>0</v>
      </c>
      <c r="J251" s="81">
        <v>19.270090692200622</v>
      </c>
      <c r="K251" s="81">
        <v>31.684412612445161</v>
      </c>
      <c r="L251" s="81">
        <v>-0.24233773313580864</v>
      </c>
      <c r="M251" s="81">
        <v>2.5501861839763097E-2</v>
      </c>
      <c r="N251" s="81">
        <v>11.51008510227731</v>
      </c>
      <c r="O251" s="81">
        <v>1.1866995137540124</v>
      </c>
      <c r="P251" s="81">
        <v>0.29794386865785755</v>
      </c>
      <c r="Q251" s="81">
        <v>0</v>
      </c>
      <c r="R251" s="81">
        <v>0.77984439941517647</v>
      </c>
      <c r="S251" s="81">
        <v>1.835014156797901</v>
      </c>
      <c r="T251" s="81">
        <v>0.95218294366414935</v>
      </c>
      <c r="U251" s="81">
        <v>2.63755695599597</v>
      </c>
      <c r="V251" s="81">
        <v>0</v>
      </c>
      <c r="W251" s="81">
        <v>0.75122300326105451</v>
      </c>
      <c r="X251" s="81">
        <v>3.8992219970758829E-2</v>
      </c>
      <c r="Y251" s="81">
        <v>0</v>
      </c>
      <c r="Z251" s="81">
        <v>0</v>
      </c>
      <c r="AA251" s="81">
        <v>0.29394976388061544</v>
      </c>
      <c r="AB251" s="81">
        <v>4.3178972190338083</v>
      </c>
      <c r="AC251" s="81">
        <v>3.8992219970758829E-2</v>
      </c>
      <c r="AD251" s="81">
        <v>0.31450299499429468</v>
      </c>
      <c r="AE251" s="81">
        <v>0</v>
      </c>
      <c r="AF251" s="81">
        <v>0.77984439941517647</v>
      </c>
      <c r="AG251" s="81">
        <v>0.61054719565638171</v>
      </c>
      <c r="AH251" s="81">
        <v>3.139065338839309</v>
      </c>
      <c r="AI251" s="81">
        <v>0.17542831798783809</v>
      </c>
      <c r="AJ251" s="81">
        <v>2.6256927408336046</v>
      </c>
      <c r="AK251" s="81">
        <v>21.712849994133656</v>
      </c>
      <c r="AL251" s="81">
        <v>5.6942359117608792</v>
      </c>
      <c r="AM251" s="81">
        <v>0</v>
      </c>
      <c r="AN251" s="81">
        <v>0</v>
      </c>
      <c r="AO251" s="81">
        <v>0</v>
      </c>
      <c r="AP251" s="81">
        <v>0.31403580595238872</v>
      </c>
      <c r="AQ251" s="81">
        <v>0</v>
      </c>
      <c r="AR251" s="81">
        <v>0</v>
      </c>
      <c r="AS251" s="81">
        <v>0</v>
      </c>
      <c r="AT251" s="81">
        <v>0</v>
      </c>
      <c r="AU251" s="81">
        <v>0</v>
      </c>
      <c r="AV251" s="81">
        <v>1.1505734520975448</v>
      </c>
      <c r="AW251" s="81">
        <v>8.8391686285656135E-2</v>
      </c>
      <c r="AX251" s="81">
        <v>3.1386906879708426E-3</v>
      </c>
      <c r="AY251" s="81">
        <v>0</v>
      </c>
      <c r="AZ251" s="81">
        <v>0</v>
      </c>
      <c r="BA251" s="81">
        <v>0</v>
      </c>
      <c r="BB251" s="81">
        <v>1.9010211800182874E-2</v>
      </c>
      <c r="BC251" s="81">
        <v>31.684412612445161</v>
      </c>
      <c r="BD251" s="81">
        <v>0.1344125410012442</v>
      </c>
      <c r="BE251" s="81">
        <v>1.4430660549458598</v>
      </c>
      <c r="BF251" s="128">
        <v>0</v>
      </c>
    </row>
    <row r="252" spans="1:58">
      <c r="A252" s="167" t="s">
        <v>389</v>
      </c>
      <c r="B252" s="129">
        <v>239.52095808383234</v>
      </c>
      <c r="C252" s="130">
        <v>1115.0927931178944</v>
      </c>
      <c r="D252" s="130">
        <v>3261.1932388434216</v>
      </c>
      <c r="E252" s="130">
        <v>589.6796637008207</v>
      </c>
      <c r="F252" s="130">
        <v>109.80568679318925</v>
      </c>
      <c r="G252" s="130">
        <v>1342.303445117092</v>
      </c>
      <c r="H252" s="130">
        <v>0</v>
      </c>
      <c r="I252" s="130">
        <v>0</v>
      </c>
      <c r="J252" s="130">
        <v>812.9654059891177</v>
      </c>
      <c r="K252" s="130">
        <v>2335.574102705189</v>
      </c>
      <c r="L252" s="130">
        <v>400.7610988826313</v>
      </c>
      <c r="M252" s="130">
        <v>222.03708194804963</v>
      </c>
      <c r="N252" s="130">
        <v>48170.013836851977</v>
      </c>
      <c r="O252" s="130">
        <v>10332.237655380459</v>
      </c>
      <c r="P252" s="130">
        <v>479.89312507126027</v>
      </c>
      <c r="Q252" s="130">
        <v>0</v>
      </c>
      <c r="R252" s="130">
        <v>20619.578435991305</v>
      </c>
      <c r="S252" s="130">
        <v>682.72252855263457</v>
      </c>
      <c r="T252" s="130">
        <v>506.43681361801737</v>
      </c>
      <c r="U252" s="130">
        <v>10848.381396021989</v>
      </c>
      <c r="V252" s="130">
        <v>0</v>
      </c>
      <c r="W252" s="130">
        <v>1138.2126428834176</v>
      </c>
      <c r="X252" s="130">
        <v>1258.5238319792061</v>
      </c>
      <c r="Y252" s="130">
        <v>0</v>
      </c>
      <c r="Z252" s="130">
        <v>0</v>
      </c>
      <c r="AA252" s="130">
        <v>384.37966258057412</v>
      </c>
      <c r="AB252" s="130">
        <v>2201.7797281277894</v>
      </c>
      <c r="AC252" s="130">
        <v>1258.5238319792061</v>
      </c>
      <c r="AD252" s="130">
        <v>76.929226399368545</v>
      </c>
      <c r="AE252" s="130">
        <v>0</v>
      </c>
      <c r="AF252" s="130">
        <v>20619.578435991305</v>
      </c>
      <c r="AG252" s="130">
        <v>45.717439099026407</v>
      </c>
      <c r="AH252" s="130">
        <v>1873.3385781032198</v>
      </c>
      <c r="AI252" s="130">
        <v>1461.7310107766091</v>
      </c>
      <c r="AJ252" s="130">
        <v>1017.4850981422488</v>
      </c>
      <c r="AK252" s="130">
        <v>920.12122810164783</v>
      </c>
      <c r="AL252" s="130">
        <v>11054.216273906073</v>
      </c>
      <c r="AM252" s="130">
        <v>0</v>
      </c>
      <c r="AN252" s="130">
        <v>0</v>
      </c>
      <c r="AO252" s="130">
        <v>0</v>
      </c>
      <c r="AP252" s="130">
        <v>399.99718446406837</v>
      </c>
      <c r="AQ252" s="130">
        <v>0</v>
      </c>
      <c r="AR252" s="130">
        <v>0</v>
      </c>
      <c r="AS252" s="130">
        <v>0</v>
      </c>
      <c r="AT252" s="130">
        <v>0</v>
      </c>
      <c r="AU252" s="130">
        <v>0</v>
      </c>
      <c r="AV252" s="130">
        <v>1433.3087022580162</v>
      </c>
      <c r="AW252" s="130">
        <v>26.479698046179806</v>
      </c>
      <c r="AX252" s="130">
        <v>27.327640855144569</v>
      </c>
      <c r="AY252" s="130">
        <v>0</v>
      </c>
      <c r="AZ252" s="130">
        <v>0</v>
      </c>
      <c r="BA252" s="130">
        <v>0</v>
      </c>
      <c r="BB252" s="130">
        <v>3.6149361508756392</v>
      </c>
      <c r="BC252" s="130">
        <v>2335.574102705189</v>
      </c>
      <c r="BD252" s="130">
        <v>54.662930639798596</v>
      </c>
      <c r="BE252" s="130">
        <v>1684.4577038183006</v>
      </c>
      <c r="BF252" s="131">
        <v>0</v>
      </c>
    </row>
    <row r="253" spans="1:58">
      <c r="A253" s="252" t="s">
        <v>390</v>
      </c>
      <c r="B253" s="86"/>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128"/>
    </row>
    <row r="254" spans="1:58">
      <c r="A254" s="170" t="s">
        <v>372</v>
      </c>
      <c r="B254" s="82">
        <v>0</v>
      </c>
      <c r="C254" s="81">
        <v>90.380342386214622</v>
      </c>
      <c r="D254" s="81">
        <v>265.58007742826874</v>
      </c>
      <c r="E254" s="81">
        <v>170.70240511383832</v>
      </c>
      <c r="F254" s="81">
        <v>2234.7674475942158</v>
      </c>
      <c r="G254" s="81">
        <v>279.17550282412031</v>
      </c>
      <c r="H254" s="81">
        <v>0</v>
      </c>
      <c r="I254" s="81">
        <v>0</v>
      </c>
      <c r="J254" s="81">
        <v>489.36108194977629</v>
      </c>
      <c r="K254" s="81">
        <v>1117.9300770506961</v>
      </c>
      <c r="L254" s="81">
        <v>2990.1083072192032</v>
      </c>
      <c r="M254" s="81">
        <v>18.951601926991803</v>
      </c>
      <c r="N254" s="81">
        <v>831.27251480318853</v>
      </c>
      <c r="O254" s="81">
        <v>881.89077852167122</v>
      </c>
      <c r="P254" s="81">
        <v>183.2408586397965</v>
      </c>
      <c r="Q254" s="81">
        <v>0</v>
      </c>
      <c r="R254" s="81">
        <v>594.8717283150371</v>
      </c>
      <c r="S254" s="81">
        <v>84.172313895913106</v>
      </c>
      <c r="T254" s="81">
        <v>56.266593176347598</v>
      </c>
      <c r="U254" s="81">
        <v>356.94992422654531</v>
      </c>
      <c r="V254" s="81">
        <v>0</v>
      </c>
      <c r="W254" s="81">
        <v>226.70959348014372</v>
      </c>
      <c r="X254" s="81">
        <v>29.743586415751857</v>
      </c>
      <c r="Y254" s="81">
        <v>0</v>
      </c>
      <c r="Z254" s="81">
        <v>0</v>
      </c>
      <c r="AA254" s="81">
        <v>53.927572557965817</v>
      </c>
      <c r="AB254" s="81">
        <v>807.15382476019033</v>
      </c>
      <c r="AC254" s="81">
        <v>29.743586415751857</v>
      </c>
      <c r="AD254" s="81">
        <v>16.740515302242002</v>
      </c>
      <c r="AE254" s="81">
        <v>0</v>
      </c>
      <c r="AF254" s="81">
        <v>594.8717283150371</v>
      </c>
      <c r="AG254" s="81">
        <v>8.1806825250451887</v>
      </c>
      <c r="AH254" s="81">
        <v>237.53724911627106</v>
      </c>
      <c r="AI254" s="81">
        <v>82.487333367068388</v>
      </c>
      <c r="AJ254" s="81">
        <v>500.41728255217004</v>
      </c>
      <c r="AK254" s="81">
        <v>1078.5598687254869</v>
      </c>
      <c r="AL254" s="81">
        <v>428.08669843697942</v>
      </c>
      <c r="AM254" s="81">
        <v>0</v>
      </c>
      <c r="AN254" s="81">
        <v>0</v>
      </c>
      <c r="AO254" s="81">
        <v>0</v>
      </c>
      <c r="AP254" s="81">
        <v>4608.9233121404177</v>
      </c>
      <c r="AQ254" s="81">
        <v>0</v>
      </c>
      <c r="AR254" s="81">
        <v>0</v>
      </c>
      <c r="AS254" s="81">
        <v>0</v>
      </c>
      <c r="AT254" s="81">
        <v>0</v>
      </c>
      <c r="AU254" s="81">
        <v>0</v>
      </c>
      <c r="AV254" s="81">
        <v>189.32811195758109</v>
      </c>
      <c r="AW254" s="81">
        <v>2.9863922393198372</v>
      </c>
      <c r="AX254" s="81">
        <v>2.3325048525528373</v>
      </c>
      <c r="AY254" s="81">
        <v>0</v>
      </c>
      <c r="AZ254" s="81">
        <v>0</v>
      </c>
      <c r="BA254" s="81">
        <v>0</v>
      </c>
      <c r="BB254" s="81">
        <v>0.199595532061177</v>
      </c>
      <c r="BC254" s="81">
        <v>1117.9300770506961</v>
      </c>
      <c r="BD254" s="81">
        <v>50.361833045339829</v>
      </c>
      <c r="BE254" s="81">
        <v>178.35328310748508</v>
      </c>
      <c r="BF254" s="128">
        <v>0</v>
      </c>
    </row>
    <row r="255" spans="1:58">
      <c r="A255" s="170" t="s">
        <v>373</v>
      </c>
      <c r="B255" s="82">
        <v>0</v>
      </c>
      <c r="C255" s="81">
        <v>424.37408787285023</v>
      </c>
      <c r="D255" s="81">
        <v>1135.6864667760155</v>
      </c>
      <c r="E255" s="81">
        <v>297.49978946936869</v>
      </c>
      <c r="F255" s="81">
        <v>583.51275568605399</v>
      </c>
      <c r="G255" s="81">
        <v>7821.0192668171176</v>
      </c>
      <c r="H255" s="81">
        <v>0</v>
      </c>
      <c r="I255" s="81">
        <v>0</v>
      </c>
      <c r="J255" s="81">
        <v>475.22476441244214</v>
      </c>
      <c r="K255" s="81">
        <v>36820.970002819442</v>
      </c>
      <c r="L255" s="81">
        <v>21201.227513855818</v>
      </c>
      <c r="M255" s="81">
        <v>67.405366028250725</v>
      </c>
      <c r="N255" s="81">
        <v>2947.2131808539079</v>
      </c>
      <c r="O255" s="81">
        <v>3136.6303994877044</v>
      </c>
      <c r="P255" s="81">
        <v>440.85807691632175</v>
      </c>
      <c r="Q255" s="81">
        <v>0</v>
      </c>
      <c r="R255" s="81">
        <v>395.55871058176382</v>
      </c>
      <c r="S255" s="81">
        <v>253.95971801774658</v>
      </c>
      <c r="T255" s="81">
        <v>192.29393713338095</v>
      </c>
      <c r="U255" s="81">
        <v>1377.9388397462303</v>
      </c>
      <c r="V255" s="81">
        <v>0</v>
      </c>
      <c r="W255" s="81">
        <v>933.62929164939555</v>
      </c>
      <c r="X255" s="81">
        <v>19.777935529088193</v>
      </c>
      <c r="Y255" s="81">
        <v>0</v>
      </c>
      <c r="Z255" s="81">
        <v>0</v>
      </c>
      <c r="AA255" s="81">
        <v>157.23046437557434</v>
      </c>
      <c r="AB255" s="81">
        <v>1526.4971721751717</v>
      </c>
      <c r="AC255" s="81">
        <v>19.777935529088193</v>
      </c>
      <c r="AD255" s="81">
        <v>38.455234534918795</v>
      </c>
      <c r="AE255" s="81">
        <v>0</v>
      </c>
      <c r="AF255" s="81">
        <v>395.55871058176382</v>
      </c>
      <c r="AG255" s="81">
        <v>53.007772479564963</v>
      </c>
      <c r="AH255" s="81">
        <v>786.35022654544309</v>
      </c>
      <c r="AI255" s="81">
        <v>340.7461725660707</v>
      </c>
      <c r="AJ255" s="81">
        <v>1020.5415946680611</v>
      </c>
      <c r="AK255" s="81">
        <v>3967.9895299381842</v>
      </c>
      <c r="AL255" s="81">
        <v>1301.9854697423746</v>
      </c>
      <c r="AM255" s="81">
        <v>0</v>
      </c>
      <c r="AN255" s="81">
        <v>0</v>
      </c>
      <c r="AO255" s="81">
        <v>0</v>
      </c>
      <c r="AP255" s="81">
        <v>4711.7461761680124</v>
      </c>
      <c r="AQ255" s="81">
        <v>0</v>
      </c>
      <c r="AR255" s="81">
        <v>0</v>
      </c>
      <c r="AS255" s="81">
        <v>0</v>
      </c>
      <c r="AT255" s="81">
        <v>0</v>
      </c>
      <c r="AU255" s="81">
        <v>0</v>
      </c>
      <c r="AV255" s="81">
        <v>582.72587484306416</v>
      </c>
      <c r="AW255" s="81">
        <v>18.088491093172966</v>
      </c>
      <c r="AX255" s="81">
        <v>8.2960450496308589</v>
      </c>
      <c r="AY255" s="81">
        <v>0</v>
      </c>
      <c r="AZ255" s="81">
        <v>0</v>
      </c>
      <c r="BA255" s="81">
        <v>0</v>
      </c>
      <c r="BB255" s="81">
        <v>27.640225203450697</v>
      </c>
      <c r="BC255" s="81">
        <v>36820.970002819442</v>
      </c>
      <c r="BD255" s="81">
        <v>220.23793783172587</v>
      </c>
      <c r="BE255" s="81">
        <v>1963.2450132895412</v>
      </c>
      <c r="BF255" s="128">
        <v>0</v>
      </c>
    </row>
    <row r="256" spans="1:58">
      <c r="A256" s="170" t="s">
        <v>391</v>
      </c>
      <c r="B256" s="82">
        <v>0</v>
      </c>
      <c r="C256" s="81">
        <v>239.98610642821922</v>
      </c>
      <c r="D256" s="81">
        <v>1748.2897089608816</v>
      </c>
      <c r="E256" s="81">
        <v>435.6080463824598</v>
      </c>
      <c r="F256" s="81">
        <v>916.83735332926278</v>
      </c>
      <c r="G256" s="81">
        <v>1741.6948725798172</v>
      </c>
      <c r="H256" s="81">
        <v>0</v>
      </c>
      <c r="I256" s="81">
        <v>0</v>
      </c>
      <c r="J256" s="81">
        <v>1023.5858057901448</v>
      </c>
      <c r="K256" s="81">
        <v>3773.8676378796122</v>
      </c>
      <c r="L256" s="81">
        <v>2325.3279836012516</v>
      </c>
      <c r="M256" s="81">
        <v>119.38969794800674</v>
      </c>
      <c r="N256" s="81">
        <v>6787.8023537433</v>
      </c>
      <c r="O256" s="81">
        <v>5555.6608922266105</v>
      </c>
      <c r="P256" s="81">
        <v>796.57802446616108</v>
      </c>
      <c r="Q256" s="81">
        <v>0</v>
      </c>
      <c r="R256" s="81">
        <v>447.79684011586619</v>
      </c>
      <c r="S256" s="81">
        <v>1138.9812024038843</v>
      </c>
      <c r="T256" s="81">
        <v>922.88277532509767</v>
      </c>
      <c r="U256" s="81">
        <v>3048.7662181358955</v>
      </c>
      <c r="V256" s="81">
        <v>0</v>
      </c>
      <c r="W256" s="81">
        <v>1470.9913071840222</v>
      </c>
      <c r="X256" s="81">
        <v>22.389842005793312</v>
      </c>
      <c r="Y256" s="81">
        <v>0</v>
      </c>
      <c r="Z256" s="81">
        <v>0</v>
      </c>
      <c r="AA256" s="81">
        <v>253.47656060899078</v>
      </c>
      <c r="AB256" s="81">
        <v>2159.3603515099021</v>
      </c>
      <c r="AC256" s="81">
        <v>22.389842005793312</v>
      </c>
      <c r="AD256" s="81">
        <v>291.80005384056597</v>
      </c>
      <c r="AE256" s="81">
        <v>0</v>
      </c>
      <c r="AF256" s="81">
        <v>447.79684011586619</v>
      </c>
      <c r="AG256" s="81">
        <v>111.30693784103381</v>
      </c>
      <c r="AH256" s="81">
        <v>2635.8943997940746</v>
      </c>
      <c r="AI256" s="81">
        <v>841.39391409468737</v>
      </c>
      <c r="AJ256" s="81">
        <v>1379.3951879239155</v>
      </c>
      <c r="AK256" s="81">
        <v>5406.4393328535543</v>
      </c>
      <c r="AL256" s="81">
        <v>5788.7628643734661</v>
      </c>
      <c r="AM256" s="81">
        <v>0</v>
      </c>
      <c r="AN256" s="81">
        <v>0</v>
      </c>
      <c r="AO256" s="81">
        <v>0</v>
      </c>
      <c r="AP256" s="81">
        <v>1464.6537740258111</v>
      </c>
      <c r="AQ256" s="81">
        <v>0</v>
      </c>
      <c r="AR256" s="81">
        <v>0</v>
      </c>
      <c r="AS256" s="81">
        <v>0</v>
      </c>
      <c r="AT256" s="81">
        <v>0</v>
      </c>
      <c r="AU256" s="81">
        <v>0</v>
      </c>
      <c r="AV256" s="81">
        <v>1021.7588199946455</v>
      </c>
      <c r="AW256" s="81">
        <v>14.977018820812448</v>
      </c>
      <c r="AX256" s="81">
        <v>14.694116670523906</v>
      </c>
      <c r="AY256" s="81">
        <v>0</v>
      </c>
      <c r="AZ256" s="81">
        <v>0</v>
      </c>
      <c r="BA256" s="81">
        <v>0</v>
      </c>
      <c r="BB256" s="81">
        <v>14.857152033415076</v>
      </c>
      <c r="BC256" s="81">
        <v>3773.8676378796122</v>
      </c>
      <c r="BD256" s="81">
        <v>2407.0092646789467</v>
      </c>
      <c r="BE256" s="81">
        <v>1040.1607911344659</v>
      </c>
      <c r="BF256" s="128">
        <v>0</v>
      </c>
    </row>
    <row r="257" spans="1:58">
      <c r="A257" s="170" t="s">
        <v>375</v>
      </c>
      <c r="B257" s="82">
        <v>0</v>
      </c>
      <c r="C257" s="81">
        <v>125.61819087525424</v>
      </c>
      <c r="D257" s="81">
        <v>165.70941830707761</v>
      </c>
      <c r="E257" s="81">
        <v>33.585270962430805</v>
      </c>
      <c r="F257" s="81">
        <v>1122.7565157936115</v>
      </c>
      <c r="G257" s="81">
        <v>169.2398243515554</v>
      </c>
      <c r="H257" s="81">
        <v>0</v>
      </c>
      <c r="I257" s="81">
        <v>0</v>
      </c>
      <c r="J257" s="81">
        <v>413.79082701511072</v>
      </c>
      <c r="K257" s="81">
        <v>486.25404232227203</v>
      </c>
      <c r="L257" s="81">
        <v>1446.2435261325077</v>
      </c>
      <c r="M257" s="81">
        <v>17.2760320816048</v>
      </c>
      <c r="N257" s="81">
        <v>1583.1406650438012</v>
      </c>
      <c r="O257" s="81">
        <v>803.92008237111452</v>
      </c>
      <c r="P257" s="81">
        <v>283.17831882765284</v>
      </c>
      <c r="Q257" s="81">
        <v>0</v>
      </c>
      <c r="R257" s="81">
        <v>39.743946791833771</v>
      </c>
      <c r="S257" s="81">
        <v>111.16060366269213</v>
      </c>
      <c r="T257" s="81">
        <v>74.273419696760499</v>
      </c>
      <c r="U257" s="81">
        <v>272.30287383590411</v>
      </c>
      <c r="V257" s="81">
        <v>0</v>
      </c>
      <c r="W257" s="81">
        <v>139.35135187567695</v>
      </c>
      <c r="X257" s="81">
        <v>1.9871973395916886</v>
      </c>
      <c r="Y257" s="81">
        <v>0</v>
      </c>
      <c r="Z257" s="81">
        <v>0</v>
      </c>
      <c r="AA257" s="81">
        <v>32.416039078833663</v>
      </c>
      <c r="AB257" s="81">
        <v>158.97852004261983</v>
      </c>
      <c r="AC257" s="81">
        <v>1.9871973395916886</v>
      </c>
      <c r="AD257" s="81">
        <v>19.478224088301438</v>
      </c>
      <c r="AE257" s="81">
        <v>0</v>
      </c>
      <c r="AF257" s="81">
        <v>39.743946791833771</v>
      </c>
      <c r="AG257" s="81">
        <v>18.731595825291596</v>
      </c>
      <c r="AH257" s="81">
        <v>254.64151981461151</v>
      </c>
      <c r="AI257" s="81">
        <v>30.743581548697428</v>
      </c>
      <c r="AJ257" s="81">
        <v>80.301590171362335</v>
      </c>
      <c r="AK257" s="81">
        <v>284.14714566121904</v>
      </c>
      <c r="AL257" s="81">
        <v>1143.6731129892423</v>
      </c>
      <c r="AM257" s="81">
        <v>0</v>
      </c>
      <c r="AN257" s="81">
        <v>0</v>
      </c>
      <c r="AO257" s="81">
        <v>0</v>
      </c>
      <c r="AP257" s="81">
        <v>48.031463938629358</v>
      </c>
      <c r="AQ257" s="81">
        <v>0</v>
      </c>
      <c r="AR257" s="81">
        <v>0</v>
      </c>
      <c r="AS257" s="81">
        <v>0</v>
      </c>
      <c r="AT257" s="81">
        <v>0</v>
      </c>
      <c r="AU257" s="81">
        <v>0</v>
      </c>
      <c r="AV257" s="81">
        <v>160.68180390396185</v>
      </c>
      <c r="AW257" s="81">
        <v>3.0790374136251142</v>
      </c>
      <c r="AX257" s="81">
        <v>2.1262808715821291</v>
      </c>
      <c r="AY257" s="81">
        <v>0</v>
      </c>
      <c r="AZ257" s="81">
        <v>0</v>
      </c>
      <c r="BA257" s="81">
        <v>0</v>
      </c>
      <c r="BB257" s="81">
        <v>0.45716333713209828</v>
      </c>
      <c r="BC257" s="81">
        <v>486.25404232227203</v>
      </c>
      <c r="BD257" s="81">
        <v>71.113551246264308</v>
      </c>
      <c r="BE257" s="81">
        <v>143.16237856881042</v>
      </c>
      <c r="BF257" s="128">
        <v>0</v>
      </c>
    </row>
    <row r="258" spans="1:58">
      <c r="A258" s="170" t="s">
        <v>376</v>
      </c>
      <c r="B258" s="82">
        <v>0</v>
      </c>
      <c r="C258" s="81">
        <v>95.199352402205861</v>
      </c>
      <c r="D258" s="81">
        <v>108.55735330826852</v>
      </c>
      <c r="E258" s="81">
        <v>27.749355233952773</v>
      </c>
      <c r="F258" s="81">
        <v>499.50635120084331</v>
      </c>
      <c r="G258" s="81">
        <v>98.637501697788721</v>
      </c>
      <c r="H258" s="81">
        <v>0</v>
      </c>
      <c r="I258" s="81">
        <v>0</v>
      </c>
      <c r="J258" s="81">
        <v>209.60777780853135</v>
      </c>
      <c r="K258" s="81">
        <v>298.22841660414775</v>
      </c>
      <c r="L258" s="81">
        <v>687.62801577662083</v>
      </c>
      <c r="M258" s="81">
        <v>9.758336855803849</v>
      </c>
      <c r="N258" s="81">
        <v>1714.5090203681757</v>
      </c>
      <c r="O258" s="81">
        <v>454.09286877141437</v>
      </c>
      <c r="P258" s="81">
        <v>180.51145961056224</v>
      </c>
      <c r="Q258" s="81">
        <v>0</v>
      </c>
      <c r="R258" s="81">
        <v>31.326947275959423</v>
      </c>
      <c r="S258" s="81">
        <v>84.976022006354412</v>
      </c>
      <c r="T258" s="81">
        <v>65.131914964278735</v>
      </c>
      <c r="U258" s="81">
        <v>189.79552838059243</v>
      </c>
      <c r="V258" s="81">
        <v>0</v>
      </c>
      <c r="W258" s="81">
        <v>91.541268120972006</v>
      </c>
      <c r="X258" s="81">
        <v>1.5663473637979712</v>
      </c>
      <c r="Y258" s="81">
        <v>0</v>
      </c>
      <c r="Z258" s="81">
        <v>0</v>
      </c>
      <c r="AA258" s="81">
        <v>20.293662881895262</v>
      </c>
      <c r="AB258" s="81">
        <v>120.28006394715311</v>
      </c>
      <c r="AC258" s="81">
        <v>1.5663473637979712</v>
      </c>
      <c r="AD258" s="81">
        <v>17.661712827178473</v>
      </c>
      <c r="AE258" s="81">
        <v>0</v>
      </c>
      <c r="AF258" s="81">
        <v>31.326947275959423</v>
      </c>
      <c r="AG258" s="81">
        <v>9.8823505003000314</v>
      </c>
      <c r="AH258" s="81">
        <v>180.65111537249172</v>
      </c>
      <c r="AI258" s="81">
        <v>26.728709867637811</v>
      </c>
      <c r="AJ258" s="81">
        <v>69.518655309708976</v>
      </c>
      <c r="AK258" s="81">
        <v>276.69627583456338</v>
      </c>
      <c r="AL258" s="81">
        <v>899.80758173513937</v>
      </c>
      <c r="AM258" s="81">
        <v>0</v>
      </c>
      <c r="AN258" s="81">
        <v>0</v>
      </c>
      <c r="AO258" s="81">
        <v>0</v>
      </c>
      <c r="AP258" s="81">
        <v>44.372824733022291</v>
      </c>
      <c r="AQ258" s="81">
        <v>0</v>
      </c>
      <c r="AR258" s="81">
        <v>0</v>
      </c>
      <c r="AS258" s="81">
        <v>0</v>
      </c>
      <c r="AT258" s="81">
        <v>0</v>
      </c>
      <c r="AU258" s="81">
        <v>0</v>
      </c>
      <c r="AV258" s="81">
        <v>115.4138766803041</v>
      </c>
      <c r="AW258" s="81">
        <v>0.53696271424692688</v>
      </c>
      <c r="AX258" s="81">
        <v>1.2010260745604737</v>
      </c>
      <c r="AY258" s="81">
        <v>0</v>
      </c>
      <c r="AZ258" s="81">
        <v>0</v>
      </c>
      <c r="BA258" s="81">
        <v>0</v>
      </c>
      <c r="BB258" s="81">
        <v>0.4384359045411611</v>
      </c>
      <c r="BC258" s="81">
        <v>298.22841660414775</v>
      </c>
      <c r="BD258" s="81">
        <v>24.639795157947056</v>
      </c>
      <c r="BE258" s="81">
        <v>82.301255131074484</v>
      </c>
      <c r="BF258" s="128">
        <v>0</v>
      </c>
    </row>
    <row r="259" spans="1:58">
      <c r="A259" s="170" t="s">
        <v>377</v>
      </c>
      <c r="B259" s="82">
        <v>0</v>
      </c>
      <c r="C259" s="81">
        <v>125.33288224144533</v>
      </c>
      <c r="D259" s="81">
        <v>873.78360771599569</v>
      </c>
      <c r="E259" s="81">
        <v>115.16649170375183</v>
      </c>
      <c r="F259" s="81">
        <v>3904.5519149600764</v>
      </c>
      <c r="G259" s="81">
        <v>1382.6348412728412</v>
      </c>
      <c r="H259" s="81">
        <v>0</v>
      </c>
      <c r="I259" s="81">
        <v>0</v>
      </c>
      <c r="J259" s="81">
        <v>3692.4900211551458</v>
      </c>
      <c r="K259" s="81">
        <v>1919.2899979317453</v>
      </c>
      <c r="L259" s="81">
        <v>9797.04594131046</v>
      </c>
      <c r="M259" s="81">
        <v>99.928701995435091</v>
      </c>
      <c r="N259" s="81">
        <v>22983.004616646718</v>
      </c>
      <c r="O259" s="81">
        <v>4650.0660545165138</v>
      </c>
      <c r="P259" s="81">
        <v>350.13810183971799</v>
      </c>
      <c r="Q259" s="81">
        <v>0</v>
      </c>
      <c r="R259" s="81">
        <v>232.05200104112546</v>
      </c>
      <c r="S259" s="81">
        <v>910.02062564863968</v>
      </c>
      <c r="T259" s="81">
        <v>548.31537129491915</v>
      </c>
      <c r="U259" s="81">
        <v>7236.9507901262696</v>
      </c>
      <c r="V259" s="81">
        <v>0</v>
      </c>
      <c r="W259" s="81">
        <v>771.42334982567058</v>
      </c>
      <c r="X259" s="81">
        <v>11.602600052056275</v>
      </c>
      <c r="Y259" s="81">
        <v>0</v>
      </c>
      <c r="Z259" s="81">
        <v>0</v>
      </c>
      <c r="AA259" s="81">
        <v>196.58710246530137</v>
      </c>
      <c r="AB259" s="81">
        <v>1008.8337766962412</v>
      </c>
      <c r="AC259" s="81">
        <v>11.602600052056275</v>
      </c>
      <c r="AD259" s="81">
        <v>1951.9584756474931</v>
      </c>
      <c r="AE259" s="81">
        <v>0</v>
      </c>
      <c r="AF259" s="81">
        <v>232.05200104112546</v>
      </c>
      <c r="AG259" s="81">
        <v>76.746919049116542</v>
      </c>
      <c r="AH259" s="81">
        <v>11513.35929154051</v>
      </c>
      <c r="AI259" s="81">
        <v>141.20084279041819</v>
      </c>
      <c r="AJ259" s="81">
        <v>473.48954103153091</v>
      </c>
      <c r="AK259" s="81">
        <v>910.94494541715903</v>
      </c>
      <c r="AL259" s="81">
        <v>11393.557221331293</v>
      </c>
      <c r="AM259" s="81">
        <v>0</v>
      </c>
      <c r="AN259" s="81">
        <v>0</v>
      </c>
      <c r="AO259" s="81">
        <v>0</v>
      </c>
      <c r="AP259" s="81">
        <v>415.83542488048738</v>
      </c>
      <c r="AQ259" s="81">
        <v>0</v>
      </c>
      <c r="AR259" s="81">
        <v>0</v>
      </c>
      <c r="AS259" s="81">
        <v>0</v>
      </c>
      <c r="AT259" s="81">
        <v>0</v>
      </c>
      <c r="AU259" s="81">
        <v>0</v>
      </c>
      <c r="AV259" s="81">
        <v>969.84624432984447</v>
      </c>
      <c r="AW259" s="81">
        <v>1.6478395530232821</v>
      </c>
      <c r="AX259" s="81">
        <v>12.298917168668934</v>
      </c>
      <c r="AY259" s="81">
        <v>0</v>
      </c>
      <c r="AZ259" s="81">
        <v>0</v>
      </c>
      <c r="BA259" s="81">
        <v>0</v>
      </c>
      <c r="BB259" s="81">
        <v>0.23925377644050166</v>
      </c>
      <c r="BC259" s="81">
        <v>1919.2899979317453</v>
      </c>
      <c r="BD259" s="81">
        <v>2998.10435771117</v>
      </c>
      <c r="BE259" s="81">
        <v>786.9240287836069</v>
      </c>
      <c r="BF259" s="128">
        <v>0</v>
      </c>
    </row>
    <row r="260" spans="1:58">
      <c r="A260" s="170" t="s">
        <v>378</v>
      </c>
      <c r="B260" s="82">
        <v>0</v>
      </c>
      <c r="C260" s="81">
        <v>7.7911652028071732</v>
      </c>
      <c r="D260" s="81">
        <v>10.83603868959937</v>
      </c>
      <c r="E260" s="81">
        <v>4.2532520214263583</v>
      </c>
      <c r="F260" s="81">
        <v>2.4820924045097006</v>
      </c>
      <c r="G260" s="81">
        <v>7.9282525472817014</v>
      </c>
      <c r="H260" s="81">
        <v>0</v>
      </c>
      <c r="I260" s="81">
        <v>0</v>
      </c>
      <c r="J260" s="81">
        <v>5.4318274472689785</v>
      </c>
      <c r="K260" s="81">
        <v>25.079905420359896</v>
      </c>
      <c r="L260" s="81">
        <v>7.2223731680576222</v>
      </c>
      <c r="M260" s="81">
        <v>0.5201209089610328</v>
      </c>
      <c r="N260" s="81">
        <v>29.28478514968322</v>
      </c>
      <c r="O260" s="81">
        <v>24.203222244540491</v>
      </c>
      <c r="P260" s="81">
        <v>6.3780595225611991</v>
      </c>
      <c r="Q260" s="81">
        <v>0</v>
      </c>
      <c r="R260" s="81">
        <v>9.8189626905501513</v>
      </c>
      <c r="S260" s="81">
        <v>10.43175161538843</v>
      </c>
      <c r="T260" s="81">
        <v>10.138704106247346</v>
      </c>
      <c r="U260" s="81">
        <v>20.275671167713401</v>
      </c>
      <c r="V260" s="81">
        <v>0</v>
      </c>
      <c r="W260" s="81">
        <v>9.0084964765905795</v>
      </c>
      <c r="X260" s="81">
        <v>0.49094813452750757</v>
      </c>
      <c r="Y260" s="81">
        <v>0</v>
      </c>
      <c r="Z260" s="81">
        <v>0</v>
      </c>
      <c r="AA260" s="81">
        <v>1.4673069948595954</v>
      </c>
      <c r="AB260" s="81">
        <v>10.79970416025604</v>
      </c>
      <c r="AC260" s="81">
        <v>0.49094813452750757</v>
      </c>
      <c r="AD260" s="81">
        <v>2.5161608732301293</v>
      </c>
      <c r="AE260" s="81">
        <v>0</v>
      </c>
      <c r="AF260" s="81">
        <v>9.8189626905501513</v>
      </c>
      <c r="AG260" s="81">
        <v>0.69022374337232772</v>
      </c>
      <c r="AH260" s="81">
        <v>19.058934397063485</v>
      </c>
      <c r="AI260" s="81">
        <v>4.3986360110970457</v>
      </c>
      <c r="AJ260" s="81">
        <v>7.980285888034425</v>
      </c>
      <c r="AK260" s="81">
        <v>43.88627456744689</v>
      </c>
      <c r="AL260" s="81">
        <v>59.118642093254216</v>
      </c>
      <c r="AM260" s="81">
        <v>0</v>
      </c>
      <c r="AN260" s="81">
        <v>0</v>
      </c>
      <c r="AO260" s="81">
        <v>0</v>
      </c>
      <c r="AP260" s="81">
        <v>7.3756726489125972</v>
      </c>
      <c r="AQ260" s="81">
        <v>0</v>
      </c>
      <c r="AR260" s="81">
        <v>0</v>
      </c>
      <c r="AS260" s="81">
        <v>0</v>
      </c>
      <c r="AT260" s="81">
        <v>0</v>
      </c>
      <c r="AU260" s="81">
        <v>0</v>
      </c>
      <c r="AV260" s="81">
        <v>10.809781611334166</v>
      </c>
      <c r="AW260" s="81">
        <v>0.10855087119837439</v>
      </c>
      <c r="AX260" s="81">
        <v>6.401488110289634E-2</v>
      </c>
      <c r="AY260" s="81">
        <v>0</v>
      </c>
      <c r="AZ260" s="81">
        <v>0</v>
      </c>
      <c r="BA260" s="81">
        <v>0</v>
      </c>
      <c r="BB260" s="81">
        <v>0.33271872165922006</v>
      </c>
      <c r="BC260" s="81">
        <v>25.079905420359896</v>
      </c>
      <c r="BD260" s="81">
        <v>1.6029524857274455</v>
      </c>
      <c r="BE260" s="81">
        <v>5.6637228293883579</v>
      </c>
      <c r="BF260" s="128">
        <v>0</v>
      </c>
    </row>
    <row r="261" spans="1:58">
      <c r="A261" s="170" t="s">
        <v>379</v>
      </c>
      <c r="B261" s="82">
        <v>0</v>
      </c>
      <c r="C261" s="81">
        <v>14.882046440174404</v>
      </c>
      <c r="D261" s="81">
        <v>33.6792690791046</v>
      </c>
      <c r="E261" s="81">
        <v>7.2315462857963944</v>
      </c>
      <c r="F261" s="81">
        <v>6.2696402840498848</v>
      </c>
      <c r="G261" s="81">
        <v>25.331465500499018</v>
      </c>
      <c r="H261" s="81">
        <v>0</v>
      </c>
      <c r="I261" s="81">
        <v>0</v>
      </c>
      <c r="J261" s="81">
        <v>10.416848451371237</v>
      </c>
      <c r="K261" s="81">
        <v>69.594042886456862</v>
      </c>
      <c r="L261" s="81">
        <v>18.887704722957359</v>
      </c>
      <c r="M261" s="81">
        <v>2.7206939969333401</v>
      </c>
      <c r="N261" s="81">
        <v>72.843463358802182</v>
      </c>
      <c r="O261" s="81">
        <v>126.60433436275915</v>
      </c>
      <c r="P261" s="81">
        <v>17.955423208829444</v>
      </c>
      <c r="Q261" s="81">
        <v>0</v>
      </c>
      <c r="R261" s="81">
        <v>7.572422356949656</v>
      </c>
      <c r="S261" s="81">
        <v>27.923369128229471</v>
      </c>
      <c r="T261" s="81">
        <v>24.894197600733548</v>
      </c>
      <c r="U261" s="81">
        <v>63.026561369099056</v>
      </c>
      <c r="V261" s="81">
        <v>0</v>
      </c>
      <c r="W261" s="81">
        <v>29.055259616174851</v>
      </c>
      <c r="X261" s="81">
        <v>0.37862111784748281</v>
      </c>
      <c r="Y261" s="81">
        <v>0</v>
      </c>
      <c r="Z261" s="81">
        <v>0</v>
      </c>
      <c r="AA261" s="81">
        <v>5.4911723950658864</v>
      </c>
      <c r="AB261" s="81">
        <v>39.131615951726459</v>
      </c>
      <c r="AC261" s="81">
        <v>0.37862111784748281</v>
      </c>
      <c r="AD261" s="81">
        <v>7.440154681631209</v>
      </c>
      <c r="AE261" s="81">
        <v>0</v>
      </c>
      <c r="AF261" s="81">
        <v>7.572422356949656</v>
      </c>
      <c r="AG261" s="81">
        <v>1.0286025827070855</v>
      </c>
      <c r="AH261" s="81">
        <v>61.218228179421502</v>
      </c>
      <c r="AI261" s="81">
        <v>10.026272239728288</v>
      </c>
      <c r="AJ261" s="81">
        <v>24.860302693356289</v>
      </c>
      <c r="AK261" s="81">
        <v>109.49150736403885</v>
      </c>
      <c r="AL261" s="81">
        <v>137.57660032276368</v>
      </c>
      <c r="AM261" s="81">
        <v>0</v>
      </c>
      <c r="AN261" s="81">
        <v>0</v>
      </c>
      <c r="AO261" s="81">
        <v>0</v>
      </c>
      <c r="AP261" s="81">
        <v>18.41219205221477</v>
      </c>
      <c r="AQ261" s="81">
        <v>0</v>
      </c>
      <c r="AR261" s="81">
        <v>0</v>
      </c>
      <c r="AS261" s="81">
        <v>0</v>
      </c>
      <c r="AT261" s="81">
        <v>0</v>
      </c>
      <c r="AU261" s="81">
        <v>0</v>
      </c>
      <c r="AV261" s="81">
        <v>27.474462997595559</v>
      </c>
      <c r="AW261" s="81">
        <v>9.4057881736307483E-2</v>
      </c>
      <c r="AX261" s="81">
        <v>0.33485464577641111</v>
      </c>
      <c r="AY261" s="81">
        <v>0</v>
      </c>
      <c r="AZ261" s="81">
        <v>0</v>
      </c>
      <c r="BA261" s="81">
        <v>0</v>
      </c>
      <c r="BB261" s="81">
        <v>8.2482848808545783E-2</v>
      </c>
      <c r="BC261" s="81">
        <v>69.594042886456862</v>
      </c>
      <c r="BD261" s="81">
        <v>2.189224779317855</v>
      </c>
      <c r="BE261" s="81">
        <v>22.311850553592599</v>
      </c>
      <c r="BF261" s="128">
        <v>0</v>
      </c>
    </row>
    <row r="262" spans="1:58">
      <c r="A262" s="170" t="s">
        <v>380</v>
      </c>
      <c r="B262" s="82">
        <v>0</v>
      </c>
      <c r="C262" s="81">
        <v>612.84997234921286</v>
      </c>
      <c r="D262" s="81">
        <v>4273.9537708294993</v>
      </c>
      <c r="E262" s="81">
        <v>2787.3026718229835</v>
      </c>
      <c r="F262" s="81">
        <v>3354.8818789452607</v>
      </c>
      <c r="G262" s="81">
        <v>28478.051281703716</v>
      </c>
      <c r="H262" s="81">
        <v>0</v>
      </c>
      <c r="I262" s="81">
        <v>0</v>
      </c>
      <c r="J262" s="81">
        <v>3013.6114882794686</v>
      </c>
      <c r="K262" s="81">
        <v>167148.18617883683</v>
      </c>
      <c r="L262" s="81">
        <v>3670.5005777883134</v>
      </c>
      <c r="M262" s="81">
        <v>329.29239145655515</v>
      </c>
      <c r="N262" s="81">
        <v>12555.068426433681</v>
      </c>
      <c r="O262" s="81">
        <v>15323.238878782193</v>
      </c>
      <c r="P262" s="81">
        <v>1668.4776713918195</v>
      </c>
      <c r="Q262" s="81">
        <v>0</v>
      </c>
      <c r="R262" s="81">
        <v>456.04665647673551</v>
      </c>
      <c r="S262" s="81">
        <v>818.35396290420545</v>
      </c>
      <c r="T262" s="81">
        <v>405.06879744521035</v>
      </c>
      <c r="U262" s="81">
        <v>5127.602780551153</v>
      </c>
      <c r="V262" s="81">
        <v>0</v>
      </c>
      <c r="W262" s="81">
        <v>3675.9483465157714</v>
      </c>
      <c r="X262" s="81">
        <v>22.802332823836778</v>
      </c>
      <c r="Y262" s="81">
        <v>0</v>
      </c>
      <c r="Z262" s="81">
        <v>0</v>
      </c>
      <c r="AA262" s="81">
        <v>666.74154583888469</v>
      </c>
      <c r="AB262" s="81">
        <v>8459.7630246508106</v>
      </c>
      <c r="AC262" s="81">
        <v>22.802332823836778</v>
      </c>
      <c r="AD262" s="81">
        <v>60.41843376833387</v>
      </c>
      <c r="AE262" s="81">
        <v>0</v>
      </c>
      <c r="AF262" s="81">
        <v>456.04665647673551</v>
      </c>
      <c r="AG262" s="81">
        <v>121.0954840821143</v>
      </c>
      <c r="AH262" s="81">
        <v>2792.1783153082765</v>
      </c>
      <c r="AI262" s="81">
        <v>1238.1201906841454</v>
      </c>
      <c r="AJ262" s="81">
        <v>5260.7255950123526</v>
      </c>
      <c r="AK262" s="81">
        <v>16009.683590072378</v>
      </c>
      <c r="AL262" s="81">
        <v>3233.7013886275449</v>
      </c>
      <c r="AM262" s="81">
        <v>0</v>
      </c>
      <c r="AN262" s="81">
        <v>0</v>
      </c>
      <c r="AO262" s="81">
        <v>0</v>
      </c>
      <c r="AP262" s="81">
        <v>5621.6762704845978</v>
      </c>
      <c r="AQ262" s="81">
        <v>0</v>
      </c>
      <c r="AR262" s="81">
        <v>0</v>
      </c>
      <c r="AS262" s="81">
        <v>0</v>
      </c>
      <c r="AT262" s="81">
        <v>0</v>
      </c>
      <c r="AU262" s="81">
        <v>0</v>
      </c>
      <c r="AV262" s="81">
        <v>1935.9408081220136</v>
      </c>
      <c r="AW262" s="81">
        <v>9.9279536517452787</v>
      </c>
      <c r="AX262" s="81">
        <v>40.528294333114481</v>
      </c>
      <c r="AY262" s="81">
        <v>0</v>
      </c>
      <c r="AZ262" s="81">
        <v>0</v>
      </c>
      <c r="BA262" s="81">
        <v>0</v>
      </c>
      <c r="BB262" s="81">
        <v>2.5349717940182863</v>
      </c>
      <c r="BC262" s="81">
        <v>167148.18617883683</v>
      </c>
      <c r="BD262" s="81">
        <v>951.27656517346509</v>
      </c>
      <c r="BE262" s="81">
        <v>8709.6663345329198</v>
      </c>
      <c r="BF262" s="128">
        <v>0</v>
      </c>
    </row>
    <row r="263" spans="1:58">
      <c r="A263" s="170" t="s">
        <v>381</v>
      </c>
      <c r="B263" s="82">
        <v>0</v>
      </c>
      <c r="C263" s="81">
        <v>1.0776694260117843</v>
      </c>
      <c r="D263" s="81">
        <v>40.072047751036571</v>
      </c>
      <c r="E263" s="81">
        <v>4.9046524160475604</v>
      </c>
      <c r="F263" s="81">
        <v>3.6326593419377358</v>
      </c>
      <c r="G263" s="81">
        <v>28.890399232491646</v>
      </c>
      <c r="H263" s="81">
        <v>0</v>
      </c>
      <c r="I263" s="81">
        <v>0</v>
      </c>
      <c r="J263" s="81">
        <v>9.8959019941378195</v>
      </c>
      <c r="K263" s="81">
        <v>71.908171003927009</v>
      </c>
      <c r="L263" s="81">
        <v>15.936644041588869</v>
      </c>
      <c r="M263" s="81">
        <v>3.125506793563197</v>
      </c>
      <c r="N263" s="81">
        <v>110.55732426035524</v>
      </c>
      <c r="O263" s="81">
        <v>145.44182755994274</v>
      </c>
      <c r="P263" s="81">
        <v>16.57934419079151</v>
      </c>
      <c r="Q263" s="81">
        <v>0</v>
      </c>
      <c r="R263" s="81">
        <v>758.85906049343134</v>
      </c>
      <c r="S263" s="81">
        <v>9.4455544263398643</v>
      </c>
      <c r="T263" s="81">
        <v>4.3105443759520217</v>
      </c>
      <c r="U263" s="81">
        <v>50.651543503878294</v>
      </c>
      <c r="V263" s="81">
        <v>0</v>
      </c>
      <c r="W263" s="81">
        <v>34.396547189289805</v>
      </c>
      <c r="X263" s="81">
        <v>37.942953024671567</v>
      </c>
      <c r="Y263" s="81">
        <v>0</v>
      </c>
      <c r="Z263" s="81">
        <v>0</v>
      </c>
      <c r="AA263" s="81">
        <v>5.8047354719125721</v>
      </c>
      <c r="AB263" s="81">
        <v>35.838931825938161</v>
      </c>
      <c r="AC263" s="81">
        <v>37.942953024671567</v>
      </c>
      <c r="AD263" s="81">
        <v>0.94024181053032319</v>
      </c>
      <c r="AE263" s="81">
        <v>0</v>
      </c>
      <c r="AF263" s="81">
        <v>758.85906049343134</v>
      </c>
      <c r="AG263" s="81">
        <v>1.5459331850479843</v>
      </c>
      <c r="AH263" s="81">
        <v>29.484396776476114</v>
      </c>
      <c r="AI263" s="81">
        <v>12.534623950467051</v>
      </c>
      <c r="AJ263" s="81">
        <v>23.903023653125004</v>
      </c>
      <c r="AK263" s="81">
        <v>125.6522657128907</v>
      </c>
      <c r="AL263" s="81">
        <v>35.453742375040015</v>
      </c>
      <c r="AM263" s="81">
        <v>0</v>
      </c>
      <c r="AN263" s="81">
        <v>0</v>
      </c>
      <c r="AO263" s="81">
        <v>0</v>
      </c>
      <c r="AP263" s="81">
        <v>38.252113307402958</v>
      </c>
      <c r="AQ263" s="81">
        <v>0</v>
      </c>
      <c r="AR263" s="81">
        <v>0</v>
      </c>
      <c r="AS263" s="81">
        <v>0</v>
      </c>
      <c r="AT263" s="81">
        <v>0</v>
      </c>
      <c r="AU263" s="81">
        <v>0</v>
      </c>
      <c r="AV263" s="81">
        <v>18.238040117404562</v>
      </c>
      <c r="AW263" s="81">
        <v>6.0938229029025182E-2</v>
      </c>
      <c r="AX263" s="81">
        <v>0.38467775920777814</v>
      </c>
      <c r="AY263" s="81">
        <v>0</v>
      </c>
      <c r="AZ263" s="81">
        <v>0</v>
      </c>
      <c r="BA263" s="81">
        <v>0</v>
      </c>
      <c r="BB263" s="81">
        <v>1.9604885638519282E-2</v>
      </c>
      <c r="BC263" s="81">
        <v>71.908171003927009</v>
      </c>
      <c r="BD263" s="81">
        <v>5.8117069047581698</v>
      </c>
      <c r="BE263" s="81">
        <v>25.100635056165444</v>
      </c>
      <c r="BF263" s="128">
        <v>0</v>
      </c>
    </row>
    <row r="264" spans="1:58">
      <c r="A264" s="170" t="s">
        <v>382</v>
      </c>
      <c r="B264" s="82">
        <v>0</v>
      </c>
      <c r="C264" s="81">
        <v>0</v>
      </c>
      <c r="D264" s="81">
        <v>0</v>
      </c>
      <c r="E264" s="81">
        <v>0</v>
      </c>
      <c r="F264" s="81">
        <v>0</v>
      </c>
      <c r="G264" s="81">
        <v>0</v>
      </c>
      <c r="H264" s="81">
        <v>0</v>
      </c>
      <c r="I264" s="81">
        <v>0</v>
      </c>
      <c r="J264" s="81">
        <v>0</v>
      </c>
      <c r="K264" s="81">
        <v>0</v>
      </c>
      <c r="L264" s="81">
        <v>0</v>
      </c>
      <c r="M264" s="81">
        <v>0</v>
      </c>
      <c r="N264" s="81">
        <v>32.114066162375508</v>
      </c>
      <c r="O264" s="81">
        <v>0</v>
      </c>
      <c r="P264" s="81">
        <v>0</v>
      </c>
      <c r="Q264" s="81">
        <v>0</v>
      </c>
      <c r="R264" s="81">
        <v>0</v>
      </c>
      <c r="S264" s="81">
        <v>0</v>
      </c>
      <c r="T264" s="81">
        <v>0</v>
      </c>
      <c r="U264" s="81">
        <v>0</v>
      </c>
      <c r="V264" s="81">
        <v>0</v>
      </c>
      <c r="W264" s="81">
        <v>0</v>
      </c>
      <c r="X264" s="81">
        <v>0</v>
      </c>
      <c r="Y264" s="81">
        <v>0</v>
      </c>
      <c r="Z264" s="81">
        <v>0</v>
      </c>
      <c r="AA264" s="81">
        <v>0</v>
      </c>
      <c r="AB264" s="81">
        <v>0</v>
      </c>
      <c r="AC264" s="81">
        <v>0</v>
      </c>
      <c r="AD264" s="81">
        <v>0</v>
      </c>
      <c r="AE264" s="81">
        <v>0</v>
      </c>
      <c r="AF264" s="81">
        <v>0</v>
      </c>
      <c r="AG264" s="81">
        <v>0</v>
      </c>
      <c r="AH264" s="81">
        <v>0</v>
      </c>
      <c r="AI264" s="81">
        <v>0</v>
      </c>
      <c r="AJ264" s="81">
        <v>0</v>
      </c>
      <c r="AK264" s="81">
        <v>0</v>
      </c>
      <c r="AL264" s="81">
        <v>0</v>
      </c>
      <c r="AM264" s="81">
        <v>0</v>
      </c>
      <c r="AN264" s="81">
        <v>0</v>
      </c>
      <c r="AO264" s="81">
        <v>0</v>
      </c>
      <c r="AP264" s="81">
        <v>0</v>
      </c>
      <c r="AQ264" s="81">
        <v>0</v>
      </c>
      <c r="AR264" s="81">
        <v>0</v>
      </c>
      <c r="AS264" s="81">
        <v>0</v>
      </c>
      <c r="AT264" s="81">
        <v>0</v>
      </c>
      <c r="AU264" s="81">
        <v>0</v>
      </c>
      <c r="AV264" s="81">
        <v>0</v>
      </c>
      <c r="AW264" s="81">
        <v>0</v>
      </c>
      <c r="AX264" s="81">
        <v>0</v>
      </c>
      <c r="AY264" s="81">
        <v>0</v>
      </c>
      <c r="AZ264" s="81">
        <v>0</v>
      </c>
      <c r="BA264" s="81">
        <v>0</v>
      </c>
      <c r="BB264" s="81">
        <v>0</v>
      </c>
      <c r="BC264" s="81">
        <v>0</v>
      </c>
      <c r="BD264" s="81">
        <v>0</v>
      </c>
      <c r="BE264" s="81">
        <v>0</v>
      </c>
      <c r="BF264" s="128">
        <v>0</v>
      </c>
    </row>
    <row r="265" spans="1:58">
      <c r="A265" s="170" t="s">
        <v>383</v>
      </c>
      <c r="B265" s="82">
        <v>0</v>
      </c>
      <c r="C265" s="81">
        <v>0</v>
      </c>
      <c r="D265" s="81">
        <v>0</v>
      </c>
      <c r="E265" s="81">
        <v>0</v>
      </c>
      <c r="F265" s="81">
        <v>0</v>
      </c>
      <c r="G265" s="81">
        <v>0</v>
      </c>
      <c r="H265" s="81">
        <v>0</v>
      </c>
      <c r="I265" s="81">
        <v>0</v>
      </c>
      <c r="J265" s="81">
        <v>0</v>
      </c>
      <c r="K265" s="81">
        <v>0</v>
      </c>
      <c r="L265" s="81">
        <v>0</v>
      </c>
      <c r="M265" s="81">
        <v>0</v>
      </c>
      <c r="N265" s="81">
        <v>5.0079881616657165</v>
      </c>
      <c r="O265" s="81">
        <v>0</v>
      </c>
      <c r="P265" s="81">
        <v>0</v>
      </c>
      <c r="Q265" s="81">
        <v>0</v>
      </c>
      <c r="R265" s="81">
        <v>0</v>
      </c>
      <c r="S265" s="81">
        <v>0</v>
      </c>
      <c r="T265" s="81">
        <v>0</v>
      </c>
      <c r="U265" s="81">
        <v>0</v>
      </c>
      <c r="V265" s="81">
        <v>0</v>
      </c>
      <c r="W265" s="81">
        <v>0</v>
      </c>
      <c r="X265" s="81">
        <v>0</v>
      </c>
      <c r="Y265" s="81">
        <v>0</v>
      </c>
      <c r="Z265" s="81">
        <v>0</v>
      </c>
      <c r="AA265" s="81">
        <v>0</v>
      </c>
      <c r="AB265" s="81">
        <v>0</v>
      </c>
      <c r="AC265" s="81">
        <v>0</v>
      </c>
      <c r="AD265" s="81">
        <v>0</v>
      </c>
      <c r="AE265" s="81">
        <v>0</v>
      </c>
      <c r="AF265" s="81">
        <v>0</v>
      </c>
      <c r="AG265" s="81">
        <v>0</v>
      </c>
      <c r="AH265" s="81">
        <v>0</v>
      </c>
      <c r="AI265" s="81">
        <v>0</v>
      </c>
      <c r="AJ265" s="81">
        <v>0</v>
      </c>
      <c r="AK265" s="81">
        <v>0</v>
      </c>
      <c r="AL265" s="81">
        <v>0</v>
      </c>
      <c r="AM265" s="81">
        <v>0</v>
      </c>
      <c r="AN265" s="81">
        <v>0</v>
      </c>
      <c r="AO265" s="81">
        <v>0</v>
      </c>
      <c r="AP265" s="81">
        <v>0</v>
      </c>
      <c r="AQ265" s="81">
        <v>0</v>
      </c>
      <c r="AR265" s="81">
        <v>0</v>
      </c>
      <c r="AS265" s="81">
        <v>0</v>
      </c>
      <c r="AT265" s="81">
        <v>0</v>
      </c>
      <c r="AU265" s="81">
        <v>0</v>
      </c>
      <c r="AV265" s="81">
        <v>0</v>
      </c>
      <c r="AW265" s="81">
        <v>0</v>
      </c>
      <c r="AX265" s="81">
        <v>0</v>
      </c>
      <c r="AY265" s="81">
        <v>0</v>
      </c>
      <c r="AZ265" s="81">
        <v>0</v>
      </c>
      <c r="BA265" s="81">
        <v>0</v>
      </c>
      <c r="BB265" s="81">
        <v>0</v>
      </c>
      <c r="BC265" s="81">
        <v>0</v>
      </c>
      <c r="BD265" s="81">
        <v>0</v>
      </c>
      <c r="BE265" s="81">
        <v>0</v>
      </c>
      <c r="BF265" s="128">
        <v>0</v>
      </c>
    </row>
    <row r="266" spans="1:58">
      <c r="A266" s="253" t="s">
        <v>384</v>
      </c>
      <c r="B266" s="79">
        <v>0</v>
      </c>
      <c r="C266" s="78">
        <v>1143831.7047838606</v>
      </c>
      <c r="D266" s="78">
        <v>1720741.8181319407</v>
      </c>
      <c r="E266" s="78">
        <v>275415.74605584692</v>
      </c>
      <c r="F266" s="78">
        <v>252058.55452254889</v>
      </c>
      <c r="G266" s="78">
        <v>2549210.9542943868</v>
      </c>
      <c r="H266" s="78">
        <v>0</v>
      </c>
      <c r="I266" s="78">
        <v>0</v>
      </c>
      <c r="J266" s="78">
        <v>686394.46531771228</v>
      </c>
      <c r="K266" s="78">
        <v>3107455.921164826</v>
      </c>
      <c r="L266" s="78">
        <v>2099633.5012717759</v>
      </c>
      <c r="M266" s="78">
        <v>156615.67519215529</v>
      </c>
      <c r="N266" s="78">
        <v>7260163.2403231822</v>
      </c>
      <c r="O266" s="78">
        <v>7287928.4957538433</v>
      </c>
      <c r="P266" s="78">
        <v>627027.37956441077</v>
      </c>
      <c r="Q266" s="78">
        <v>0</v>
      </c>
      <c r="R266" s="78">
        <v>216355.97575543795</v>
      </c>
      <c r="S266" s="78">
        <v>429784.73311349167</v>
      </c>
      <c r="T266" s="78">
        <v>205447.85644833875</v>
      </c>
      <c r="U266" s="78">
        <v>2222148.2782340148</v>
      </c>
      <c r="V266" s="78">
        <v>0</v>
      </c>
      <c r="W266" s="78">
        <v>1477539.950464902</v>
      </c>
      <c r="X266" s="78">
        <v>10817.798787771899</v>
      </c>
      <c r="Y266" s="78">
        <v>0</v>
      </c>
      <c r="Z266" s="78">
        <v>0</v>
      </c>
      <c r="AA266" s="78">
        <v>271521.3161820001</v>
      </c>
      <c r="AB266" s="78">
        <v>1592074.8645627676</v>
      </c>
      <c r="AC266" s="78">
        <v>10817.798787771899</v>
      </c>
      <c r="AD266" s="78">
        <v>38735.937273706266</v>
      </c>
      <c r="AE266" s="78">
        <v>0</v>
      </c>
      <c r="AF266" s="78">
        <v>216355.97575543795</v>
      </c>
      <c r="AG266" s="78">
        <v>81575.622049667538</v>
      </c>
      <c r="AH266" s="78">
        <v>1398643.3963373797</v>
      </c>
      <c r="AI266" s="78">
        <v>538311.95676457067</v>
      </c>
      <c r="AJ266" s="78">
        <v>925967.45035076409</v>
      </c>
      <c r="AK266" s="78">
        <v>4884712.3559547858</v>
      </c>
      <c r="AL266" s="78">
        <v>1583617.7860429557</v>
      </c>
      <c r="AM266" s="78">
        <v>0</v>
      </c>
      <c r="AN266" s="78">
        <v>0</v>
      </c>
      <c r="AO266" s="78">
        <v>0</v>
      </c>
      <c r="AP266" s="78">
        <v>1963612.1962881051</v>
      </c>
      <c r="AQ266" s="78">
        <v>0</v>
      </c>
      <c r="AR266" s="78">
        <v>0</v>
      </c>
      <c r="AS266" s="78">
        <v>0</v>
      </c>
      <c r="AT266" s="78">
        <v>0</v>
      </c>
      <c r="AU266" s="78">
        <v>0</v>
      </c>
      <c r="AV266" s="78">
        <v>840386.83262010152</v>
      </c>
      <c r="AW266" s="78">
        <v>8038.3690849226496</v>
      </c>
      <c r="AX266" s="78">
        <v>19275.775408265265</v>
      </c>
      <c r="AY266" s="78">
        <v>0</v>
      </c>
      <c r="AZ266" s="78">
        <v>0</v>
      </c>
      <c r="BA266" s="78">
        <v>0</v>
      </c>
      <c r="BB266" s="78">
        <v>1974.9549870198275</v>
      </c>
      <c r="BC266" s="78">
        <v>3107455.921164826</v>
      </c>
      <c r="BD266" s="78">
        <v>1982963.1076478148</v>
      </c>
      <c r="BE266" s="78">
        <v>2662281.9392032973</v>
      </c>
      <c r="BF266" s="132">
        <v>0</v>
      </c>
    </row>
    <row r="267" spans="1:58">
      <c r="A267" s="253" t="s">
        <v>392</v>
      </c>
      <c r="B267" s="124">
        <v>0</v>
      </c>
      <c r="C267" s="112">
        <v>1144780.263750955</v>
      </c>
      <c r="D267" s="112">
        <v>1723354.1928686686</v>
      </c>
      <c r="E267" s="112">
        <v>276415.2682209512</v>
      </c>
      <c r="F267" s="112">
        <v>259940.52835029562</v>
      </c>
      <c r="G267" s="112">
        <v>2562371.2244117586</v>
      </c>
      <c r="H267" s="112">
        <v>0</v>
      </c>
      <c r="I267" s="112">
        <v>0</v>
      </c>
      <c r="J267" s="112">
        <v>688666.42246243719</v>
      </c>
      <c r="K267" s="112">
        <v>3168801.660861779</v>
      </c>
      <c r="L267" s="112">
        <v>2142268.8868272398</v>
      </c>
      <c r="M267" s="112">
        <v>156780.66373620549</v>
      </c>
      <c r="N267" s="112">
        <v>7267385.3746594703</v>
      </c>
      <c r="O267" s="112">
        <v>7295606.045974669</v>
      </c>
      <c r="P267" s="112">
        <v>628291.2572185162</v>
      </c>
      <c r="Q267" s="112">
        <v>0</v>
      </c>
      <c r="R267" s="112">
        <v>218831.58490150544</v>
      </c>
      <c r="S267" s="112">
        <v>430446.14971535234</v>
      </c>
      <c r="T267" s="112">
        <v>205925.39685066225</v>
      </c>
      <c r="U267" s="112">
        <v>2225426.1046269792</v>
      </c>
      <c r="V267" s="112">
        <v>0</v>
      </c>
      <c r="W267" s="112">
        <v>1479713.6604419355</v>
      </c>
      <c r="X267" s="112">
        <v>10941.579245075272</v>
      </c>
      <c r="Y267" s="112">
        <v>0</v>
      </c>
      <c r="Z267" s="112">
        <v>0</v>
      </c>
      <c r="AA267" s="112">
        <v>271936.46689382452</v>
      </c>
      <c r="AB267" s="112">
        <v>1596989.2752538312</v>
      </c>
      <c r="AC267" s="112">
        <v>10941.579245075272</v>
      </c>
      <c r="AD267" s="112">
        <v>38848.541534000746</v>
      </c>
      <c r="AE267" s="112">
        <v>0</v>
      </c>
      <c r="AF267" s="112">
        <v>218831.58490150544</v>
      </c>
      <c r="AG267" s="112">
        <v>81684.416438386106</v>
      </c>
      <c r="AH267" s="112">
        <v>1400619.413976935</v>
      </c>
      <c r="AI267" s="112">
        <v>539104.50055807328</v>
      </c>
      <c r="AJ267" s="112">
        <v>929130.79243491101</v>
      </c>
      <c r="AK267" s="112">
        <v>4894309.2796641206</v>
      </c>
      <c r="AL267" s="112">
        <v>1586997.9667531557</v>
      </c>
      <c r="AM267" s="112">
        <v>0</v>
      </c>
      <c r="AN267" s="112">
        <v>0</v>
      </c>
      <c r="AO267" s="112">
        <v>0</v>
      </c>
      <c r="AP267" s="112">
        <v>1985380.8465068259</v>
      </c>
      <c r="AQ267" s="112">
        <v>0</v>
      </c>
      <c r="AR267" s="112">
        <v>0</v>
      </c>
      <c r="AS267" s="112">
        <v>0</v>
      </c>
      <c r="AT267" s="112">
        <v>0</v>
      </c>
      <c r="AU267" s="112">
        <v>0</v>
      </c>
      <c r="AV267" s="112">
        <v>841892.61732474179</v>
      </c>
      <c r="AW267" s="112">
        <v>8076.101445786373</v>
      </c>
      <c r="AX267" s="112">
        <v>19296.081690609903</v>
      </c>
      <c r="AY267" s="112">
        <v>0</v>
      </c>
      <c r="AZ267" s="112">
        <v>0</v>
      </c>
      <c r="BA267" s="112">
        <v>0</v>
      </c>
      <c r="BB267" s="112">
        <v>2019.0116993668407</v>
      </c>
      <c r="BC267" s="112">
        <v>3168801.660861779</v>
      </c>
      <c r="BD267" s="112">
        <v>1983466.1568821606</v>
      </c>
      <c r="BE267" s="112">
        <v>2665922.9062422467</v>
      </c>
      <c r="BF267" s="120">
        <v>0</v>
      </c>
    </row>
    <row r="268" spans="1:58">
      <c r="A268" s="253" t="s">
        <v>393</v>
      </c>
      <c r="B268" s="125">
        <v>0</v>
      </c>
      <c r="C268" s="121">
        <v>1163337.3966802629</v>
      </c>
      <c r="D268" s="121">
        <v>1861657.6842754206</v>
      </c>
      <c r="E268" s="121">
        <v>360815.85795085708</v>
      </c>
      <c r="F268" s="121">
        <v>360907.72434321337</v>
      </c>
      <c r="G268" s="121">
        <v>3418904.2315969998</v>
      </c>
      <c r="H268" s="121">
        <v>0</v>
      </c>
      <c r="I268" s="121">
        <v>0</v>
      </c>
      <c r="J268" s="121">
        <v>781173.62605756498</v>
      </c>
      <c r="K268" s="121">
        <v>8169448.5396751883</v>
      </c>
      <c r="L268" s="121">
        <v>2256000.5078686853</v>
      </c>
      <c r="M268" s="121">
        <v>167446.84035625358</v>
      </c>
      <c r="N268" s="121">
        <v>7970809.4247732572</v>
      </c>
      <c r="O268" s="121">
        <v>7791944.1834862428</v>
      </c>
      <c r="P268" s="121">
        <v>682538.05279007857</v>
      </c>
      <c r="Q268" s="121">
        <v>0</v>
      </c>
      <c r="R268" s="121">
        <v>439590.29877921892</v>
      </c>
      <c r="S268" s="121">
        <v>457411.73416828841</v>
      </c>
      <c r="T268" s="121">
        <v>219173.22562916443</v>
      </c>
      <c r="U268" s="121">
        <v>2392056.5388639625</v>
      </c>
      <c r="V268" s="121">
        <v>0</v>
      </c>
      <c r="W268" s="121">
        <v>1598647.1785507817</v>
      </c>
      <c r="X268" s="121">
        <v>21979.514938960947</v>
      </c>
      <c r="Y268" s="121">
        <v>0</v>
      </c>
      <c r="Z268" s="121">
        <v>0</v>
      </c>
      <c r="AA268" s="121">
        <v>293390.0577436554</v>
      </c>
      <c r="AB268" s="121">
        <v>1858874.2417769064</v>
      </c>
      <c r="AC268" s="121">
        <v>21979.514938960947</v>
      </c>
      <c r="AD268" s="121">
        <v>40905.696874571877</v>
      </c>
      <c r="AE268" s="121">
        <v>0</v>
      </c>
      <c r="AF268" s="121">
        <v>439590.29877921892</v>
      </c>
      <c r="AG268" s="121">
        <v>85715.101623551207</v>
      </c>
      <c r="AH268" s="121">
        <v>1491875.5680930996</v>
      </c>
      <c r="AI268" s="121">
        <v>579422.43457893829</v>
      </c>
      <c r="AJ268" s="121">
        <v>1092425.9406235823</v>
      </c>
      <c r="AK268" s="121">
        <v>5405700.9191878969</v>
      </c>
      <c r="AL268" s="121">
        <v>1693041.1398026424</v>
      </c>
      <c r="AM268" s="121">
        <v>0</v>
      </c>
      <c r="AN268" s="121">
        <v>0</v>
      </c>
      <c r="AO268" s="121">
        <v>0</v>
      </c>
      <c r="AP268" s="121">
        <v>2163349.6263001878</v>
      </c>
      <c r="AQ268" s="121">
        <v>0</v>
      </c>
      <c r="AR268" s="121">
        <v>0</v>
      </c>
      <c r="AS268" s="121">
        <v>0</v>
      </c>
      <c r="AT268" s="121">
        <v>0</v>
      </c>
      <c r="AU268" s="121">
        <v>0</v>
      </c>
      <c r="AV268" s="121">
        <v>904562.63835882919</v>
      </c>
      <c r="AW268" s="121">
        <v>8388.5906011333063</v>
      </c>
      <c r="AX268" s="121">
        <v>20608.841890000436</v>
      </c>
      <c r="AY268" s="121">
        <v>0</v>
      </c>
      <c r="AZ268" s="121">
        <v>0</v>
      </c>
      <c r="BA268" s="121">
        <v>0</v>
      </c>
      <c r="BB268" s="121">
        <v>2099.9059926079012</v>
      </c>
      <c r="BC268" s="121">
        <v>8169448.5396751883</v>
      </c>
      <c r="BD268" s="121">
        <v>2013400.7945093289</v>
      </c>
      <c r="BE268" s="121">
        <v>2932323.4363816609</v>
      </c>
      <c r="BF268" s="110">
        <v>0</v>
      </c>
    </row>
    <row r="269" spans="1:58">
      <c r="A269" s="252" t="s">
        <v>394</v>
      </c>
      <c r="B269" s="86"/>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133"/>
    </row>
    <row r="270" spans="1:58">
      <c r="A270" s="170" t="s">
        <v>372</v>
      </c>
      <c r="B270" s="82">
        <v>0</v>
      </c>
      <c r="C270" s="81">
        <v>1.0040349151108603</v>
      </c>
      <c r="D270" s="81">
        <v>15.962768541342326</v>
      </c>
      <c r="E270" s="81">
        <v>60.935940430616235</v>
      </c>
      <c r="F270" s="81">
        <v>1.788047517445509</v>
      </c>
      <c r="G270" s="81">
        <v>20.184452614392683</v>
      </c>
      <c r="H270" s="81">
        <v>0</v>
      </c>
      <c r="I270" s="81">
        <v>0</v>
      </c>
      <c r="J270" s="81">
        <v>43.034393812863613</v>
      </c>
      <c r="K270" s="81">
        <v>91.60763866218123</v>
      </c>
      <c r="L270" s="81">
        <v>2.8759256417689056</v>
      </c>
      <c r="M270" s="81">
        <v>1.2806386929202953</v>
      </c>
      <c r="N270" s="81">
        <v>54.748794994784099</v>
      </c>
      <c r="O270" s="81">
        <v>59.593033784438624</v>
      </c>
      <c r="P270" s="81">
        <v>5.9604600114451642</v>
      </c>
      <c r="Q270" s="81">
        <v>0</v>
      </c>
      <c r="R270" s="81">
        <v>4.6194611879620542</v>
      </c>
      <c r="S270" s="81">
        <v>7.3995634213993666</v>
      </c>
      <c r="T270" s="81">
        <v>4.6477579141102714</v>
      </c>
      <c r="U270" s="81">
        <v>23.855529773200509</v>
      </c>
      <c r="V270" s="81">
        <v>0</v>
      </c>
      <c r="W270" s="81">
        <v>13.032184451804346</v>
      </c>
      <c r="X270" s="81">
        <v>0.23097305939810273</v>
      </c>
      <c r="Y270" s="81">
        <v>0</v>
      </c>
      <c r="Z270" s="81">
        <v>0</v>
      </c>
      <c r="AA270" s="81">
        <v>5.2736680264039881</v>
      </c>
      <c r="AB270" s="81">
        <v>247.83064703759129</v>
      </c>
      <c r="AC270" s="81">
        <v>0.23097305939810273</v>
      </c>
      <c r="AD270" s="81">
        <v>1.5068269604523759</v>
      </c>
      <c r="AE270" s="81">
        <v>0</v>
      </c>
      <c r="AF270" s="81">
        <v>4.6194611879620542</v>
      </c>
      <c r="AG270" s="81">
        <v>1.4499013927608158</v>
      </c>
      <c r="AH270" s="81">
        <v>19.641753582594262</v>
      </c>
      <c r="AI270" s="81">
        <v>3.9074449688089867</v>
      </c>
      <c r="AJ270" s="81">
        <v>148.33254396187135</v>
      </c>
      <c r="AK270" s="81">
        <v>128.51779080450441</v>
      </c>
      <c r="AL270" s="81">
        <v>30.912105142380359</v>
      </c>
      <c r="AM270" s="81">
        <v>0</v>
      </c>
      <c r="AN270" s="81">
        <v>0</v>
      </c>
      <c r="AO270" s="81">
        <v>0</v>
      </c>
      <c r="AP270" s="81">
        <v>15.634476791850291</v>
      </c>
      <c r="AQ270" s="81">
        <v>0</v>
      </c>
      <c r="AR270" s="81">
        <v>0</v>
      </c>
      <c r="AS270" s="81">
        <v>0</v>
      </c>
      <c r="AT270" s="81">
        <v>0</v>
      </c>
      <c r="AU270" s="81">
        <v>0</v>
      </c>
      <c r="AV270" s="81">
        <v>9.4953674215851063</v>
      </c>
      <c r="AW270" s="81">
        <v>0.26517807158185613</v>
      </c>
      <c r="AX270" s="81">
        <v>0.15761706989788249</v>
      </c>
      <c r="AY270" s="81">
        <v>0</v>
      </c>
      <c r="AZ270" s="81">
        <v>0</v>
      </c>
      <c r="BA270" s="81">
        <v>0</v>
      </c>
      <c r="BB270" s="81">
        <v>5.2092470676317018E-2</v>
      </c>
      <c r="BC270" s="81">
        <v>91.60763866218123</v>
      </c>
      <c r="BD270" s="81">
        <v>0.63379500417957679</v>
      </c>
      <c r="BE270" s="81">
        <v>12.778338204928334</v>
      </c>
      <c r="BF270" s="128">
        <v>0</v>
      </c>
    </row>
    <row r="271" spans="1:58">
      <c r="A271" s="170" t="s">
        <v>373</v>
      </c>
      <c r="B271" s="82">
        <v>0</v>
      </c>
      <c r="C271" s="81">
        <v>3.3682252226861937</v>
      </c>
      <c r="D271" s="81">
        <v>111.54419522110516</v>
      </c>
      <c r="E271" s="81">
        <v>47.070222071222254</v>
      </c>
      <c r="F271" s="81">
        <v>4.6211586079495905</v>
      </c>
      <c r="G271" s="81">
        <v>102.24093758455615</v>
      </c>
      <c r="H271" s="81">
        <v>0</v>
      </c>
      <c r="I271" s="81">
        <v>0</v>
      </c>
      <c r="J271" s="81">
        <v>45.418075373572421</v>
      </c>
      <c r="K271" s="81">
        <v>227.88883275000387</v>
      </c>
      <c r="L271" s="81">
        <v>26.390887761105294</v>
      </c>
      <c r="M271" s="81">
        <v>14.528019371922603</v>
      </c>
      <c r="N271" s="81">
        <v>397.04131662184068</v>
      </c>
      <c r="O271" s="81">
        <v>676.04450344828558</v>
      </c>
      <c r="P271" s="81">
        <v>38.003791886689825</v>
      </c>
      <c r="Q271" s="81">
        <v>0</v>
      </c>
      <c r="R271" s="81">
        <v>9.8774864518474779</v>
      </c>
      <c r="S271" s="81">
        <v>27.27410096084748</v>
      </c>
      <c r="T271" s="81">
        <v>11.072016512378351</v>
      </c>
      <c r="U271" s="81">
        <v>152.75361240419412</v>
      </c>
      <c r="V271" s="81">
        <v>0</v>
      </c>
      <c r="W271" s="81">
        <v>98.633446339760837</v>
      </c>
      <c r="X271" s="81">
        <v>0.4938743225923739</v>
      </c>
      <c r="Y271" s="81">
        <v>0</v>
      </c>
      <c r="Z271" s="81">
        <v>0</v>
      </c>
      <c r="AA271" s="81">
        <v>24.528736053514145</v>
      </c>
      <c r="AB271" s="81">
        <v>302.26289074617171</v>
      </c>
      <c r="AC271" s="81">
        <v>0.4938743225923739</v>
      </c>
      <c r="AD271" s="81">
        <v>2.8653654393099819</v>
      </c>
      <c r="AE271" s="81">
        <v>0</v>
      </c>
      <c r="AF271" s="81">
        <v>9.8774864518474779</v>
      </c>
      <c r="AG271" s="81">
        <v>3.1385525115587276</v>
      </c>
      <c r="AH271" s="81">
        <v>113.54443626461679</v>
      </c>
      <c r="AI271" s="81">
        <v>20.105127510070663</v>
      </c>
      <c r="AJ271" s="81">
        <v>165.74716039664986</v>
      </c>
      <c r="AK271" s="81">
        <v>272.31912324081645</v>
      </c>
      <c r="AL271" s="81">
        <v>117.45865056965859</v>
      </c>
      <c r="AM271" s="81">
        <v>0</v>
      </c>
      <c r="AN271" s="81">
        <v>0</v>
      </c>
      <c r="AO271" s="81">
        <v>0</v>
      </c>
      <c r="AP271" s="81">
        <v>74.226386051766625</v>
      </c>
      <c r="AQ271" s="81">
        <v>0</v>
      </c>
      <c r="AR271" s="81">
        <v>0</v>
      </c>
      <c r="AS271" s="81">
        <v>0</v>
      </c>
      <c r="AT271" s="81">
        <v>0</v>
      </c>
      <c r="AU271" s="81">
        <v>0</v>
      </c>
      <c r="AV271" s="81">
        <v>62.902944879630006</v>
      </c>
      <c r="AW271" s="81">
        <v>0.16429775493124596</v>
      </c>
      <c r="AX271" s="81">
        <v>1.7880639226981665</v>
      </c>
      <c r="AY271" s="81">
        <v>0</v>
      </c>
      <c r="AZ271" s="81">
        <v>0</v>
      </c>
      <c r="BA271" s="81">
        <v>0</v>
      </c>
      <c r="BB271" s="81">
        <v>5.5136773926089129E-2</v>
      </c>
      <c r="BC271" s="81">
        <v>227.88883275000387</v>
      </c>
      <c r="BD271" s="81">
        <v>2.1835537959646736</v>
      </c>
      <c r="BE271" s="81">
        <v>112.52359644002986</v>
      </c>
      <c r="BF271" s="128">
        <v>0</v>
      </c>
    </row>
    <row r="272" spans="1:58">
      <c r="A272" s="170" t="s">
        <v>374</v>
      </c>
      <c r="B272" s="82">
        <v>0</v>
      </c>
      <c r="C272" s="81">
        <v>6.9539949619914969</v>
      </c>
      <c r="D272" s="81">
        <v>203.18851727101446</v>
      </c>
      <c r="E272" s="81">
        <v>71.374941819495604</v>
      </c>
      <c r="F272" s="81">
        <v>12.728974924850514</v>
      </c>
      <c r="G272" s="81">
        <v>195.4383427589633</v>
      </c>
      <c r="H272" s="81">
        <v>0</v>
      </c>
      <c r="I272" s="81">
        <v>0</v>
      </c>
      <c r="J272" s="81">
        <v>73.519975748609994</v>
      </c>
      <c r="K272" s="81">
        <v>381.25863972167878</v>
      </c>
      <c r="L272" s="81">
        <v>51.298913568618637</v>
      </c>
      <c r="M272" s="81">
        <v>30.257977131763887</v>
      </c>
      <c r="N272" s="81">
        <v>842.29183888287776</v>
      </c>
      <c r="O272" s="81">
        <v>1408.0198134183677</v>
      </c>
      <c r="P272" s="81">
        <v>71.352092428161797</v>
      </c>
      <c r="Q272" s="81">
        <v>0</v>
      </c>
      <c r="R272" s="81">
        <v>17.757863555974264</v>
      </c>
      <c r="S272" s="81">
        <v>82.378088613211304</v>
      </c>
      <c r="T272" s="81">
        <v>49.42023854495767</v>
      </c>
      <c r="U272" s="81">
        <v>322.63489373902178</v>
      </c>
      <c r="V272" s="81">
        <v>0</v>
      </c>
      <c r="W272" s="81">
        <v>181.52113599713368</v>
      </c>
      <c r="X272" s="81">
        <v>0.88789317779871324</v>
      </c>
      <c r="Y272" s="81">
        <v>0</v>
      </c>
      <c r="Z272" s="81">
        <v>0</v>
      </c>
      <c r="AA272" s="81">
        <v>48.60886793189762</v>
      </c>
      <c r="AB272" s="81">
        <v>519.95715810411616</v>
      </c>
      <c r="AC272" s="81">
        <v>0.88789317779871324</v>
      </c>
      <c r="AD272" s="81">
        <v>16.400056165627035</v>
      </c>
      <c r="AE272" s="81">
        <v>0</v>
      </c>
      <c r="AF272" s="81">
        <v>17.757863555974264</v>
      </c>
      <c r="AG272" s="81">
        <v>6.0141243279697898</v>
      </c>
      <c r="AH272" s="81">
        <v>290.26126824394845</v>
      </c>
      <c r="AI272" s="81">
        <v>28.118163318386191</v>
      </c>
      <c r="AJ272" s="81">
        <v>270.53258922946333</v>
      </c>
      <c r="AK272" s="81">
        <v>341.76881343736244</v>
      </c>
      <c r="AL272" s="81">
        <v>373.40602237966135</v>
      </c>
      <c r="AM272" s="81">
        <v>0</v>
      </c>
      <c r="AN272" s="81">
        <v>0</v>
      </c>
      <c r="AO272" s="81">
        <v>0</v>
      </c>
      <c r="AP272" s="81">
        <v>93.734096677114053</v>
      </c>
      <c r="AQ272" s="81">
        <v>0</v>
      </c>
      <c r="AR272" s="81">
        <v>0</v>
      </c>
      <c r="AS272" s="81">
        <v>0</v>
      </c>
      <c r="AT272" s="81">
        <v>0</v>
      </c>
      <c r="AU272" s="81">
        <v>0</v>
      </c>
      <c r="AV272" s="81">
        <v>129.60000677075308</v>
      </c>
      <c r="AW272" s="81">
        <v>0.25277557623391983</v>
      </c>
      <c r="AX272" s="81">
        <v>3.7240587239094016</v>
      </c>
      <c r="AY272" s="81">
        <v>0</v>
      </c>
      <c r="AZ272" s="81">
        <v>0</v>
      </c>
      <c r="BA272" s="81">
        <v>0</v>
      </c>
      <c r="BB272" s="81">
        <v>9.5595127474007668E-2</v>
      </c>
      <c r="BC272" s="81">
        <v>381.25863972167878</v>
      </c>
      <c r="BD272" s="81">
        <v>5.682705620121264</v>
      </c>
      <c r="BE272" s="81">
        <v>230.7506564261418</v>
      </c>
      <c r="BF272" s="128">
        <v>0</v>
      </c>
    </row>
    <row r="273" spans="1:58">
      <c r="A273" s="170" t="s">
        <v>375</v>
      </c>
      <c r="B273" s="82">
        <v>0</v>
      </c>
      <c r="C273" s="81">
        <v>0.65146148539802384</v>
      </c>
      <c r="D273" s="81">
        <v>19.151952207295682</v>
      </c>
      <c r="E273" s="81">
        <v>13.917674261003445</v>
      </c>
      <c r="F273" s="81">
        <v>0.73912844757320262</v>
      </c>
      <c r="G273" s="81">
        <v>21.160518149917891</v>
      </c>
      <c r="H273" s="81">
        <v>0</v>
      </c>
      <c r="I273" s="81">
        <v>0</v>
      </c>
      <c r="J273" s="81">
        <v>11.602545080413027</v>
      </c>
      <c r="K273" s="81">
        <v>40.274118993082055</v>
      </c>
      <c r="L273" s="81">
        <v>4.1323395229000299</v>
      </c>
      <c r="M273" s="81">
        <v>3.4409281327025276</v>
      </c>
      <c r="N273" s="81">
        <v>90.974178645162283</v>
      </c>
      <c r="O273" s="81">
        <v>160.11959313393109</v>
      </c>
      <c r="P273" s="81">
        <v>5.8569776613191724</v>
      </c>
      <c r="Q273" s="81">
        <v>0</v>
      </c>
      <c r="R273" s="81">
        <v>1.6465161048276367</v>
      </c>
      <c r="S273" s="81">
        <v>7.9810956079457664</v>
      </c>
      <c r="T273" s="81">
        <v>4.1668053366937308</v>
      </c>
      <c r="U273" s="81">
        <v>30.910146542028063</v>
      </c>
      <c r="V273" s="81">
        <v>0</v>
      </c>
      <c r="W273" s="81">
        <v>17.299038871357254</v>
      </c>
      <c r="X273" s="81">
        <v>8.2325805241381833E-2</v>
      </c>
      <c r="Y273" s="81">
        <v>0</v>
      </c>
      <c r="Z273" s="81">
        <v>0</v>
      </c>
      <c r="AA273" s="81">
        <v>5.3162283336649052</v>
      </c>
      <c r="AB273" s="81">
        <v>54.09903028919895</v>
      </c>
      <c r="AC273" s="81">
        <v>8.2325805241381833E-2</v>
      </c>
      <c r="AD273" s="81">
        <v>1.2259209136511262</v>
      </c>
      <c r="AE273" s="81">
        <v>0</v>
      </c>
      <c r="AF273" s="81">
        <v>1.6465161048276367</v>
      </c>
      <c r="AG273" s="81">
        <v>0.75445159026382358</v>
      </c>
      <c r="AH273" s="81">
        <v>29.271322682534173</v>
      </c>
      <c r="AI273" s="81">
        <v>1.2419294842718296</v>
      </c>
      <c r="AJ273" s="81">
        <v>26.387496510141411</v>
      </c>
      <c r="AK273" s="81">
        <v>26.459915103318618</v>
      </c>
      <c r="AL273" s="81">
        <v>34.836328672947701</v>
      </c>
      <c r="AM273" s="81">
        <v>0</v>
      </c>
      <c r="AN273" s="81">
        <v>0</v>
      </c>
      <c r="AO273" s="81">
        <v>0</v>
      </c>
      <c r="AP273" s="81">
        <v>1.4393953945020073</v>
      </c>
      <c r="AQ273" s="81">
        <v>0</v>
      </c>
      <c r="AR273" s="81">
        <v>0</v>
      </c>
      <c r="AS273" s="81">
        <v>0</v>
      </c>
      <c r="AT273" s="81">
        <v>0</v>
      </c>
      <c r="AU273" s="81">
        <v>0</v>
      </c>
      <c r="AV273" s="81">
        <v>13.358780779449676</v>
      </c>
      <c r="AW273" s="81">
        <v>4.3490181823568945E-2</v>
      </c>
      <c r="AX273" s="81">
        <v>0.42349884710184954</v>
      </c>
      <c r="AY273" s="81">
        <v>0</v>
      </c>
      <c r="AZ273" s="81">
        <v>0</v>
      </c>
      <c r="BA273" s="81">
        <v>0</v>
      </c>
      <c r="BB273" s="81">
        <v>1.3935286276640134E-2</v>
      </c>
      <c r="BC273" s="81">
        <v>40.274118993082055</v>
      </c>
      <c r="BD273" s="81">
        <v>0.49852441482521437</v>
      </c>
      <c r="BE273" s="81">
        <v>26.132953529182323</v>
      </c>
      <c r="BF273" s="128">
        <v>0</v>
      </c>
    </row>
    <row r="274" spans="1:58">
      <c r="A274" s="170" t="s">
        <v>376</v>
      </c>
      <c r="B274" s="82">
        <v>0</v>
      </c>
      <c r="C274" s="81">
        <v>0.54988427461372502</v>
      </c>
      <c r="D274" s="81">
        <v>16.055302602608169</v>
      </c>
      <c r="E274" s="81">
        <v>11.526309542429702</v>
      </c>
      <c r="F274" s="81">
        <v>0.63489827621365158</v>
      </c>
      <c r="G274" s="81">
        <v>17.694831005450673</v>
      </c>
      <c r="H274" s="81">
        <v>0</v>
      </c>
      <c r="I274" s="81">
        <v>0</v>
      </c>
      <c r="J274" s="81">
        <v>9.6447638475003004</v>
      </c>
      <c r="K274" s="81">
        <v>33.600232552912928</v>
      </c>
      <c r="L274" s="81">
        <v>3.4604407809416586</v>
      </c>
      <c r="M274" s="81">
        <v>2.8791943712331522</v>
      </c>
      <c r="N274" s="81">
        <v>73.832587903250911</v>
      </c>
      <c r="O274" s="81">
        <v>133.97996514192593</v>
      </c>
      <c r="P274" s="81">
        <v>4.9636497653322804</v>
      </c>
      <c r="Q274" s="81">
        <v>0</v>
      </c>
      <c r="R274" s="81">
        <v>1.3731777639195319</v>
      </c>
      <c r="S274" s="81">
        <v>6.9546913828276198</v>
      </c>
      <c r="T274" s="81">
        <v>3.7469360916061558</v>
      </c>
      <c r="U274" s="81">
        <v>26.159720982533834</v>
      </c>
      <c r="V274" s="81">
        <v>0</v>
      </c>
      <c r="W274" s="81">
        <v>14.494935760416444</v>
      </c>
      <c r="X274" s="81">
        <v>6.8658888195976597E-2</v>
      </c>
      <c r="Y274" s="81">
        <v>0</v>
      </c>
      <c r="Z274" s="81">
        <v>0</v>
      </c>
      <c r="AA274" s="81">
        <v>4.4958243820807304</v>
      </c>
      <c r="AB274" s="81">
        <v>48.643752599218288</v>
      </c>
      <c r="AC274" s="81">
        <v>6.8658888195976597E-2</v>
      </c>
      <c r="AD274" s="81">
        <v>1.1089424718414918</v>
      </c>
      <c r="AE274" s="81">
        <v>0</v>
      </c>
      <c r="AF274" s="81">
        <v>1.3731777639195319</v>
      </c>
      <c r="AG274" s="81">
        <v>0.64074231348282451</v>
      </c>
      <c r="AH274" s="81">
        <v>24.970682588030691</v>
      </c>
      <c r="AI274" s="81">
        <v>1.0475727011153599</v>
      </c>
      <c r="AJ274" s="81">
        <v>24.076467126919237</v>
      </c>
      <c r="AK274" s="81">
        <v>23.476371694237759</v>
      </c>
      <c r="AL274" s="81">
        <v>30.384997607468943</v>
      </c>
      <c r="AM274" s="81">
        <v>0</v>
      </c>
      <c r="AN274" s="81">
        <v>0</v>
      </c>
      <c r="AO274" s="81">
        <v>0</v>
      </c>
      <c r="AP274" s="81">
        <v>1.2208213701158352</v>
      </c>
      <c r="AQ274" s="81">
        <v>0</v>
      </c>
      <c r="AR274" s="81">
        <v>0</v>
      </c>
      <c r="AS274" s="81">
        <v>0</v>
      </c>
      <c r="AT274" s="81">
        <v>0</v>
      </c>
      <c r="AU274" s="81">
        <v>0</v>
      </c>
      <c r="AV274" s="81">
        <v>11.255708183775171</v>
      </c>
      <c r="AW274" s="81">
        <v>3.7405423116563266E-2</v>
      </c>
      <c r="AX274" s="81">
        <v>0.35436238415177257</v>
      </c>
      <c r="AY274" s="81">
        <v>0</v>
      </c>
      <c r="AZ274" s="81">
        <v>0</v>
      </c>
      <c r="BA274" s="81">
        <v>0</v>
      </c>
      <c r="BB274" s="81">
        <v>1.1865607931980701E-2</v>
      </c>
      <c r="BC274" s="81">
        <v>33.600232552912928</v>
      </c>
      <c r="BD274" s="81">
        <v>0.42200660103543342</v>
      </c>
      <c r="BE274" s="81">
        <v>21.86358143352577</v>
      </c>
      <c r="BF274" s="128">
        <v>0</v>
      </c>
    </row>
    <row r="275" spans="1:58">
      <c r="A275" s="170" t="s">
        <v>377</v>
      </c>
      <c r="B275" s="82">
        <v>0</v>
      </c>
      <c r="C275" s="81">
        <v>4.8982690036823575</v>
      </c>
      <c r="D275" s="81">
        <v>164.88147506622479</v>
      </c>
      <c r="E275" s="81">
        <v>28.608110053073148</v>
      </c>
      <c r="F275" s="81">
        <v>4.5045083270434905</v>
      </c>
      <c r="G275" s="81">
        <v>170.09934812274471</v>
      </c>
      <c r="H275" s="81">
        <v>0</v>
      </c>
      <c r="I275" s="81">
        <v>0</v>
      </c>
      <c r="J275" s="81">
        <v>38.704521925499137</v>
      </c>
      <c r="K275" s="81">
        <v>249.94316598692225</v>
      </c>
      <c r="L275" s="81">
        <v>36.740021214872087</v>
      </c>
      <c r="M275" s="81">
        <v>30.13913367688744</v>
      </c>
      <c r="N275" s="81">
        <v>903.07427449037993</v>
      </c>
      <c r="O275" s="81">
        <v>1402.4895713128747</v>
      </c>
      <c r="P275" s="81">
        <v>50.144300399695581</v>
      </c>
      <c r="Q275" s="81">
        <v>0</v>
      </c>
      <c r="R275" s="81">
        <v>11.114898693915801</v>
      </c>
      <c r="S275" s="81">
        <v>62.352523278821437</v>
      </c>
      <c r="T275" s="81">
        <v>30.784688875009927</v>
      </c>
      <c r="U275" s="81">
        <v>260.01276413008395</v>
      </c>
      <c r="V275" s="81">
        <v>0</v>
      </c>
      <c r="W275" s="81">
        <v>150.13579795960095</v>
      </c>
      <c r="X275" s="81">
        <v>0.55574493469579012</v>
      </c>
      <c r="Y275" s="81">
        <v>0</v>
      </c>
      <c r="Z275" s="81">
        <v>0</v>
      </c>
      <c r="AA275" s="81">
        <v>42.171814490240223</v>
      </c>
      <c r="AB275" s="81">
        <v>167.44759599560103</v>
      </c>
      <c r="AC275" s="81">
        <v>0.55574493469579012</v>
      </c>
      <c r="AD275" s="81">
        <v>8.4407410983050823</v>
      </c>
      <c r="AE275" s="81">
        <v>0</v>
      </c>
      <c r="AF275" s="81">
        <v>11.114898693915801</v>
      </c>
      <c r="AG275" s="81">
        <v>5.0399443122574077</v>
      </c>
      <c r="AH275" s="81">
        <v>240.57156327890297</v>
      </c>
      <c r="AI275" s="81">
        <v>10.589375396234137</v>
      </c>
      <c r="AJ275" s="81">
        <v>49.213671077165344</v>
      </c>
      <c r="AK275" s="81">
        <v>63.747222652540799</v>
      </c>
      <c r="AL275" s="81">
        <v>272.06105827943986</v>
      </c>
      <c r="AM275" s="81">
        <v>0</v>
      </c>
      <c r="AN275" s="81">
        <v>0</v>
      </c>
      <c r="AO275" s="81">
        <v>0</v>
      </c>
      <c r="AP275" s="81">
        <v>11.87125267134882</v>
      </c>
      <c r="AQ275" s="81">
        <v>0</v>
      </c>
      <c r="AR275" s="81">
        <v>0</v>
      </c>
      <c r="AS275" s="81">
        <v>0</v>
      </c>
      <c r="AT275" s="81">
        <v>0</v>
      </c>
      <c r="AU275" s="81">
        <v>0</v>
      </c>
      <c r="AV275" s="81">
        <v>112.95647021759038</v>
      </c>
      <c r="AW275" s="81">
        <v>9.4079460929413966E-2</v>
      </c>
      <c r="AX275" s="81">
        <v>3.7094318371553774</v>
      </c>
      <c r="AY275" s="81">
        <v>0</v>
      </c>
      <c r="AZ275" s="81">
        <v>0</v>
      </c>
      <c r="BA275" s="81">
        <v>0</v>
      </c>
      <c r="BB275" s="81">
        <v>6.1812903489539578E-2</v>
      </c>
      <c r="BC275" s="81">
        <v>249.94316598692225</v>
      </c>
      <c r="BD275" s="81">
        <v>3.690638509308672</v>
      </c>
      <c r="BE275" s="81">
        <v>224.8110383730677</v>
      </c>
      <c r="BF275" s="128">
        <v>0</v>
      </c>
    </row>
    <row r="276" spans="1:58">
      <c r="A276" s="170" t="s">
        <v>378</v>
      </c>
      <c r="B276" s="82">
        <v>0</v>
      </c>
      <c r="C276" s="81">
        <v>3.3048118371344234E-2</v>
      </c>
      <c r="D276" s="81">
        <v>0.78739933135936258</v>
      </c>
      <c r="E276" s="81">
        <v>1.4473194166653673</v>
      </c>
      <c r="F276" s="81">
        <v>4.4771509514447499E-2</v>
      </c>
      <c r="G276" s="81">
        <v>0.97660870904265074</v>
      </c>
      <c r="H276" s="81">
        <v>0</v>
      </c>
      <c r="I276" s="81">
        <v>0</v>
      </c>
      <c r="J276" s="81">
        <v>1.062284869153957</v>
      </c>
      <c r="K276" s="81">
        <v>2.6023104699107305</v>
      </c>
      <c r="L276" s="81">
        <v>0.15919165824889356</v>
      </c>
      <c r="M276" s="81">
        <v>0.13327718991144727</v>
      </c>
      <c r="N276" s="81">
        <v>3.6765462761890242</v>
      </c>
      <c r="O276" s="81">
        <v>6.2018991968582036</v>
      </c>
      <c r="P276" s="81">
        <v>0.30187904326260323</v>
      </c>
      <c r="Q276" s="81">
        <v>0</v>
      </c>
      <c r="R276" s="81">
        <v>9.8598930343859345E-2</v>
      </c>
      <c r="S276" s="81">
        <v>0.6373439856811951</v>
      </c>
      <c r="T276" s="81">
        <v>0.47573749670884113</v>
      </c>
      <c r="U276" s="81">
        <v>1.5462563790025752</v>
      </c>
      <c r="V276" s="81">
        <v>0</v>
      </c>
      <c r="W276" s="81">
        <v>0.69832761435099466</v>
      </c>
      <c r="X276" s="81">
        <v>4.9299465171929674E-3</v>
      </c>
      <c r="Y276" s="81">
        <v>0</v>
      </c>
      <c r="Z276" s="81">
        <v>0</v>
      </c>
      <c r="AA276" s="81">
        <v>0.22898928503381233</v>
      </c>
      <c r="AB276" s="81">
        <v>3.1252212327724962</v>
      </c>
      <c r="AC276" s="81">
        <v>4.9299465171929674E-3</v>
      </c>
      <c r="AD276" s="81">
        <v>0.14249999288838777</v>
      </c>
      <c r="AE276" s="81">
        <v>0</v>
      </c>
      <c r="AF276" s="81">
        <v>9.8598930343859345E-2</v>
      </c>
      <c r="AG276" s="81">
        <v>4.336626239024035E-2</v>
      </c>
      <c r="AH276" s="81">
        <v>1.6866748097778392</v>
      </c>
      <c r="AI276" s="81">
        <v>5.9914029346697921E-2</v>
      </c>
      <c r="AJ276" s="81">
        <v>1.6267539417790062</v>
      </c>
      <c r="AK276" s="81">
        <v>1.7171175173328237</v>
      </c>
      <c r="AL276" s="81">
        <v>2.973290192343939</v>
      </c>
      <c r="AM276" s="81">
        <v>0</v>
      </c>
      <c r="AN276" s="81">
        <v>0</v>
      </c>
      <c r="AO276" s="81">
        <v>0</v>
      </c>
      <c r="AP276" s="81">
        <v>0.13387587301206622</v>
      </c>
      <c r="AQ276" s="81">
        <v>0</v>
      </c>
      <c r="AR276" s="81">
        <v>0</v>
      </c>
      <c r="AS276" s="81">
        <v>0</v>
      </c>
      <c r="AT276" s="81">
        <v>0</v>
      </c>
      <c r="AU276" s="81">
        <v>0</v>
      </c>
      <c r="AV276" s="81">
        <v>0.63306514751528653</v>
      </c>
      <c r="AW276" s="81">
        <v>4.6559322179087698E-3</v>
      </c>
      <c r="AX276" s="81">
        <v>1.6403346450639664E-2</v>
      </c>
      <c r="AY276" s="81">
        <v>0</v>
      </c>
      <c r="AZ276" s="81">
        <v>0</v>
      </c>
      <c r="BA276" s="81">
        <v>0</v>
      </c>
      <c r="BB276" s="81">
        <v>1.1713970802974282E-3</v>
      </c>
      <c r="BC276" s="81">
        <v>2.6023104699107305</v>
      </c>
      <c r="BD276" s="81">
        <v>2.4933195030672799E-2</v>
      </c>
      <c r="BE276" s="81">
        <v>1.0537107939945844</v>
      </c>
      <c r="BF276" s="128">
        <v>0</v>
      </c>
    </row>
    <row r="277" spans="1:58">
      <c r="A277" s="171" t="s">
        <v>379</v>
      </c>
      <c r="B277" s="89">
        <v>0</v>
      </c>
      <c r="C277" s="91">
        <v>0.15208875484613485</v>
      </c>
      <c r="D277" s="91">
        <v>4.3881468343401551</v>
      </c>
      <c r="E277" s="91">
        <v>1.9718527003108031</v>
      </c>
      <c r="F277" s="91">
        <v>0.22167641117358938</v>
      </c>
      <c r="G277" s="91">
        <v>4.6851037234530883</v>
      </c>
      <c r="H277" s="91">
        <v>0</v>
      </c>
      <c r="I277" s="91">
        <v>0</v>
      </c>
      <c r="J277" s="91">
        <v>1.8528202175483717</v>
      </c>
      <c r="K277" s="91">
        <v>7.9582141178287618</v>
      </c>
      <c r="L277" s="91">
        <v>1.0285829412451546</v>
      </c>
      <c r="M277" s="91">
        <v>0.7926150601939761</v>
      </c>
      <c r="N277" s="91">
        <v>13.908833270076777</v>
      </c>
      <c r="O277" s="91">
        <v>36.883421000254174</v>
      </c>
      <c r="P277" s="91">
        <v>1.4358204571378761</v>
      </c>
      <c r="Q277" s="91">
        <v>0</v>
      </c>
      <c r="R277" s="91">
        <v>0.36722859462273327</v>
      </c>
      <c r="S277" s="91">
        <v>2.1853153573395221</v>
      </c>
      <c r="T277" s="91">
        <v>1.3358348185297984</v>
      </c>
      <c r="U277" s="91">
        <v>7.5207113856177834</v>
      </c>
      <c r="V277" s="91">
        <v>0</v>
      </c>
      <c r="W277" s="91">
        <v>3.9783114482424886</v>
      </c>
      <c r="X277" s="91">
        <v>1.8361429731136664E-2</v>
      </c>
      <c r="Y277" s="91">
        <v>0</v>
      </c>
      <c r="Z277" s="91">
        <v>0</v>
      </c>
      <c r="AA277" s="91">
        <v>1.2377163106127675</v>
      </c>
      <c r="AB277" s="91">
        <v>14.859964846781711</v>
      </c>
      <c r="AC277" s="91">
        <v>1.8361429731136664E-2</v>
      </c>
      <c r="AD277" s="91">
        <v>0.4204733718494777</v>
      </c>
      <c r="AE277" s="91">
        <v>0</v>
      </c>
      <c r="AF277" s="91">
        <v>0.36722859462273327</v>
      </c>
      <c r="AG277" s="91">
        <v>0.15272726252131461</v>
      </c>
      <c r="AH277" s="91">
        <v>7.4603343183099202</v>
      </c>
      <c r="AI277" s="91">
        <v>0.28835753838070327</v>
      </c>
      <c r="AJ277" s="91">
        <v>7.4914723945275226</v>
      </c>
      <c r="AK277" s="91">
        <v>3.8475708365973582</v>
      </c>
      <c r="AL277" s="91">
        <v>9.8966893229844999</v>
      </c>
      <c r="AM277" s="91">
        <v>0</v>
      </c>
      <c r="AN277" s="91">
        <v>0</v>
      </c>
      <c r="AO277" s="91">
        <v>0</v>
      </c>
      <c r="AP277" s="91">
        <v>0.39858862124622418</v>
      </c>
      <c r="AQ277" s="91">
        <v>0</v>
      </c>
      <c r="AR277" s="91">
        <v>0</v>
      </c>
      <c r="AS277" s="91">
        <v>0</v>
      </c>
      <c r="AT277" s="91">
        <v>0</v>
      </c>
      <c r="AU277" s="91">
        <v>0</v>
      </c>
      <c r="AV277" s="91">
        <v>3.1536515073482234</v>
      </c>
      <c r="AW277" s="91">
        <v>6.6550616399415558E-3</v>
      </c>
      <c r="AX277" s="91">
        <v>9.7552622793104754E-2</v>
      </c>
      <c r="AY277" s="91">
        <v>0</v>
      </c>
      <c r="AZ277" s="91">
        <v>0</v>
      </c>
      <c r="BA277" s="91">
        <v>0</v>
      </c>
      <c r="BB277" s="91">
        <v>2.511098732977923E-3</v>
      </c>
      <c r="BC277" s="91">
        <v>7.9582141178287618</v>
      </c>
      <c r="BD277" s="91">
        <v>0.12764033981656925</v>
      </c>
      <c r="BE277" s="91">
        <v>5.9674903295755373</v>
      </c>
      <c r="BF277" s="134">
        <v>0</v>
      </c>
    </row>
    <row r="279" spans="1:58">
      <c r="A279" s="143" t="s">
        <v>395</v>
      </c>
    </row>
    <row r="280" spans="1:58" ht="30.75" customHeight="1">
      <c r="A280" s="1239"/>
      <c r="B280" s="1242" t="s">
        <v>396</v>
      </c>
      <c r="C280" s="1243"/>
      <c r="D280" s="1243"/>
      <c r="E280" s="1243"/>
      <c r="F280" s="1243"/>
      <c r="G280" s="1243"/>
      <c r="H280" s="1243"/>
      <c r="I280" s="1243"/>
      <c r="J280" s="1243"/>
      <c r="K280" s="1243"/>
      <c r="L280" s="1243"/>
      <c r="M280" s="1243"/>
      <c r="N280" s="1244"/>
      <c r="O280" s="1242" t="s">
        <v>397</v>
      </c>
      <c r="P280" s="1243"/>
      <c r="Q280" s="1243"/>
      <c r="R280" s="1243"/>
      <c r="S280" s="1243"/>
      <c r="T280" s="1243"/>
      <c r="U280" s="1243"/>
      <c r="V280" s="1243"/>
      <c r="W280" s="1244"/>
      <c r="X280" s="1245" t="s">
        <v>398</v>
      </c>
      <c r="Y280" s="1246"/>
      <c r="Z280" s="1246"/>
      <c r="AA280" s="1246"/>
      <c r="AB280" s="1246"/>
      <c r="AC280" s="1246"/>
      <c r="AD280" s="1246"/>
      <c r="AE280" s="1246"/>
      <c r="AF280" s="1251"/>
      <c r="AG280" s="1242" t="s">
        <v>399</v>
      </c>
      <c r="AH280" s="1243"/>
      <c r="AI280" s="1243"/>
      <c r="AJ280" s="1243"/>
      <c r="AK280" s="1244"/>
      <c r="AL280" s="1242" t="s">
        <v>424</v>
      </c>
      <c r="AM280" s="1243"/>
      <c r="AN280" s="1243"/>
      <c r="AO280" s="1243"/>
      <c r="AP280" s="1243"/>
      <c r="AQ280" s="1244"/>
      <c r="AR280" s="1242" t="s">
        <v>436</v>
      </c>
      <c r="AS280" s="1243"/>
      <c r="AT280" s="1243"/>
      <c r="AU280" s="1243"/>
      <c r="AV280" s="1243"/>
      <c r="AW280" s="1244"/>
      <c r="AX280" s="1242" t="s">
        <v>437</v>
      </c>
      <c r="AY280" s="1243"/>
      <c r="AZ280" s="1243"/>
      <c r="BA280" s="1244"/>
    </row>
    <row r="281" spans="1:58" ht="13.2" customHeight="1">
      <c r="A281" s="1240"/>
      <c r="B281" s="1252" t="s">
        <v>401</v>
      </c>
      <c r="C281" s="1253"/>
      <c r="D281" s="1253"/>
      <c r="E281" s="1253"/>
      <c r="F281" s="1253"/>
      <c r="G281" s="1253"/>
      <c r="H281" s="1254"/>
      <c r="I281" s="1242" t="s">
        <v>402</v>
      </c>
      <c r="J281" s="1243"/>
      <c r="K281" s="1243"/>
      <c r="L281" s="1243"/>
      <c r="M281" s="1243"/>
      <c r="N281" s="1244"/>
      <c r="O281" s="1242" t="s">
        <v>401</v>
      </c>
      <c r="P281" s="1243"/>
      <c r="Q281" s="1243"/>
      <c r="R281" s="1243"/>
      <c r="S281" s="1244"/>
      <c r="T281" s="1242" t="s">
        <v>402</v>
      </c>
      <c r="U281" s="1243"/>
      <c r="V281" s="1243"/>
      <c r="W281" s="1244"/>
      <c r="X281" s="1242" t="s">
        <v>401</v>
      </c>
      <c r="Y281" s="1243"/>
      <c r="Z281" s="1243"/>
      <c r="AA281" s="1243"/>
      <c r="AB281" s="1244"/>
      <c r="AC281" s="1242" t="s">
        <v>402</v>
      </c>
      <c r="AD281" s="1243"/>
      <c r="AE281" s="1243"/>
      <c r="AF281" s="1244"/>
      <c r="AG281" s="1239" t="s">
        <v>403</v>
      </c>
      <c r="AH281" s="1242" t="s">
        <v>404</v>
      </c>
      <c r="AI281" s="1243"/>
      <c r="AJ281" s="1244"/>
      <c r="AK281" s="1239" t="s">
        <v>190</v>
      </c>
      <c r="AL281" s="1242" t="s">
        <v>438</v>
      </c>
      <c r="AM281" s="1244"/>
      <c r="AN281" s="1242" t="s">
        <v>439</v>
      </c>
      <c r="AO281" s="1244"/>
      <c r="AP281" s="1242" t="s">
        <v>440</v>
      </c>
      <c r="AQ281" s="1244"/>
      <c r="AR281" s="1242" t="s">
        <v>429</v>
      </c>
      <c r="AS281" s="1244"/>
      <c r="AT281" s="1242" t="s">
        <v>430</v>
      </c>
      <c r="AU281" s="1244"/>
      <c r="AV281" s="1242" t="s">
        <v>431</v>
      </c>
      <c r="AW281" s="1244"/>
      <c r="AX281" s="269" t="s">
        <v>441</v>
      </c>
      <c r="AY281" s="269" t="s">
        <v>11</v>
      </c>
      <c r="AZ281" s="269" t="s">
        <v>442</v>
      </c>
      <c r="BA281" s="269" t="s">
        <v>443</v>
      </c>
    </row>
    <row r="282" spans="1:58" ht="79.8">
      <c r="A282" s="1241"/>
      <c r="B282" s="215" t="s">
        <v>182</v>
      </c>
      <c r="C282" s="216" t="s">
        <v>413</v>
      </c>
      <c r="D282" s="216" t="s">
        <v>414</v>
      </c>
      <c r="E282" s="216" t="s">
        <v>415</v>
      </c>
      <c r="F282" s="216" t="s">
        <v>334</v>
      </c>
      <c r="G282" s="216" t="s">
        <v>186</v>
      </c>
      <c r="H282" s="217" t="s">
        <v>416</v>
      </c>
      <c r="I282" s="215" t="s">
        <v>182</v>
      </c>
      <c r="J282" s="216" t="s">
        <v>413</v>
      </c>
      <c r="K282" s="216" t="s">
        <v>414</v>
      </c>
      <c r="L282" s="216" t="s">
        <v>415</v>
      </c>
      <c r="M282" s="216" t="s">
        <v>186</v>
      </c>
      <c r="N282" s="217" t="s">
        <v>416</v>
      </c>
      <c r="O282" s="215" t="s">
        <v>182</v>
      </c>
      <c r="P282" s="216" t="s">
        <v>417</v>
      </c>
      <c r="Q282" s="216" t="s">
        <v>185</v>
      </c>
      <c r="R282" s="216" t="s">
        <v>186</v>
      </c>
      <c r="S282" s="217" t="s">
        <v>416</v>
      </c>
      <c r="T282" s="215" t="s">
        <v>182</v>
      </c>
      <c r="U282" s="216" t="s">
        <v>417</v>
      </c>
      <c r="V282" s="216" t="s">
        <v>186</v>
      </c>
      <c r="W282" s="217" t="s">
        <v>416</v>
      </c>
      <c r="X282" s="215" t="s">
        <v>182</v>
      </c>
      <c r="Y282" s="216" t="s">
        <v>417</v>
      </c>
      <c r="Z282" s="216" t="s">
        <v>334</v>
      </c>
      <c r="AA282" s="216" t="s">
        <v>186</v>
      </c>
      <c r="AB282" s="217" t="s">
        <v>416</v>
      </c>
      <c r="AC282" s="215" t="s">
        <v>182</v>
      </c>
      <c r="AD282" s="216" t="s">
        <v>417</v>
      </c>
      <c r="AE282" s="216" t="s">
        <v>186</v>
      </c>
      <c r="AF282" s="217" t="s">
        <v>416</v>
      </c>
      <c r="AG282" s="1241"/>
      <c r="AH282" s="215" t="s">
        <v>418</v>
      </c>
      <c r="AI282" s="216" t="s">
        <v>419</v>
      </c>
      <c r="AJ282" s="217" t="s">
        <v>420</v>
      </c>
      <c r="AK282" s="1241"/>
      <c r="AL282" s="215" t="s">
        <v>444</v>
      </c>
      <c r="AM282" s="216" t="s">
        <v>445</v>
      </c>
      <c r="AN282" s="215" t="s">
        <v>444</v>
      </c>
      <c r="AO282" s="216" t="s">
        <v>445</v>
      </c>
      <c r="AP282" s="215" t="s">
        <v>444</v>
      </c>
      <c r="AQ282" s="217" t="s">
        <v>445</v>
      </c>
      <c r="AR282" s="215" t="s">
        <v>186</v>
      </c>
      <c r="AS282" s="217" t="s">
        <v>336</v>
      </c>
      <c r="AT282" s="215" t="s">
        <v>186</v>
      </c>
      <c r="AU282" s="217" t="s">
        <v>336</v>
      </c>
      <c r="AV282" s="215" t="s">
        <v>186</v>
      </c>
      <c r="AW282" s="217" t="s">
        <v>336</v>
      </c>
      <c r="AX282" s="153"/>
      <c r="AY282" s="204"/>
      <c r="AZ282" s="204"/>
      <c r="BA282" s="204"/>
    </row>
    <row r="283" spans="1:58">
      <c r="A283" s="145" t="s">
        <v>388</v>
      </c>
      <c r="B283" s="169"/>
      <c r="C283" s="236"/>
      <c r="D283" s="236"/>
      <c r="E283" s="236"/>
      <c r="F283" s="236"/>
      <c r="G283" s="236"/>
      <c r="H283" s="226"/>
      <c r="O283" s="169"/>
      <c r="P283" s="236"/>
      <c r="Q283" s="236"/>
      <c r="R283" s="236"/>
      <c r="S283" s="226"/>
      <c r="X283" s="169"/>
      <c r="Y283" s="236"/>
      <c r="Z283" s="236"/>
      <c r="AA283" s="236"/>
      <c r="AB283" s="226"/>
      <c r="AG283" s="153"/>
      <c r="AK283" s="153"/>
      <c r="AL283" s="169"/>
      <c r="AM283" s="236"/>
      <c r="AN283" s="169"/>
      <c r="AO283" s="236"/>
      <c r="AP283" s="169"/>
      <c r="AQ283" s="226"/>
      <c r="AR283" s="169"/>
      <c r="AS283" s="226"/>
      <c r="AT283" s="169"/>
      <c r="AU283" s="226"/>
      <c r="AV283" s="169"/>
      <c r="AW283" s="226"/>
      <c r="AX283" s="270" t="s">
        <v>446</v>
      </c>
      <c r="AY283" s="270" t="s">
        <v>446</v>
      </c>
      <c r="AZ283" s="270" t="s">
        <v>446</v>
      </c>
      <c r="BA283" s="270" t="s">
        <v>446</v>
      </c>
    </row>
    <row r="284" spans="1:58">
      <c r="A284" s="158" t="s">
        <v>368</v>
      </c>
      <c r="B284" s="160">
        <v>9.9816689259519392E-2</v>
      </c>
      <c r="C284" s="137">
        <v>10.32956108632378</v>
      </c>
      <c r="D284" s="137">
        <v>14.029693369488067</v>
      </c>
      <c r="E284" s="137">
        <v>12.327632519232495</v>
      </c>
      <c r="F284" s="137">
        <v>28.277029373535729</v>
      </c>
      <c r="G284" s="137">
        <v>80.145033771358399</v>
      </c>
      <c r="H284" s="159">
        <v>1.288020109685369</v>
      </c>
      <c r="I284" s="137">
        <v>9.9816689259519392E-2</v>
      </c>
      <c r="J284" s="137">
        <v>10.552551570129546</v>
      </c>
      <c r="K284" s="137">
        <v>14.313871483809919</v>
      </c>
      <c r="L284" s="137">
        <v>12.583664323516949</v>
      </c>
      <c r="M284" s="137">
        <v>104.2679182795404</v>
      </c>
      <c r="N284" s="137">
        <v>105.55593838922576</v>
      </c>
      <c r="O284" s="160">
        <v>0.1003854931251011</v>
      </c>
      <c r="P284" s="137">
        <v>14.059558251016917</v>
      </c>
      <c r="Q284" s="137">
        <v>28.372206672394515</v>
      </c>
      <c r="R284" s="137">
        <v>113.77446756454081</v>
      </c>
      <c r="S284" s="159">
        <v>1.3083560825756835</v>
      </c>
      <c r="T284" s="137">
        <v>0.1003854931251011</v>
      </c>
      <c r="U284" s="137">
        <v>14.34535574994408</v>
      </c>
      <c r="V284" s="137">
        <v>141.27451453718362</v>
      </c>
      <c r="W284" s="137">
        <v>142.58287061975929</v>
      </c>
      <c r="X284" s="160">
        <v>9.9923396864702516E-2</v>
      </c>
      <c r="Y284" s="137">
        <v>12.652541786515252</v>
      </c>
      <c r="Z284" s="137">
        <v>28.294884634801637</v>
      </c>
      <c r="AA284" s="137">
        <v>86.453915550959422</v>
      </c>
      <c r="AB284" s="159">
        <v>1.2918351381995918</v>
      </c>
      <c r="AC284" s="137">
        <v>9.9923396864702516E-2</v>
      </c>
      <c r="AD284" s="137">
        <v>12.91413319047758</v>
      </c>
      <c r="AE284" s="137">
        <v>111.21030887710495</v>
      </c>
      <c r="AF284" s="137">
        <v>112.50214401530454</v>
      </c>
      <c r="AG284" s="177">
        <v>7.2345197421134255</v>
      </c>
      <c r="AH284" s="137">
        <v>12.199193037166918</v>
      </c>
      <c r="AI284" s="137">
        <v>14.057945035139703</v>
      </c>
      <c r="AJ284" s="137">
        <v>12.547892559596074</v>
      </c>
      <c r="AK284" s="177">
        <v>10.181270200562627</v>
      </c>
      <c r="AL284" s="271">
        <v>118.20434669090425</v>
      </c>
      <c r="AM284" s="138">
        <v>20.646547798002757</v>
      </c>
      <c r="AN284" s="160">
        <v>156.89749087181178</v>
      </c>
      <c r="AO284" s="137">
        <v>22.58894363588432</v>
      </c>
      <c r="AP284" s="160">
        <v>125.4631805392425</v>
      </c>
      <c r="AQ284" s="159">
        <v>21.010941257189337</v>
      </c>
      <c r="AR284" s="271">
        <v>156.33767276579698</v>
      </c>
      <c r="AS284" s="161">
        <v>157.62569287548234</v>
      </c>
      <c r="AT284" s="271">
        <v>142.70062586585263</v>
      </c>
      <c r="AU284" s="161">
        <v>143.98864597553799</v>
      </c>
      <c r="AV284" s="271">
        <v>88.267904946581382</v>
      </c>
      <c r="AW284" s="161">
        <v>89.555925056266744</v>
      </c>
      <c r="AX284" s="272">
        <v>105.55593838922576</v>
      </c>
      <c r="AY284" s="272">
        <v>157.62569287548234</v>
      </c>
      <c r="AZ284" s="272">
        <v>143.98864597553799</v>
      </c>
      <c r="BA284" s="272">
        <v>89.555925056266744</v>
      </c>
    </row>
    <row r="285" spans="1:58">
      <c r="A285" s="158" t="s">
        <v>369</v>
      </c>
      <c r="B285" s="160">
        <v>9.7362401954790331E-2</v>
      </c>
      <c r="C285" s="137">
        <v>10.048753115309577</v>
      </c>
      <c r="D285" s="137">
        <v>13.035472832560114</v>
      </c>
      <c r="E285" s="137">
        <v>11.661581762624866</v>
      </c>
      <c r="F285" s="137">
        <v>27.818678726192445</v>
      </c>
      <c r="G285" s="137">
        <v>40.199703319891071</v>
      </c>
      <c r="H285" s="159">
        <v>1.2148487698591328</v>
      </c>
      <c r="I285" s="137">
        <v>9.7362401954790331E-2</v>
      </c>
      <c r="J285" s="137">
        <v>10.266260721276579</v>
      </c>
      <c r="K285" s="137">
        <v>13.312663590925402</v>
      </c>
      <c r="L285" s="137">
        <v>11.911318270886945</v>
      </c>
      <c r="M285" s="137">
        <v>63.033700445181346</v>
      </c>
      <c r="N285" s="137">
        <v>64.248549215040484</v>
      </c>
      <c r="O285" s="160">
        <v>9.8173122753522149E-2</v>
      </c>
      <c r="P285" s="137">
        <v>13.560093608451258</v>
      </c>
      <c r="Q285" s="137">
        <v>27.954335708187493</v>
      </c>
      <c r="R285" s="137">
        <v>95.422744006231198</v>
      </c>
      <c r="S285" s="159">
        <v>1.2438337982357655</v>
      </c>
      <c r="T285" s="137">
        <v>9.8173122753522149E-2</v>
      </c>
      <c r="U285" s="137">
        <v>13.839592488930535</v>
      </c>
      <c r="V285" s="137">
        <v>121.95324280751103</v>
      </c>
      <c r="W285" s="137">
        <v>123.1970766057468</v>
      </c>
      <c r="X285" s="160">
        <v>9.7514493176632425E-2</v>
      </c>
      <c r="Y285" s="137">
        <v>12.017742584901896</v>
      </c>
      <c r="Z285" s="137">
        <v>27.844127976014715</v>
      </c>
      <c r="AA285" s="137">
        <v>50.559545752648475</v>
      </c>
      <c r="AB285" s="159">
        <v>1.2202863611825892</v>
      </c>
      <c r="AC285" s="137">
        <v>9.7514493176632425E-2</v>
      </c>
      <c r="AD285" s="137">
        <v>12.273027673050866</v>
      </c>
      <c r="AE285" s="137">
        <v>74.086939801886984</v>
      </c>
      <c r="AF285" s="137">
        <v>75.307226163069572</v>
      </c>
      <c r="AG285" s="177">
        <v>6.7563364486471809</v>
      </c>
      <c r="AH285" s="137">
        <v>9.6694708753147136</v>
      </c>
      <c r="AI285" s="137">
        <v>12.62868695032817</v>
      </c>
      <c r="AJ285" s="137">
        <v>10.224616458105775</v>
      </c>
      <c r="AK285" s="177">
        <v>9.3379232039998818</v>
      </c>
      <c r="AL285" s="271">
        <v>73.720497847607859</v>
      </c>
      <c r="AM285" s="138">
        <v>16.685360982594435</v>
      </c>
      <c r="AN285" s="160">
        <v>135.32170897089594</v>
      </c>
      <c r="AO285" s="137">
        <v>19.777741780983497</v>
      </c>
      <c r="AP285" s="160">
        <v>85.276885054336702</v>
      </c>
      <c r="AQ285" s="159">
        <v>17.265491620372224</v>
      </c>
      <c r="AR285" s="271">
        <v>146.10832198125169</v>
      </c>
      <c r="AS285" s="161">
        <v>147.32317075111084</v>
      </c>
      <c r="AT285" s="271">
        <v>128.44060668084936</v>
      </c>
      <c r="AU285" s="161">
        <v>129.6554554507085</v>
      </c>
      <c r="AV285" s="271">
        <v>44.825278920608596</v>
      </c>
      <c r="AW285" s="161">
        <v>46.040127690467727</v>
      </c>
      <c r="AX285" s="272">
        <v>64.248549215040484</v>
      </c>
      <c r="AY285" s="272">
        <v>147.32317075111084</v>
      </c>
      <c r="AZ285" s="272">
        <v>129.6554554507085</v>
      </c>
      <c r="BA285" s="272">
        <v>46.040127690467727</v>
      </c>
    </row>
    <row r="286" spans="1:58">
      <c r="A286" s="158" t="s">
        <v>361</v>
      </c>
      <c r="B286" s="160">
        <v>3.4970030939026802E-3</v>
      </c>
      <c r="C286" s="137">
        <v>0.51913544661741284</v>
      </c>
      <c r="D286" s="137">
        <v>7.6845649325746397</v>
      </c>
      <c r="E286" s="137">
        <v>4.3884673690343163</v>
      </c>
      <c r="F286" s="137">
        <v>4.5403647805985932</v>
      </c>
      <c r="G286" s="137">
        <v>26.317423907797114</v>
      </c>
      <c r="H286" s="159">
        <v>0.10485051388484037</v>
      </c>
      <c r="I286" s="137">
        <v>3.4970030939026802E-3</v>
      </c>
      <c r="J286" s="137">
        <v>0.52694775152919138</v>
      </c>
      <c r="K286" s="137">
        <v>7.6945209003829804</v>
      </c>
      <c r="L286" s="137">
        <v>4.3974372519102385</v>
      </c>
      <c r="M286" s="137">
        <v>34.747311119709039</v>
      </c>
      <c r="N286" s="137">
        <v>34.85216163359388</v>
      </c>
      <c r="O286" s="160">
        <v>2.3786369554616316E-3</v>
      </c>
      <c r="P286" s="137">
        <v>7.7591847720771394</v>
      </c>
      <c r="Q286" s="137">
        <v>4.3532298565363394</v>
      </c>
      <c r="R286" s="137">
        <v>20.126108620780336</v>
      </c>
      <c r="S286" s="159">
        <v>6.4866496811532268E-2</v>
      </c>
      <c r="T286" s="137">
        <v>2.3786369554616316E-3</v>
      </c>
      <c r="U286" s="137">
        <v>7.7659567514893384</v>
      </c>
      <c r="V286" s="137">
        <v>35.013447713385396</v>
      </c>
      <c r="W286" s="137">
        <v>35.078314210196929</v>
      </c>
      <c r="X286" s="160">
        <v>3.2871976063311393E-3</v>
      </c>
      <c r="Y286" s="137">
        <v>5.0208139538451499</v>
      </c>
      <c r="Z286" s="137">
        <v>4.5052582688445142</v>
      </c>
      <c r="AA286" s="137">
        <v>25.155933159952767</v>
      </c>
      <c r="AB286" s="159">
        <v>9.7349512281887776E-2</v>
      </c>
      <c r="AC286" s="137">
        <v>3.2871976063311393E-3</v>
      </c>
      <c r="AD286" s="137">
        <v>5.0294195723881829</v>
      </c>
      <c r="AE286" s="137">
        <v>34.797330480220914</v>
      </c>
      <c r="AF286" s="137">
        <v>34.894679992502802</v>
      </c>
      <c r="AG286" s="177">
        <v>0.57461153601828174</v>
      </c>
      <c r="AH286" s="137">
        <v>2.2976429970606498</v>
      </c>
      <c r="AI286" s="137">
        <v>2.3089958564061233</v>
      </c>
      <c r="AJ286" s="137">
        <v>2.2997774186778779</v>
      </c>
      <c r="AK286" s="177">
        <v>1.306311337823812</v>
      </c>
      <c r="AL286" s="271">
        <v>38.309135552622863</v>
      </c>
      <c r="AM286" s="138">
        <v>4.2896635774456415</v>
      </c>
      <c r="AN286" s="160">
        <v>38.545464995173049</v>
      </c>
      <c r="AO286" s="137">
        <v>4.3015273154616613</v>
      </c>
      <c r="AP286" s="160">
        <v>38.353470956045278</v>
      </c>
      <c r="AQ286" s="159">
        <v>4.2918892146974468</v>
      </c>
      <c r="AR286" s="271">
        <v>114.99857926171325</v>
      </c>
      <c r="AS286" s="161">
        <v>115.10342977559809</v>
      </c>
      <c r="AT286" s="271">
        <v>87.45097040413755</v>
      </c>
      <c r="AU286" s="161">
        <v>87.555820918022391</v>
      </c>
      <c r="AV286" s="271">
        <v>11.333608923473651</v>
      </c>
      <c r="AW286" s="161">
        <v>11.438459437358492</v>
      </c>
      <c r="AX286" s="272">
        <v>34.85216163359388</v>
      </c>
      <c r="AY286" s="272">
        <v>115.10342977559809</v>
      </c>
      <c r="AZ286" s="272">
        <v>87.555820918022391</v>
      </c>
      <c r="BA286" s="272">
        <v>11.438459437358492</v>
      </c>
    </row>
    <row r="287" spans="1:58">
      <c r="A287" s="158" t="s">
        <v>360</v>
      </c>
      <c r="B287" s="160">
        <v>1.2906812436709492E-2</v>
      </c>
      <c r="C287" s="137">
        <v>9.4422401324337493</v>
      </c>
      <c r="D287" s="137">
        <v>3.902814222872967</v>
      </c>
      <c r="E287" s="137">
        <v>6.4509501412709263</v>
      </c>
      <c r="F287" s="137">
        <v>4.0082232533932247</v>
      </c>
      <c r="G287" s="137">
        <v>5.1962970494761311</v>
      </c>
      <c r="H287" s="159">
        <v>0.99062768067730245</v>
      </c>
      <c r="I287" s="137">
        <v>1.2906812436709492E-2</v>
      </c>
      <c r="J287" s="137">
        <v>9.4710739514173579</v>
      </c>
      <c r="K287" s="137">
        <v>3.9395599178802789</v>
      </c>
      <c r="L287" s="137">
        <v>6.484056373307336</v>
      </c>
      <c r="M287" s="137">
        <v>17.626233117106295</v>
      </c>
      <c r="N287" s="137">
        <v>18.616860797783598</v>
      </c>
      <c r="O287" s="160">
        <v>1.459027051370021E-2</v>
      </c>
      <c r="P287" s="137">
        <v>4.5834534275518095</v>
      </c>
      <c r="Q287" s="137">
        <v>4.2899143638186423</v>
      </c>
      <c r="R287" s="137">
        <v>63.527969150253639</v>
      </c>
      <c r="S287" s="159">
        <v>1.0508149611920932</v>
      </c>
      <c r="T287" s="137">
        <v>1.459027051370021E-2</v>
      </c>
      <c r="U287" s="137">
        <v>4.6249919277043139</v>
      </c>
      <c r="V287" s="137">
        <v>72.394078675662811</v>
      </c>
      <c r="W287" s="137">
        <v>73.4448936368549</v>
      </c>
      <c r="X287" s="160">
        <v>1.3222629171952952E-2</v>
      </c>
      <c r="Y287" s="137">
        <v>6.1006077577772198</v>
      </c>
      <c r="Z287" s="137">
        <v>4.0610685057090326</v>
      </c>
      <c r="AA287" s="137">
        <v>16.139318735581991</v>
      </c>
      <c r="AB287" s="159">
        <v>1.0019188145018771</v>
      </c>
      <c r="AC287" s="137">
        <v>1.3222629171952952E-2</v>
      </c>
      <c r="AD287" s="137">
        <v>6.1352235358401677</v>
      </c>
      <c r="AE287" s="137">
        <v>27.900542253787592</v>
      </c>
      <c r="AF287" s="137">
        <v>28.902461068289469</v>
      </c>
      <c r="AG287" s="177">
        <v>6.0491300123093934</v>
      </c>
      <c r="AH287" s="137">
        <v>6.7042266177894358</v>
      </c>
      <c r="AI287" s="137">
        <v>9.4565938663108149</v>
      </c>
      <c r="AJ287" s="137">
        <v>7.2205637513688306</v>
      </c>
      <c r="AK287" s="177">
        <v>7.7336679975182108</v>
      </c>
      <c r="AL287" s="271">
        <v>24.087148687979301</v>
      </c>
      <c r="AM287" s="138">
        <v>11.638445969885403</v>
      </c>
      <c r="AN287" s="160">
        <v>81.382443004808806</v>
      </c>
      <c r="AO287" s="137">
        <v>14.514669744590243</v>
      </c>
      <c r="AP287" s="160">
        <v>34.835745901816516</v>
      </c>
      <c r="AQ287" s="159">
        <v>12.178025550020031</v>
      </c>
      <c r="AR287" s="271">
        <v>20.569771993043556</v>
      </c>
      <c r="AS287" s="161">
        <v>21.560399673720859</v>
      </c>
      <c r="AT287" s="271">
        <v>30.829082143881369</v>
      </c>
      <c r="AU287" s="161">
        <v>31.819709824558672</v>
      </c>
      <c r="AV287" s="271">
        <v>22.353003338484864</v>
      </c>
      <c r="AW287" s="161">
        <v>23.343631019162167</v>
      </c>
      <c r="AX287" s="272">
        <v>18.616860797783598</v>
      </c>
      <c r="AY287" s="272">
        <v>21.560399673720859</v>
      </c>
      <c r="AZ287" s="272">
        <v>31.819709824558672</v>
      </c>
      <c r="BA287" s="272">
        <v>23.343631019162167</v>
      </c>
    </row>
    <row r="288" spans="1:58">
      <c r="A288" s="162" t="s">
        <v>370</v>
      </c>
      <c r="B288" s="165">
        <v>8.0958586424178164E-2</v>
      </c>
      <c r="C288" s="163">
        <v>8.7377536258413671E-2</v>
      </c>
      <c r="D288" s="163">
        <v>1.4480936771125068</v>
      </c>
      <c r="E288" s="163">
        <v>0.82216425231962398</v>
      </c>
      <c r="F288" s="163">
        <v>19.270090692200622</v>
      </c>
      <c r="G288" s="163">
        <v>8.6859823626178247</v>
      </c>
      <c r="H288" s="164">
        <v>0.1193705752969902</v>
      </c>
      <c r="I288" s="137">
        <v>8.0958586424178164E-2</v>
      </c>
      <c r="J288" s="137">
        <v>0.26823901833002767</v>
      </c>
      <c r="K288" s="137">
        <v>1.6785827726621421</v>
      </c>
      <c r="L288" s="137">
        <v>1.0298246456693696</v>
      </c>
      <c r="M288" s="137">
        <v>10.660156208366006</v>
      </c>
      <c r="N288" s="137">
        <v>10.779526783662996</v>
      </c>
      <c r="O288" s="160">
        <v>8.1204215284360309E-2</v>
      </c>
      <c r="P288" s="137">
        <v>1.2174554088223088</v>
      </c>
      <c r="Q288" s="137">
        <v>19.311191487832506</v>
      </c>
      <c r="R288" s="137">
        <v>11.768666235197234</v>
      </c>
      <c r="S288" s="159">
        <v>0.12815234023213987</v>
      </c>
      <c r="T288" s="137">
        <v>8.1204215284360309E-2</v>
      </c>
      <c r="U288" s="137">
        <v>1.4486438097368826</v>
      </c>
      <c r="V288" s="137">
        <v>14.545716418462838</v>
      </c>
      <c r="W288" s="137">
        <v>14.673868758694978</v>
      </c>
      <c r="X288" s="165">
        <v>8.1004666398348343E-2</v>
      </c>
      <c r="Y288" s="163">
        <v>0.8963208732795277</v>
      </c>
      <c r="Z288" s="163">
        <v>19.277801201461163</v>
      </c>
      <c r="AA288" s="163">
        <v>9.2642938571137226</v>
      </c>
      <c r="AB288" s="164">
        <v>0.12101803439882428</v>
      </c>
      <c r="AC288" s="137">
        <v>8.1004666398348343E-2</v>
      </c>
      <c r="AD288" s="137">
        <v>1.1083845648225159</v>
      </c>
      <c r="AE288" s="137">
        <v>11.389067067878486</v>
      </c>
      <c r="AF288" s="137">
        <v>11.51008510227731</v>
      </c>
      <c r="AG288" s="181">
        <v>0.13259490031950605</v>
      </c>
      <c r="AH288" s="137">
        <v>0.66760126046462731</v>
      </c>
      <c r="AI288" s="137">
        <v>0.86309722761123275</v>
      </c>
      <c r="AJ288" s="137">
        <v>0.70427528805906592</v>
      </c>
      <c r="AK288" s="181">
        <v>0.29794386865785755</v>
      </c>
      <c r="AL288" s="273">
        <v>11.324213607005687</v>
      </c>
      <c r="AM288" s="274">
        <v>0.75725143526339156</v>
      </c>
      <c r="AN288" s="165">
        <v>15.393800970914107</v>
      </c>
      <c r="AO288" s="163">
        <v>0.96154472093159415</v>
      </c>
      <c r="AP288" s="165">
        <v>12.087668196474906</v>
      </c>
      <c r="AQ288" s="164">
        <v>0.79557685565474645</v>
      </c>
      <c r="AR288" s="273">
        <v>10.539970726494888</v>
      </c>
      <c r="AS288" s="166">
        <v>10.659341301791878</v>
      </c>
      <c r="AT288" s="273">
        <v>10.160554132830436</v>
      </c>
      <c r="AU288" s="166">
        <v>10.279924708127426</v>
      </c>
      <c r="AV288" s="273">
        <v>11.138666658650076</v>
      </c>
      <c r="AW288" s="166">
        <v>11.258037233947066</v>
      </c>
      <c r="AX288" s="275">
        <v>10.779526783662996</v>
      </c>
      <c r="AY288" s="275">
        <v>10.659341301791878</v>
      </c>
      <c r="AZ288" s="275">
        <v>10.279924708127426</v>
      </c>
      <c r="BA288" s="275">
        <v>11.258037233947066</v>
      </c>
    </row>
    <row r="289" spans="1:53">
      <c r="A289" s="204" t="s">
        <v>389</v>
      </c>
      <c r="B289" s="240">
        <v>111.0576805167709</v>
      </c>
      <c r="C289" s="257">
        <v>1860.2408103487799</v>
      </c>
      <c r="D289" s="257">
        <v>1017.1634338869446</v>
      </c>
      <c r="E289" s="257">
        <v>1404.979027059389</v>
      </c>
      <c r="F289" s="257">
        <v>812.9654059891177</v>
      </c>
      <c r="G289" s="257">
        <v>51860.87624209861</v>
      </c>
      <c r="H289" s="239">
        <v>143.1240088510211</v>
      </c>
      <c r="I289" s="240">
        <v>111.0576805167709</v>
      </c>
      <c r="J289" s="257">
        <v>2108.3436686232462</v>
      </c>
      <c r="K289" s="257">
        <v>1333.3446503181913</v>
      </c>
      <c r="L289" s="257">
        <v>1689.8441987385168</v>
      </c>
      <c r="M289" s="257">
        <v>55100.307571080346</v>
      </c>
      <c r="N289" s="239">
        <v>55243.43157993137</v>
      </c>
      <c r="O289" s="276">
        <v>111.71005315695633</v>
      </c>
      <c r="P289" s="250">
        <v>690.57244442546676</v>
      </c>
      <c r="Q289" s="250">
        <v>922.12617211493148</v>
      </c>
      <c r="R289" s="250">
        <v>15438.97768861759</v>
      </c>
      <c r="S289" s="251">
        <v>166.44774683516096</v>
      </c>
      <c r="T289" s="240">
        <v>111.71005315695633</v>
      </c>
      <c r="U289" s="257">
        <v>1008.6109657633215</v>
      </c>
      <c r="V289" s="257">
        <v>17372.484909985877</v>
      </c>
      <c r="W289" s="239">
        <v>17538.932656821038</v>
      </c>
      <c r="X289" s="139">
        <v>111.18006562406968</v>
      </c>
      <c r="Y289" s="139">
        <v>1270.9563521572652</v>
      </c>
      <c r="Z289" s="139">
        <v>833.44396571432037</v>
      </c>
      <c r="AA289" s="139">
        <v>45028.128073465567</v>
      </c>
      <c r="AB289" s="139">
        <v>147.49954209684574</v>
      </c>
      <c r="AC289" s="240">
        <v>111.18006562406968</v>
      </c>
      <c r="AD289" s="257">
        <v>1562.0168081844336</v>
      </c>
      <c r="AE289" s="257">
        <v>48022.514294755129</v>
      </c>
      <c r="AF289" s="239">
        <v>48170.013836851977</v>
      </c>
      <c r="AG289" s="139">
        <v>469.2869531129391</v>
      </c>
      <c r="AH289" s="240">
        <v>3220.8261611916764</v>
      </c>
      <c r="AI289" s="257">
        <v>1328.0603152515375</v>
      </c>
      <c r="AJ289" s="239">
        <v>2865.7405904890907</v>
      </c>
      <c r="AK289" s="139">
        <v>479.89312507126027</v>
      </c>
      <c r="AL289" s="240">
        <v>58247.480338378067</v>
      </c>
      <c r="AM289" s="257">
        <v>3883.8576757950877</v>
      </c>
      <c r="AN289" s="240">
        <v>18846.278963727771</v>
      </c>
      <c r="AO289" s="257">
        <v>1905.917366787643</v>
      </c>
      <c r="AP289" s="240">
        <v>50855.81496049367</v>
      </c>
      <c r="AQ289" s="239">
        <v>3512.7960738252914</v>
      </c>
      <c r="AR289" s="240">
        <v>18968.516974575461</v>
      </c>
      <c r="AS289" s="239">
        <v>19111.640983426481</v>
      </c>
      <c r="AT289" s="240">
        <v>24092.977503476217</v>
      </c>
      <c r="AU289" s="239">
        <v>24236.101512327237</v>
      </c>
      <c r="AV289" s="240">
        <v>43262.097397917343</v>
      </c>
      <c r="AW289" s="239">
        <v>43405.221406768367</v>
      </c>
      <c r="AX289" s="277">
        <v>55243.43157993137</v>
      </c>
      <c r="AY289" s="277">
        <v>19111.640983426481</v>
      </c>
      <c r="AZ289" s="277">
        <v>24236.101512327237</v>
      </c>
      <c r="BA289" s="277">
        <v>43405.221406768367</v>
      </c>
    </row>
    <row r="290" spans="1:53">
      <c r="A290" s="145" t="s">
        <v>390</v>
      </c>
      <c r="B290" s="156"/>
      <c r="C290" s="154"/>
      <c r="D290" s="154"/>
      <c r="E290" s="154"/>
      <c r="F290" s="154"/>
      <c r="G290" s="154"/>
      <c r="H290" s="155"/>
      <c r="I290" s="137"/>
      <c r="J290" s="137"/>
      <c r="K290" s="137"/>
      <c r="L290" s="137"/>
      <c r="M290" s="137"/>
      <c r="N290" s="137"/>
      <c r="O290" s="160"/>
      <c r="P290" s="137"/>
      <c r="Q290" s="137"/>
      <c r="R290" s="137"/>
      <c r="S290" s="159"/>
      <c r="T290" s="137"/>
      <c r="U290" s="137"/>
      <c r="V290" s="137"/>
      <c r="W290" s="137"/>
      <c r="X290" s="156"/>
      <c r="Y290" s="154"/>
      <c r="Z290" s="154"/>
      <c r="AA290" s="154"/>
      <c r="AB290" s="155"/>
      <c r="AC290" s="137"/>
      <c r="AD290" s="137"/>
      <c r="AE290" s="137"/>
      <c r="AF290" s="137"/>
      <c r="AG290" s="258"/>
      <c r="AH290" s="137"/>
      <c r="AI290" s="137"/>
      <c r="AJ290" s="137"/>
      <c r="AK290" s="258"/>
      <c r="AL290" s="225"/>
      <c r="AM290" s="157"/>
      <c r="AN290" s="154"/>
      <c r="AO290" s="154"/>
      <c r="AP290" s="156"/>
      <c r="AQ290" s="155"/>
      <c r="AR290" s="169"/>
      <c r="AS290" s="226"/>
      <c r="AV290" s="169"/>
      <c r="AW290" s="226"/>
      <c r="AX290" s="172" t="s">
        <v>446</v>
      </c>
      <c r="AY290" s="172" t="s">
        <v>446</v>
      </c>
      <c r="AZ290" s="172" t="s">
        <v>446</v>
      </c>
      <c r="BA290" s="172" t="s">
        <v>446</v>
      </c>
    </row>
    <row r="291" spans="1:53">
      <c r="A291" s="158" t="s">
        <v>372</v>
      </c>
      <c r="B291" s="160">
        <v>2.3447036022830923</v>
      </c>
      <c r="C291" s="137">
        <v>120.88935320306285</v>
      </c>
      <c r="D291" s="137">
        <v>118.75354934217782</v>
      </c>
      <c r="E291" s="137">
        <v>119.73601911818494</v>
      </c>
      <c r="F291" s="137">
        <v>489.36108194977629</v>
      </c>
      <c r="G291" s="137">
        <v>472.66907420105997</v>
      </c>
      <c r="H291" s="159">
        <v>13.563803402679063</v>
      </c>
      <c r="I291" s="137">
        <v>2.3447036022830923</v>
      </c>
      <c r="J291" s="137">
        <v>126.12742105056329</v>
      </c>
      <c r="K291" s="137">
        <v>125.42892049787778</v>
      </c>
      <c r="L291" s="137">
        <v>125.75023075211311</v>
      </c>
      <c r="M291" s="137">
        <v>713.73226655286078</v>
      </c>
      <c r="N291" s="137">
        <v>727.29606995553979</v>
      </c>
      <c r="O291" s="160">
        <v>2.354709725034223</v>
      </c>
      <c r="P291" s="137">
        <v>122.29428663588673</v>
      </c>
      <c r="Q291" s="137">
        <v>491.03539500059929</v>
      </c>
      <c r="R291" s="137">
        <v>1020.3349173332999</v>
      </c>
      <c r="S291" s="159">
        <v>13.921544011203313</v>
      </c>
      <c r="T291" s="137">
        <v>2.354709725034223</v>
      </c>
      <c r="U291" s="137">
        <v>128.99814522305917</v>
      </c>
      <c r="V291" s="137">
        <v>1267.6243617259042</v>
      </c>
      <c r="W291" s="137">
        <v>1281.5459057371077</v>
      </c>
      <c r="X291" s="160">
        <v>2.3465807509112047</v>
      </c>
      <c r="Y291" s="137">
        <v>120.21595010450579</v>
      </c>
      <c r="Z291" s="137">
        <v>489.67518307811065</v>
      </c>
      <c r="AA291" s="137">
        <v>575.41118637266823</v>
      </c>
      <c r="AB291" s="159">
        <v>13.630915540838211</v>
      </c>
      <c r="AC291" s="137">
        <v>2.3465807509112047</v>
      </c>
      <c r="AD291" s="137">
        <v>126.35910948861869</v>
      </c>
      <c r="AE291" s="137">
        <v>817.64159926235027</v>
      </c>
      <c r="AF291" s="137">
        <v>831.27251480318853</v>
      </c>
      <c r="AG291" s="177">
        <v>129.41437734465342</v>
      </c>
      <c r="AH291" s="137">
        <v>159.94569582309853</v>
      </c>
      <c r="AI291" s="137">
        <v>187.76903757933323</v>
      </c>
      <c r="AJ291" s="137">
        <v>165.16531335445049</v>
      </c>
      <c r="AK291" s="177">
        <v>183.2408586397965</v>
      </c>
      <c r="AL291" s="271">
        <v>826.04534069506201</v>
      </c>
      <c r="AM291" s="161">
        <v>233.16419972666091</v>
      </c>
      <c r="AN291" s="137">
        <v>1405.2364190868004</v>
      </c>
      <c r="AO291" s="137">
        <v>262.23959186192616</v>
      </c>
      <c r="AP291" s="160">
        <v>934.7015870013521</v>
      </c>
      <c r="AQ291" s="159">
        <v>238.61874329123665</v>
      </c>
      <c r="AR291" s="271">
        <v>1448.4712410977299</v>
      </c>
      <c r="AS291" s="161">
        <v>1462.035044500409</v>
      </c>
      <c r="AT291" s="138">
        <v>1307.7837501097565</v>
      </c>
      <c r="AU291" s="138">
        <v>1321.3475535124355</v>
      </c>
      <c r="AV291" s="271">
        <v>595.19437046328335</v>
      </c>
      <c r="AW291" s="161">
        <v>608.75817386596236</v>
      </c>
      <c r="AX291" s="277">
        <v>727.29606995553979</v>
      </c>
      <c r="AY291" s="277">
        <v>1462.035044500409</v>
      </c>
      <c r="AZ291" s="277">
        <v>1321.3475535124355</v>
      </c>
      <c r="BA291" s="277">
        <v>608.75817386596236</v>
      </c>
    </row>
    <row r="292" spans="1:53">
      <c r="A292" s="158" t="s">
        <v>373</v>
      </c>
      <c r="B292" s="160">
        <v>6.2451998818084986</v>
      </c>
      <c r="C292" s="137">
        <v>507.06683595038641</v>
      </c>
      <c r="D292" s="137">
        <v>499.37822527496712</v>
      </c>
      <c r="E292" s="137">
        <v>502.91498618566004</v>
      </c>
      <c r="F292" s="137">
        <v>475.22476441244214</v>
      </c>
      <c r="G292" s="137">
        <v>1474.3187929082662</v>
      </c>
      <c r="H292" s="159">
        <v>110.56177495625225</v>
      </c>
      <c r="I292" s="137">
        <v>6.2451998818084986</v>
      </c>
      <c r="J292" s="137">
        <v>521.01861248634657</v>
      </c>
      <c r="K292" s="137">
        <v>517.15830933847587</v>
      </c>
      <c r="L292" s="137">
        <v>518.93404878649642</v>
      </c>
      <c r="M292" s="137">
        <v>2469.1153644319797</v>
      </c>
      <c r="N292" s="137">
        <v>2579.6771393882318</v>
      </c>
      <c r="O292" s="160">
        <v>6.2847859194517852</v>
      </c>
      <c r="P292" s="137">
        <v>493.16524364812574</v>
      </c>
      <c r="Q292" s="137">
        <v>481.84865071735857</v>
      </c>
      <c r="R292" s="137">
        <v>3447.1665624298216</v>
      </c>
      <c r="S292" s="159">
        <v>111.9770617309396</v>
      </c>
      <c r="T292" s="137">
        <v>6.2847859194517852</v>
      </c>
      <c r="U292" s="137">
        <v>511.05802916080495</v>
      </c>
      <c r="V292" s="137">
        <v>4426.864804331085</v>
      </c>
      <c r="W292" s="137">
        <v>4538.8418660620246</v>
      </c>
      <c r="X292" s="160">
        <v>6.2526262224703792</v>
      </c>
      <c r="Y292" s="137">
        <v>501.08593448561862</v>
      </c>
      <c r="Z292" s="137">
        <v>476.46740548324442</v>
      </c>
      <c r="AA292" s="137">
        <v>1844.4250344705101</v>
      </c>
      <c r="AB292" s="159">
        <v>110.8272827551836</v>
      </c>
      <c r="AC292" s="137">
        <v>6.2526262224703792</v>
      </c>
      <c r="AD292" s="137">
        <v>517.45480627449865</v>
      </c>
      <c r="AE292" s="137">
        <v>2836.3858980987243</v>
      </c>
      <c r="AF292" s="137">
        <v>2947.2131808539079</v>
      </c>
      <c r="AG292" s="177">
        <v>332.64711014390247</v>
      </c>
      <c r="AH292" s="137">
        <v>446.77860605254341</v>
      </c>
      <c r="AI292" s="137">
        <v>545.12867533156782</v>
      </c>
      <c r="AJ292" s="137">
        <v>465.22891533412036</v>
      </c>
      <c r="AK292" s="177">
        <v>440.85807691632175</v>
      </c>
      <c r="AL292" s="271">
        <v>2944.7451475090384</v>
      </c>
      <c r="AM292" s="161">
        <v>715.86618017324406</v>
      </c>
      <c r="AN292" s="137">
        <v>4992.0722868831517</v>
      </c>
      <c r="AO292" s="137">
        <v>818.64200256982451</v>
      </c>
      <c r="AP292" s="160">
        <v>3328.8237188556222</v>
      </c>
      <c r="AQ292" s="159">
        <v>735.14692445484252</v>
      </c>
      <c r="AR292" s="271">
        <v>5166.44604794939</v>
      </c>
      <c r="AS292" s="161">
        <v>5277.0078229056426</v>
      </c>
      <c r="AT292" s="138">
        <v>4624.6160376100042</v>
      </c>
      <c r="AU292" s="138">
        <v>4735.1778125662568</v>
      </c>
      <c r="AV292" s="271">
        <v>2050.5761168026806</v>
      </c>
      <c r="AW292" s="161">
        <v>2161.1378917589327</v>
      </c>
      <c r="AX292" s="277">
        <v>2579.6771393882318</v>
      </c>
      <c r="AY292" s="277">
        <v>5277.0078229056426</v>
      </c>
      <c r="AZ292" s="277">
        <v>4735.1778125662568</v>
      </c>
      <c r="BA292" s="277">
        <v>2161.1378917589327</v>
      </c>
    </row>
    <row r="293" spans="1:53">
      <c r="A293" s="158" t="s">
        <v>391</v>
      </c>
      <c r="B293" s="160">
        <v>24.001120113087339</v>
      </c>
      <c r="C293" s="137">
        <v>1232.9165345093925</v>
      </c>
      <c r="D293" s="137">
        <v>2013.5632803044737</v>
      </c>
      <c r="E293" s="137">
        <v>1654.4657772387363</v>
      </c>
      <c r="F293" s="137">
        <v>1023.5858057901448</v>
      </c>
      <c r="G293" s="137">
        <v>2613.3463252939241</v>
      </c>
      <c r="H293" s="159">
        <v>183.77919651026409</v>
      </c>
      <c r="I293" s="137">
        <v>24.001120113087339</v>
      </c>
      <c r="J293" s="137">
        <v>1286.5350368420295</v>
      </c>
      <c r="K293" s="137">
        <v>2081.8944692664331</v>
      </c>
      <c r="L293" s="137">
        <v>1716.0291303512076</v>
      </c>
      <c r="M293" s="137">
        <v>5902.9741681771893</v>
      </c>
      <c r="N293" s="137">
        <v>6086.7533646874535</v>
      </c>
      <c r="O293" s="160">
        <v>24.080720783397794</v>
      </c>
      <c r="P293" s="137">
        <v>1957.944295284175</v>
      </c>
      <c r="Q293" s="137">
        <v>1036.905294714064</v>
      </c>
      <c r="R293" s="137">
        <v>5752.2935977349816</v>
      </c>
      <c r="S293" s="159">
        <v>186.62509326208877</v>
      </c>
      <c r="T293" s="137">
        <v>24.080720783397794</v>
      </c>
      <c r="U293" s="137">
        <v>2026.5021073545086</v>
      </c>
      <c r="V293" s="137">
        <v>9637.0981375335741</v>
      </c>
      <c r="W293" s="137">
        <v>9823.7232307956638</v>
      </c>
      <c r="X293" s="160">
        <v>24.016053198837579</v>
      </c>
      <c r="Y293" s="137">
        <v>1711.3983472240607</v>
      </c>
      <c r="Z293" s="137">
        <v>1026.084541912272</v>
      </c>
      <c r="AA293" s="137">
        <v>3202.2128336038663</v>
      </c>
      <c r="AB293" s="159">
        <v>184.31308674090641</v>
      </c>
      <c r="AC293" s="137">
        <v>24.016053198837579</v>
      </c>
      <c r="AD293" s="137">
        <v>1774.2704399575002</v>
      </c>
      <c r="AE293" s="137">
        <v>6603.4892670023946</v>
      </c>
      <c r="AF293" s="137">
        <v>6787.802353743301</v>
      </c>
      <c r="AG293" s="177">
        <v>532.27198820274054</v>
      </c>
      <c r="AH293" s="137">
        <v>813.23604125508405</v>
      </c>
      <c r="AI293" s="137">
        <v>1000.8319285337163</v>
      </c>
      <c r="AJ293" s="137">
        <v>848.42870050568763</v>
      </c>
      <c r="AK293" s="177">
        <v>796.57802446616108</v>
      </c>
      <c r="AL293" s="271">
        <v>6762.8807037969191</v>
      </c>
      <c r="AM293" s="161">
        <v>1252.0551008100938</v>
      </c>
      <c r="AN293" s="137">
        <v>10668.014213879998</v>
      </c>
      <c r="AO293" s="137">
        <v>1448.0928030162645</v>
      </c>
      <c r="AP293" s="160">
        <v>7495.4837502885039</v>
      </c>
      <c r="AQ293" s="159">
        <v>1288.8317737439716</v>
      </c>
      <c r="AR293" s="271">
        <v>11705.651594081723</v>
      </c>
      <c r="AS293" s="161">
        <v>11889.430790591987</v>
      </c>
      <c r="AT293" s="138">
        <v>10032.460423904926</v>
      </c>
      <c r="AU293" s="138">
        <v>10216.23962041519</v>
      </c>
      <c r="AV293" s="271">
        <v>4564.414008654885</v>
      </c>
      <c r="AW293" s="161">
        <v>4748.1932051651493</v>
      </c>
      <c r="AX293" s="277">
        <v>6086.7533646874535</v>
      </c>
      <c r="AY293" s="277">
        <v>11889.430790591987</v>
      </c>
      <c r="AZ293" s="277">
        <v>10216.23962041519</v>
      </c>
      <c r="BA293" s="277">
        <v>4748.1932051651493</v>
      </c>
    </row>
    <row r="294" spans="1:53">
      <c r="A294" s="158" t="s">
        <v>375</v>
      </c>
      <c r="B294" s="160">
        <v>1.2253506625591657</v>
      </c>
      <c r="C294" s="137">
        <v>44.271101097973443</v>
      </c>
      <c r="D294" s="137">
        <v>201.49211147796396</v>
      </c>
      <c r="E294" s="137">
        <v>129.17044670316832</v>
      </c>
      <c r="F294" s="137">
        <v>413.79082701511072</v>
      </c>
      <c r="G294" s="137">
        <v>1210.1179216162191</v>
      </c>
      <c r="H294" s="159">
        <v>65.782161670116423</v>
      </c>
      <c r="I294" s="137">
        <v>1.2253506625591657</v>
      </c>
      <c r="J294" s="137">
        <v>47.00853447813062</v>
      </c>
      <c r="K294" s="137">
        <v>204.98068481426989</v>
      </c>
      <c r="L294" s="137">
        <v>132.31349565964584</v>
      </c>
      <c r="M294" s="137">
        <v>1463.7628927957601</v>
      </c>
      <c r="N294" s="137">
        <v>1529.5450544658765</v>
      </c>
      <c r="O294" s="160">
        <v>1.2186141125993175</v>
      </c>
      <c r="P294" s="137">
        <v>198.39109235519447</v>
      </c>
      <c r="Q294" s="137">
        <v>412.66360783183416</v>
      </c>
      <c r="R294" s="137">
        <v>1362.7251156146533</v>
      </c>
      <c r="S294" s="159">
        <v>65.541315386103193</v>
      </c>
      <c r="T294" s="137">
        <v>1.2186141125993175</v>
      </c>
      <c r="U294" s="137">
        <v>201.86048673376473</v>
      </c>
      <c r="V294" s="137">
        <v>1749.6916686832803</v>
      </c>
      <c r="W294" s="137">
        <v>1815.2329840693835</v>
      </c>
      <c r="X294" s="160">
        <v>1.2240868857866982</v>
      </c>
      <c r="Y294" s="137">
        <v>142.15623982748843</v>
      </c>
      <c r="Z294" s="137">
        <v>413.57936069632802</v>
      </c>
      <c r="AA294" s="137">
        <v>1238.7470312103253</v>
      </c>
      <c r="AB294" s="159">
        <v>65.736978907235539</v>
      </c>
      <c r="AC294" s="137">
        <v>1.2240868857866982</v>
      </c>
      <c r="AD294" s="137">
        <v>145.36080069183117</v>
      </c>
      <c r="AE294" s="137">
        <v>1517.4036861365657</v>
      </c>
      <c r="AF294" s="137">
        <v>1583.1406650438012</v>
      </c>
      <c r="AG294" s="177">
        <v>151.55193362432371</v>
      </c>
      <c r="AH294" s="137">
        <v>221.33339602506697</v>
      </c>
      <c r="AI294" s="137">
        <v>235.67493009116299</v>
      </c>
      <c r="AJ294" s="137">
        <v>224.02389567607878</v>
      </c>
      <c r="AK294" s="177">
        <v>283.17831882765284</v>
      </c>
      <c r="AL294" s="271">
        <v>1916.790468441236</v>
      </c>
      <c r="AM294" s="161">
        <v>549.70928537059001</v>
      </c>
      <c r="AN294" s="137">
        <v>2215.3343548769008</v>
      </c>
      <c r="AO294" s="137">
        <v>564.69618846966034</v>
      </c>
      <c r="AP294" s="160">
        <v>1972.7973015365669</v>
      </c>
      <c r="AQ294" s="159">
        <v>552.52082839197556</v>
      </c>
      <c r="AR294" s="271">
        <v>2714.227563445485</v>
      </c>
      <c r="AS294" s="161">
        <v>2780.0097251156012</v>
      </c>
      <c r="AT294" s="138">
        <v>2298.8131343113378</v>
      </c>
      <c r="AU294" s="138">
        <v>2364.595295981454</v>
      </c>
      <c r="AV294" s="271">
        <v>1087.6039250157255</v>
      </c>
      <c r="AW294" s="161">
        <v>1153.386086685842</v>
      </c>
      <c r="AX294" s="277">
        <v>1529.5450544658765</v>
      </c>
      <c r="AY294" s="277">
        <v>2780.0097251156012</v>
      </c>
      <c r="AZ294" s="277">
        <v>2364.595295981454</v>
      </c>
      <c r="BA294" s="277">
        <v>1153.386086685842</v>
      </c>
    </row>
    <row r="295" spans="1:53">
      <c r="A295" s="158" t="s">
        <v>376</v>
      </c>
      <c r="B295" s="160">
        <v>0.92048827330493788</v>
      </c>
      <c r="C295" s="137">
        <v>38.813216151011403</v>
      </c>
      <c r="D295" s="137">
        <v>121.72260130097861</v>
      </c>
      <c r="E295" s="137">
        <v>83.584284131993698</v>
      </c>
      <c r="F295" s="137">
        <v>209.60777780853135</v>
      </c>
      <c r="G295" s="137">
        <v>1493.6915592581679</v>
      </c>
      <c r="H295" s="159">
        <v>6.7077317622903747</v>
      </c>
      <c r="I295" s="137">
        <v>0.92048827330493788</v>
      </c>
      <c r="J295" s="137">
        <v>40.869586953574633</v>
      </c>
      <c r="K295" s="137">
        <v>124.34323141507777</v>
      </c>
      <c r="L295" s="137">
        <v>85.945354962786325</v>
      </c>
      <c r="M295" s="137">
        <v>1658.4488047218292</v>
      </c>
      <c r="N295" s="137">
        <v>1665.1565364841197</v>
      </c>
      <c r="O295" s="160">
        <v>0.92304152897004965</v>
      </c>
      <c r="P295" s="137">
        <v>118.53699609235973</v>
      </c>
      <c r="Q295" s="137">
        <v>210.03501115240584</v>
      </c>
      <c r="R295" s="137">
        <v>1689.1584790191071</v>
      </c>
      <c r="S295" s="159">
        <v>6.7990161946397443</v>
      </c>
      <c r="T295" s="137">
        <v>0.92304152897004965</v>
      </c>
      <c r="U295" s="137">
        <v>121.16489532533745</v>
      </c>
      <c r="V295" s="137">
        <v>1921.4315833577789</v>
      </c>
      <c r="W295" s="137">
        <v>1928.2305995524187</v>
      </c>
      <c r="X295" s="160">
        <v>0.9209672640677129</v>
      </c>
      <c r="Y295" s="137">
        <v>90.141412895758364</v>
      </c>
      <c r="Z295" s="137">
        <v>209.68792678384222</v>
      </c>
      <c r="AA295" s="137">
        <v>1530.36115340532</v>
      </c>
      <c r="AB295" s="159">
        <v>6.7248567217991164</v>
      </c>
      <c r="AC295" s="137">
        <v>0.9209672640677129</v>
      </c>
      <c r="AD295" s="137">
        <v>92.552431007332586</v>
      </c>
      <c r="AE295" s="137">
        <v>1707.7841636463766</v>
      </c>
      <c r="AF295" s="137">
        <v>1714.5090203681757</v>
      </c>
      <c r="AG295" s="177">
        <v>60.614506656128334</v>
      </c>
      <c r="AH295" s="137">
        <v>141.40497458011802</v>
      </c>
      <c r="AI295" s="137">
        <v>154.61129254614661</v>
      </c>
      <c r="AJ295" s="137">
        <v>143.88246927109762</v>
      </c>
      <c r="AK295" s="177">
        <v>180.51145961056224</v>
      </c>
      <c r="AL295" s="271">
        <v>1768.9628248277756</v>
      </c>
      <c r="AM295" s="161">
        <v>176.64244263809394</v>
      </c>
      <c r="AN295" s="137">
        <v>2043.8752207341479</v>
      </c>
      <c r="AO295" s="137">
        <v>190.44304491259382</v>
      </c>
      <c r="AP295" s="160">
        <v>1820.536390299811</v>
      </c>
      <c r="AQ295" s="159">
        <v>179.23143562479012</v>
      </c>
      <c r="AR295" s="271">
        <v>2195.0002987082407</v>
      </c>
      <c r="AS295" s="161">
        <v>2201.708030470531</v>
      </c>
      <c r="AT295" s="138">
        <v>2027.2983826935579</v>
      </c>
      <c r="AU295" s="138">
        <v>2034.0061144558483</v>
      </c>
      <c r="AV295" s="271">
        <v>1498.3973839332209</v>
      </c>
      <c r="AW295" s="161">
        <v>1505.1051156955114</v>
      </c>
      <c r="AX295" s="277">
        <v>1665.1565364841197</v>
      </c>
      <c r="AY295" s="277">
        <v>2201.708030470531</v>
      </c>
      <c r="AZ295" s="277">
        <v>2034.0061144558483</v>
      </c>
      <c r="BA295" s="277">
        <v>1505.1051156955114</v>
      </c>
    </row>
    <row r="296" spans="1:53">
      <c r="A296" s="158" t="s">
        <v>377</v>
      </c>
      <c r="B296" s="160">
        <v>2.7495904754266727</v>
      </c>
      <c r="C296" s="137">
        <v>209.7608442210439</v>
      </c>
      <c r="D296" s="137">
        <v>2893.49827261463</v>
      </c>
      <c r="E296" s="137">
        <v>1658.9790555535803</v>
      </c>
      <c r="F296" s="137">
        <v>3692.4900211551458</v>
      </c>
      <c r="G296" s="137">
        <v>19192.241234297027</v>
      </c>
      <c r="H296" s="159">
        <v>32.059204364381699</v>
      </c>
      <c r="I296" s="137">
        <v>2.7495904754266727</v>
      </c>
      <c r="J296" s="137">
        <v>215.90342934314708</v>
      </c>
      <c r="K296" s="137">
        <v>2901.3263566981695</v>
      </c>
      <c r="L296" s="137">
        <v>1666.0318101148594</v>
      </c>
      <c r="M296" s="137">
        <v>22386.024214287212</v>
      </c>
      <c r="N296" s="137">
        <v>22418.083418651593</v>
      </c>
      <c r="O296" s="160">
        <v>2.7125254389184827</v>
      </c>
      <c r="P296" s="137">
        <v>2850.9541956620164</v>
      </c>
      <c r="Q296" s="137">
        <v>3686.2879710805664</v>
      </c>
      <c r="R296" s="137">
        <v>19918.556777884743</v>
      </c>
      <c r="S296" s="159">
        <v>30.734048852581154</v>
      </c>
      <c r="T296" s="137">
        <v>2.7125254389184827</v>
      </c>
      <c r="U296" s="137">
        <v>2858.6767555866172</v>
      </c>
      <c r="V296" s="137">
        <v>25398.640118344287</v>
      </c>
      <c r="W296" s="137">
        <v>25429.374167196867</v>
      </c>
      <c r="X296" s="160">
        <v>2.7426370745777362</v>
      </c>
      <c r="Y296" s="137">
        <v>1882.593591837923</v>
      </c>
      <c r="Z296" s="137">
        <v>3691.3265165611547</v>
      </c>
      <c r="AA296" s="137">
        <v>19328.498030274084</v>
      </c>
      <c r="AB296" s="159">
        <v>31.810605190367916</v>
      </c>
      <c r="AC296" s="137">
        <v>2.7426370745777362</v>
      </c>
      <c r="AD296" s="137">
        <v>1889.7735947742658</v>
      </c>
      <c r="AE296" s="137">
        <v>22951.194011456351</v>
      </c>
      <c r="AF296" s="137">
        <v>22983.004616646718</v>
      </c>
      <c r="AG296" s="177">
        <v>295.22098479251474</v>
      </c>
      <c r="AH296" s="137">
        <v>1406.9695629114108</v>
      </c>
      <c r="AI296" s="137">
        <v>1558.1363584883834</v>
      </c>
      <c r="AJ296" s="137">
        <v>1435.3286070507656</v>
      </c>
      <c r="AK296" s="177">
        <v>350.13810183971799</v>
      </c>
      <c r="AL296" s="271">
        <v>23676.269324315719</v>
      </c>
      <c r="AM296" s="161">
        <v>1719.6553450672295</v>
      </c>
      <c r="AN296" s="137">
        <v>26823.068156545531</v>
      </c>
      <c r="AO296" s="137">
        <v>1877.6246464451658</v>
      </c>
      <c r="AP296" s="160">
        <v>24266.608785242031</v>
      </c>
      <c r="AQ296" s="159">
        <v>1749.2903860057304</v>
      </c>
      <c r="AR296" s="271">
        <v>28513.339336611578</v>
      </c>
      <c r="AS296" s="161">
        <v>28545.398540975959</v>
      </c>
      <c r="AT296" s="138">
        <v>25825.114751988709</v>
      </c>
      <c r="AU296" s="138">
        <v>25857.17395635309</v>
      </c>
      <c r="AV296" s="271">
        <v>18423.331556321937</v>
      </c>
      <c r="AW296" s="161">
        <v>18455.390760686318</v>
      </c>
      <c r="AX296" s="277">
        <v>22418.083418651593</v>
      </c>
      <c r="AY296" s="277">
        <v>28545.398540975959</v>
      </c>
      <c r="AZ296" s="277">
        <v>25857.17395635309</v>
      </c>
      <c r="BA296" s="277">
        <v>18455.390760686318</v>
      </c>
    </row>
    <row r="297" spans="1:53">
      <c r="A297" s="158" t="s">
        <v>378</v>
      </c>
      <c r="B297" s="160">
        <v>0.45092511165767818</v>
      </c>
      <c r="C297" s="137">
        <v>5.7183764367907619</v>
      </c>
      <c r="D297" s="137">
        <v>5.8567615381498213</v>
      </c>
      <c r="E297" s="137">
        <v>5.7931043915246541</v>
      </c>
      <c r="F297" s="137">
        <v>5.4318274472689785</v>
      </c>
      <c r="G297" s="137">
        <v>10.259908491601079</v>
      </c>
      <c r="H297" s="159">
        <v>2.5781537565388128</v>
      </c>
      <c r="I297" s="137">
        <v>0.45092511165767818</v>
      </c>
      <c r="J297" s="137">
        <v>6.7257431362340148</v>
      </c>
      <c r="K297" s="137">
        <v>7.1405453310392311</v>
      </c>
      <c r="L297" s="137">
        <v>6.9497363214288317</v>
      </c>
      <c r="M297" s="137">
        <v>23.58255301978015</v>
      </c>
      <c r="N297" s="137">
        <v>26.160706776318964</v>
      </c>
      <c r="O297" s="160">
        <v>0.45151991739304465</v>
      </c>
      <c r="P297" s="137">
        <v>5.3731362760382479</v>
      </c>
      <c r="Q297" s="137">
        <v>5.5313556091952307</v>
      </c>
      <c r="R297" s="137">
        <v>27.449856382257209</v>
      </c>
      <c r="S297" s="159">
        <v>2.5994193527158815</v>
      </c>
      <c r="T297" s="137">
        <v>0.45151991739304465</v>
      </c>
      <c r="U297" s="137">
        <v>6.6586134808562463</v>
      </c>
      <c r="V297" s="137">
        <v>40.214418425058632</v>
      </c>
      <c r="W297" s="137">
        <v>42.813837777774516</v>
      </c>
      <c r="X297" s="160">
        <v>0.45103669721363293</v>
      </c>
      <c r="Y297" s="137">
        <v>5.7143183730594043</v>
      </c>
      <c r="Z297" s="137">
        <v>5.4504989304463436</v>
      </c>
      <c r="AA297" s="137">
        <v>13.484742715888167</v>
      </c>
      <c r="AB297" s="159">
        <v>2.582143182381631</v>
      </c>
      <c r="AC297" s="137">
        <v>0.45103669721363293</v>
      </c>
      <c r="AD297" s="137">
        <v>6.8950961144566616</v>
      </c>
      <c r="AE297" s="137">
        <v>26.702641967301588</v>
      </c>
      <c r="AF297" s="137">
        <v>29.28478514968322</v>
      </c>
      <c r="AG297" s="177">
        <v>4.0119992077962499</v>
      </c>
      <c r="AH297" s="137">
        <v>5.1399123245672751</v>
      </c>
      <c r="AI297" s="137">
        <v>5.9758995008403435</v>
      </c>
      <c r="AJ297" s="137">
        <v>5.2967410589101611</v>
      </c>
      <c r="AK297" s="177">
        <v>6.3780595225611991</v>
      </c>
      <c r="AL297" s="271">
        <v>29.60909925223196</v>
      </c>
      <c r="AM297" s="161">
        <v>7.6423690501514461</v>
      </c>
      <c r="AN297" s="137">
        <v>47.011621148753015</v>
      </c>
      <c r="AO297" s="137">
        <v>8.515975649356804</v>
      </c>
      <c r="AP297" s="160">
        <v>32.873812360019315</v>
      </c>
      <c r="AQ297" s="159">
        <v>7.8062576481623704</v>
      </c>
      <c r="AR297" s="271">
        <v>48.358802608624664</v>
      </c>
      <c r="AS297" s="161">
        <v>50.936956365163475</v>
      </c>
      <c r="AT297" s="138">
        <v>42.359650476442084</v>
      </c>
      <c r="AU297" s="138">
        <v>44.937804232980895</v>
      </c>
      <c r="AV297" s="271">
        <v>22.691286785789682</v>
      </c>
      <c r="AW297" s="161">
        <v>25.269440542328496</v>
      </c>
      <c r="AX297" s="277">
        <v>26.160706776318964</v>
      </c>
      <c r="AY297" s="277">
        <v>50.936956365163475</v>
      </c>
      <c r="AZ297" s="277">
        <v>44.937804232980895</v>
      </c>
      <c r="BA297" s="277">
        <v>25.269440542328496</v>
      </c>
    </row>
    <row r="298" spans="1:53">
      <c r="A298" s="158" t="s">
        <v>379</v>
      </c>
      <c r="B298" s="160">
        <v>0.1594405784309007</v>
      </c>
      <c r="C298" s="137">
        <v>14.974501245840852</v>
      </c>
      <c r="D298" s="137">
        <v>11.119993448033544</v>
      </c>
      <c r="E298" s="137">
        <v>12.893067035024906</v>
      </c>
      <c r="F298" s="137">
        <v>10.416848451371237</v>
      </c>
      <c r="G298" s="137">
        <v>24.314450965334231</v>
      </c>
      <c r="H298" s="159">
        <v>2.0561733161041671</v>
      </c>
      <c r="I298" s="137">
        <v>0.1594405784309007</v>
      </c>
      <c r="J298" s="137">
        <v>15.330691498055485</v>
      </c>
      <c r="K298" s="137">
        <v>11.573920774826318</v>
      </c>
      <c r="L298" s="137">
        <v>13.302035307511735</v>
      </c>
      <c r="M298" s="137">
        <v>49.814452649834223</v>
      </c>
      <c r="N298" s="137">
        <v>51.870625965938387</v>
      </c>
      <c r="O298" s="160">
        <v>0.16290591056157322</v>
      </c>
      <c r="P298" s="137">
        <v>11.222770589566434</v>
      </c>
      <c r="Q298" s="137">
        <v>10.99669850479636</v>
      </c>
      <c r="R298" s="137">
        <v>139.08444714104621</v>
      </c>
      <c r="S298" s="159">
        <v>2.180066461930843</v>
      </c>
      <c r="T298" s="137">
        <v>0.16290591056157322</v>
      </c>
      <c r="U298" s="137">
        <v>11.686563716935233</v>
      </c>
      <c r="V298" s="137">
        <v>161.48758978641106</v>
      </c>
      <c r="W298" s="137">
        <v>163.6676562483419</v>
      </c>
      <c r="X298" s="160">
        <v>0.16009067473861488</v>
      </c>
      <c r="Y298" s="137">
        <v>12.579719421856897</v>
      </c>
      <c r="Z298" s="137">
        <v>10.525628321393789</v>
      </c>
      <c r="AA298" s="137">
        <v>45.845302247897799</v>
      </c>
      <c r="AB298" s="159">
        <v>2.0794156702612514</v>
      </c>
      <c r="AC298" s="137">
        <v>0.16009067473861488</v>
      </c>
      <c r="AD298" s="137">
        <v>12.998823912698558</v>
      </c>
      <c r="AE298" s="137">
        <v>70.764047688540927</v>
      </c>
      <c r="AF298" s="137">
        <v>72.843463358802182</v>
      </c>
      <c r="AG298" s="177">
        <v>10.325435883922545</v>
      </c>
      <c r="AH298" s="137">
        <v>12.452306169575429</v>
      </c>
      <c r="AI298" s="137">
        <v>18.064517089752087</v>
      </c>
      <c r="AJ298" s="137">
        <v>13.505142606697193</v>
      </c>
      <c r="AK298" s="177">
        <v>17.955423208829444</v>
      </c>
      <c r="AL298" s="271">
        <v>63.199169753816356</v>
      </c>
      <c r="AM298" s="161">
        <v>22.007025566617067</v>
      </c>
      <c r="AN298" s="137">
        <v>180.02706639892804</v>
      </c>
      <c r="AO298" s="137">
        <v>27.871785978201672</v>
      </c>
      <c r="AP298" s="160">
        <v>85.116083164439317</v>
      </c>
      <c r="AQ298" s="159">
        <v>23.107254619830339</v>
      </c>
      <c r="AR298" s="271">
        <v>97.815023734277617</v>
      </c>
      <c r="AS298" s="161">
        <v>99.871197050381781</v>
      </c>
      <c r="AT298" s="138">
        <v>100.94470275999925</v>
      </c>
      <c r="AU298" s="138">
        <v>103.00087607610341</v>
      </c>
      <c r="AV298" s="271">
        <v>50.80142100843419</v>
      </c>
      <c r="AW298" s="161">
        <v>52.857594324538354</v>
      </c>
      <c r="AX298" s="277">
        <v>51.870625965938387</v>
      </c>
      <c r="AY298" s="277">
        <v>99.871197050381781</v>
      </c>
      <c r="AZ298" s="278">
        <v>103.00087607610341</v>
      </c>
      <c r="BA298" s="277">
        <v>52.857594324538354</v>
      </c>
    </row>
    <row r="299" spans="1:53">
      <c r="A299" s="158" t="s">
        <v>380</v>
      </c>
      <c r="B299" s="160">
        <v>9.6779502258074626</v>
      </c>
      <c r="C299" s="137">
        <v>1871.5295978563188</v>
      </c>
      <c r="D299" s="137">
        <v>1983.343060922462</v>
      </c>
      <c r="E299" s="137">
        <v>1931.9088679120364</v>
      </c>
      <c r="F299" s="137">
        <v>3013.6114882794686</v>
      </c>
      <c r="G299" s="137">
        <v>6927.4770399916724</v>
      </c>
      <c r="H299" s="159">
        <v>211.24041862172859</v>
      </c>
      <c r="I299" s="137">
        <v>9.6779502258074626</v>
      </c>
      <c r="J299" s="137">
        <v>1893.1501386607727</v>
      </c>
      <c r="K299" s="137">
        <v>2010.8961852153359</v>
      </c>
      <c r="L299" s="137">
        <v>1956.7330038002369</v>
      </c>
      <c r="M299" s="137">
        <v>10678.534208276727</v>
      </c>
      <c r="N299" s="137">
        <v>10889.774626898456</v>
      </c>
      <c r="O299" s="160">
        <v>9.7876133663346963</v>
      </c>
      <c r="P299" s="137">
        <v>2082.219885635177</v>
      </c>
      <c r="Q299" s="137">
        <v>3031.9612958868402</v>
      </c>
      <c r="R299" s="137">
        <v>15506.460922922781</v>
      </c>
      <c r="S299" s="159">
        <v>215.16111394004866</v>
      </c>
      <c r="T299" s="137">
        <v>9.7876133663346963</v>
      </c>
      <c r="U299" s="137">
        <v>2110.085220889132</v>
      </c>
      <c r="V299" s="137">
        <v>19551.494291367246</v>
      </c>
      <c r="W299" s="137">
        <v>19766.655405307294</v>
      </c>
      <c r="X299" s="160">
        <v>9.6985230309703709</v>
      </c>
      <c r="Y299" s="137">
        <v>1960.1072148368976</v>
      </c>
      <c r="Z299" s="137">
        <v>3017.0539121866113</v>
      </c>
      <c r="AA299" s="137">
        <v>8536.8944164295481</v>
      </c>
      <c r="AB299" s="159">
        <v>211.97594106344545</v>
      </c>
      <c r="AC299" s="137">
        <v>9.6985230309703709</v>
      </c>
      <c r="AD299" s="137">
        <v>1985.4971668965509</v>
      </c>
      <c r="AE299" s="137">
        <v>12343.092485370236</v>
      </c>
      <c r="AF299" s="137">
        <v>12555.068426433681</v>
      </c>
      <c r="AG299" s="177">
        <v>1246.5741250308045</v>
      </c>
      <c r="AH299" s="137">
        <v>1735.6490867246839</v>
      </c>
      <c r="AI299" s="137">
        <v>2181.2685018008078</v>
      </c>
      <c r="AJ299" s="137">
        <v>1819.2468354613522</v>
      </c>
      <c r="AK299" s="177">
        <v>1668.4776713918195</v>
      </c>
      <c r="AL299" s="271">
        <v>12485.684840724245</v>
      </c>
      <c r="AM299" s="161">
        <v>2919.6236512426535</v>
      </c>
      <c r="AN299" s="137">
        <v>21762.025254161479</v>
      </c>
      <c r="AO299" s="137">
        <v>3385.2959399972033</v>
      </c>
      <c r="AP299" s="160">
        <v>14225.926302285068</v>
      </c>
      <c r="AQ299" s="159">
        <v>3006.9837726130067</v>
      </c>
      <c r="AR299" s="271">
        <v>24394.800836355236</v>
      </c>
      <c r="AS299" s="161">
        <v>24606.041254976964</v>
      </c>
      <c r="AT299" s="138">
        <v>21546.543949888801</v>
      </c>
      <c r="AU299" s="138">
        <v>21757.784368510529</v>
      </c>
      <c r="AV299" s="271">
        <v>7981.739508153124</v>
      </c>
      <c r="AW299" s="161">
        <v>8192.9799267748531</v>
      </c>
      <c r="AX299" s="277">
        <v>10889.774626898456</v>
      </c>
      <c r="AY299" s="277">
        <v>24606.041254976964</v>
      </c>
      <c r="AZ299" s="278">
        <v>21757.784368510529</v>
      </c>
      <c r="BA299" s="277">
        <v>8192.9799267748531</v>
      </c>
    </row>
    <row r="300" spans="1:53">
      <c r="A300" s="158" t="s">
        <v>381</v>
      </c>
      <c r="B300" s="160">
        <v>0.17901936667111853</v>
      </c>
      <c r="C300" s="137">
        <v>18.766162402237534</v>
      </c>
      <c r="D300" s="137">
        <v>17.143329644780369</v>
      </c>
      <c r="E300" s="137">
        <v>17.889832713210666</v>
      </c>
      <c r="F300" s="137">
        <v>9.8959019941378195</v>
      </c>
      <c r="G300" s="137">
        <v>64.555187509218428</v>
      </c>
      <c r="H300" s="159">
        <v>2.093560159368741</v>
      </c>
      <c r="I300" s="137">
        <v>0.17901936667111853</v>
      </c>
      <c r="J300" s="137">
        <v>19.166091667380812</v>
      </c>
      <c r="K300" s="137">
        <v>17.652997781693042</v>
      </c>
      <c r="L300" s="137">
        <v>18.349020969109418</v>
      </c>
      <c r="M300" s="137">
        <v>99.730260707001179</v>
      </c>
      <c r="N300" s="137">
        <v>101.82382086636991</v>
      </c>
      <c r="O300" s="160">
        <v>0.17857389419831909</v>
      </c>
      <c r="P300" s="137">
        <v>16.772792762813978</v>
      </c>
      <c r="Q300" s="137">
        <v>9.821361595869547</v>
      </c>
      <c r="R300" s="137">
        <v>113.17180144139043</v>
      </c>
      <c r="S300" s="159">
        <v>2.0776335514843769</v>
      </c>
      <c r="T300" s="137">
        <v>0.17857389419831909</v>
      </c>
      <c r="U300" s="137">
        <v>17.281192639596593</v>
      </c>
      <c r="V300" s="137">
        <v>146.2998477314971</v>
      </c>
      <c r="W300" s="137">
        <v>148.37748128298148</v>
      </c>
      <c r="X300" s="160">
        <v>0.17893579603522136</v>
      </c>
      <c r="Y300" s="137">
        <v>17.680276018516246</v>
      </c>
      <c r="Z300" s="137">
        <v>9.8819182154226919</v>
      </c>
      <c r="AA300" s="137">
        <v>73.675664282893891</v>
      </c>
      <c r="AB300" s="159">
        <v>2.0905723277296344</v>
      </c>
      <c r="AC300" s="137">
        <v>0.17893579603522136</v>
      </c>
      <c r="AD300" s="137">
        <v>18.148715518900215</v>
      </c>
      <c r="AE300" s="137">
        <v>108.46675193262561</v>
      </c>
      <c r="AF300" s="137">
        <v>110.55732426035524</v>
      </c>
      <c r="AG300" s="177">
        <v>12.53022166926044</v>
      </c>
      <c r="AH300" s="137">
        <v>17.062881235632378</v>
      </c>
      <c r="AI300" s="137">
        <v>19.39987498854628</v>
      </c>
      <c r="AJ300" s="137">
        <v>17.50130310601044</v>
      </c>
      <c r="AK300" s="177">
        <v>16.57934419079151</v>
      </c>
      <c r="AL300" s="271">
        <v>117.15726592495116</v>
      </c>
      <c r="AM300" s="161">
        <v>28.582084010830446</v>
      </c>
      <c r="AN300" s="137">
        <v>165.80584106031023</v>
      </c>
      <c r="AO300" s="137">
        <v>31.024242482625471</v>
      </c>
      <c r="AP300" s="160">
        <v>126.28373862034452</v>
      </c>
      <c r="AQ300" s="159">
        <v>29.040232940139191</v>
      </c>
      <c r="AR300" s="271">
        <v>304.55315035374809</v>
      </c>
      <c r="AS300" s="161">
        <v>306.64671051311683</v>
      </c>
      <c r="AT300" s="138">
        <v>249.28195004363428</v>
      </c>
      <c r="AU300" s="138">
        <v>251.37551020300302</v>
      </c>
      <c r="AV300" s="271">
        <v>65.690043924509439</v>
      </c>
      <c r="AW300" s="161">
        <v>67.783604083878174</v>
      </c>
      <c r="AX300" s="277">
        <v>101.82382086636991</v>
      </c>
      <c r="AY300" s="277">
        <v>306.64671051311683</v>
      </c>
      <c r="AZ300" s="278">
        <v>251.37551020300302</v>
      </c>
      <c r="BA300" s="277">
        <v>67.783604083878174</v>
      </c>
    </row>
    <row r="301" spans="1:53">
      <c r="A301" s="158" t="s">
        <v>382</v>
      </c>
      <c r="B301" s="160">
        <v>0</v>
      </c>
      <c r="C301" s="137">
        <v>0</v>
      </c>
      <c r="D301" s="137">
        <v>0</v>
      </c>
      <c r="E301" s="137">
        <v>0</v>
      </c>
      <c r="F301" s="137">
        <v>0</v>
      </c>
      <c r="G301" s="137">
        <v>32.114066162375508</v>
      </c>
      <c r="H301" s="159">
        <v>0</v>
      </c>
      <c r="I301" s="137">
        <v>0</v>
      </c>
      <c r="J301" s="137">
        <v>0</v>
      </c>
      <c r="K301" s="137">
        <v>0</v>
      </c>
      <c r="L301" s="137">
        <v>0</v>
      </c>
      <c r="M301" s="137">
        <v>32.114066162375508</v>
      </c>
      <c r="N301" s="137">
        <v>32.114066162375508</v>
      </c>
      <c r="O301" s="160">
        <v>0</v>
      </c>
      <c r="P301" s="137">
        <v>0</v>
      </c>
      <c r="Q301" s="137">
        <v>0</v>
      </c>
      <c r="R301" s="137">
        <v>32.114066162375508</v>
      </c>
      <c r="S301" s="159">
        <v>0</v>
      </c>
      <c r="T301" s="137">
        <v>0</v>
      </c>
      <c r="U301" s="137">
        <v>0</v>
      </c>
      <c r="V301" s="137">
        <v>32.114066162375508</v>
      </c>
      <c r="W301" s="137">
        <v>32.114066162375508</v>
      </c>
      <c r="X301" s="160">
        <v>0</v>
      </c>
      <c r="Y301" s="137">
        <v>0</v>
      </c>
      <c r="Z301" s="137">
        <v>0</v>
      </c>
      <c r="AA301" s="137">
        <v>32.114066162375508</v>
      </c>
      <c r="AB301" s="159">
        <v>0</v>
      </c>
      <c r="AC301" s="137">
        <v>0</v>
      </c>
      <c r="AD301" s="137">
        <v>0</v>
      </c>
      <c r="AE301" s="137">
        <v>32.114066162375508</v>
      </c>
      <c r="AF301" s="137">
        <v>32.114066162375508</v>
      </c>
      <c r="AG301" s="177">
        <v>0.2087414300554408</v>
      </c>
      <c r="AH301" s="137">
        <v>1.8112236973381299</v>
      </c>
      <c r="AI301" s="137">
        <v>1.8112236973381299</v>
      </c>
      <c r="AJ301" s="137">
        <v>1.8112236973381299</v>
      </c>
      <c r="AK301" s="177">
        <v>0</v>
      </c>
      <c r="AL301" s="271">
        <v>33.559199139682406</v>
      </c>
      <c r="AM301" s="161">
        <v>1.8927287637183456</v>
      </c>
      <c r="AN301" s="137">
        <v>33.559199139682406</v>
      </c>
      <c r="AO301" s="137">
        <v>1.8927287637183456</v>
      </c>
      <c r="AP301" s="160">
        <v>33.559199139682406</v>
      </c>
      <c r="AQ301" s="159">
        <v>1.8927287637183456</v>
      </c>
      <c r="AR301" s="271">
        <v>32.114066162375508</v>
      </c>
      <c r="AS301" s="161">
        <v>32.114066162375508</v>
      </c>
      <c r="AT301" s="138">
        <v>32.114066162375508</v>
      </c>
      <c r="AU301" s="138">
        <v>32.114066162375508</v>
      </c>
      <c r="AV301" s="271">
        <v>32.114066162375508</v>
      </c>
      <c r="AW301" s="161">
        <v>32.114066162375508</v>
      </c>
      <c r="AX301" s="277">
        <v>32.114066162375508</v>
      </c>
      <c r="AY301" s="277">
        <v>32.114066162375508</v>
      </c>
      <c r="AZ301" s="278">
        <v>32.114066162375508</v>
      </c>
      <c r="BA301" s="277">
        <v>32.114066162375508</v>
      </c>
    </row>
    <row r="302" spans="1:53">
      <c r="A302" s="158" t="s">
        <v>383</v>
      </c>
      <c r="B302" s="160">
        <v>0</v>
      </c>
      <c r="C302" s="137">
        <v>0</v>
      </c>
      <c r="D302" s="137">
        <v>0</v>
      </c>
      <c r="E302" s="137">
        <v>0</v>
      </c>
      <c r="F302" s="137">
        <v>0</v>
      </c>
      <c r="G302" s="137">
        <v>5.0079881616657165</v>
      </c>
      <c r="H302" s="159">
        <v>0</v>
      </c>
      <c r="I302" s="137">
        <v>0</v>
      </c>
      <c r="J302" s="137">
        <v>0</v>
      </c>
      <c r="K302" s="137">
        <v>0</v>
      </c>
      <c r="L302" s="137">
        <v>0</v>
      </c>
      <c r="M302" s="137">
        <v>5.0079881616657165</v>
      </c>
      <c r="N302" s="137">
        <v>5.0079881616657165</v>
      </c>
      <c r="O302" s="160">
        <v>0</v>
      </c>
      <c r="P302" s="137">
        <v>0</v>
      </c>
      <c r="Q302" s="137">
        <v>0</v>
      </c>
      <c r="R302" s="137">
        <v>5.0079881616657165</v>
      </c>
      <c r="S302" s="159">
        <v>0</v>
      </c>
      <c r="T302" s="137">
        <v>0</v>
      </c>
      <c r="U302" s="137">
        <v>0</v>
      </c>
      <c r="V302" s="137">
        <v>5.0079881616657165</v>
      </c>
      <c r="W302" s="137">
        <v>5.0079881616657165</v>
      </c>
      <c r="X302" s="160">
        <v>0</v>
      </c>
      <c r="Y302" s="137">
        <v>0</v>
      </c>
      <c r="Z302" s="137">
        <v>0</v>
      </c>
      <c r="AA302" s="137">
        <v>5.0079881616657165</v>
      </c>
      <c r="AB302" s="159">
        <v>0</v>
      </c>
      <c r="AC302" s="137">
        <v>0</v>
      </c>
      <c r="AD302" s="137">
        <v>0</v>
      </c>
      <c r="AE302" s="137">
        <v>5.0079881616657165</v>
      </c>
      <c r="AF302" s="137">
        <v>5.0079881616657165</v>
      </c>
      <c r="AG302" s="177">
        <v>3.2551923050827158E-2</v>
      </c>
      <c r="AH302" s="137">
        <v>0.2824490299214979</v>
      </c>
      <c r="AI302" s="137">
        <v>0.2824490299214979</v>
      </c>
      <c r="AJ302" s="137">
        <v>0.2824490299214979</v>
      </c>
      <c r="AK302" s="177">
        <v>0</v>
      </c>
      <c r="AL302" s="271">
        <v>5.2333476289406731</v>
      </c>
      <c r="AM302" s="161">
        <v>0.29515923626796531</v>
      </c>
      <c r="AN302" s="137">
        <v>5.2333476289406731</v>
      </c>
      <c r="AO302" s="137">
        <v>0.29515923626796531</v>
      </c>
      <c r="AP302" s="160">
        <v>5.2333476289406731</v>
      </c>
      <c r="AQ302" s="159">
        <v>0.29515923626796531</v>
      </c>
      <c r="AR302" s="271">
        <v>5.0079881616657165</v>
      </c>
      <c r="AS302" s="161">
        <v>5.0079881616657165</v>
      </c>
      <c r="AT302" s="138">
        <v>5.0079881616657165</v>
      </c>
      <c r="AU302" s="138">
        <v>5.0079881616657165</v>
      </c>
      <c r="AV302" s="271">
        <v>5.0079881616657165</v>
      </c>
      <c r="AW302" s="161">
        <v>5.0079881616657165</v>
      </c>
      <c r="AX302" s="277">
        <v>5.0079881616657165</v>
      </c>
      <c r="AY302" s="277">
        <v>5.0079881616657165</v>
      </c>
      <c r="AZ302" s="278">
        <v>5.0079881616657165</v>
      </c>
      <c r="BA302" s="277">
        <v>5.0079881616657165</v>
      </c>
    </row>
    <row r="303" spans="1:53">
      <c r="A303" s="175" t="s">
        <v>384</v>
      </c>
      <c r="B303" s="253">
        <v>7644.3546259961222</v>
      </c>
      <c r="C303" s="139">
        <v>806029.47929544921</v>
      </c>
      <c r="D303" s="139">
        <v>1362107.1822707129</v>
      </c>
      <c r="E303" s="139">
        <v>1106311.4389020917</v>
      </c>
      <c r="F303" s="139">
        <v>686394.46531771228</v>
      </c>
      <c r="G303" s="139">
        <v>4335883.2259918684</v>
      </c>
      <c r="H303" s="256">
        <v>78680.605229710724</v>
      </c>
      <c r="I303" s="139">
        <v>7644.3546259961222</v>
      </c>
      <c r="J303" s="139">
        <v>823106.96752992459</v>
      </c>
      <c r="K303" s="139">
        <v>1383870.6598909239</v>
      </c>
      <c r="L303" s="139">
        <v>1125919.3614048644</v>
      </c>
      <c r="M303" s="139">
        <v>6494270.6418049932</v>
      </c>
      <c r="N303" s="139">
        <v>6572951.2470347043</v>
      </c>
      <c r="O303" s="253">
        <v>7653.3776809610918</v>
      </c>
      <c r="P303" s="139">
        <v>1390284.8113402806</v>
      </c>
      <c r="Q303" s="139">
        <v>687904.28276267962</v>
      </c>
      <c r="R303" s="139">
        <v>7450183.1319054784</v>
      </c>
      <c r="S303" s="256">
        <v>79003.199030946183</v>
      </c>
      <c r="T303" s="139">
        <v>7653.3776809610918</v>
      </c>
      <c r="U303" s="139">
        <v>1412073.9775979768</v>
      </c>
      <c r="V303" s="139">
        <v>10157128.946960799</v>
      </c>
      <c r="W303" s="139">
        <v>10236132.145991746</v>
      </c>
      <c r="X303" s="253">
        <v>7646.0473511075506</v>
      </c>
      <c r="Y303" s="139">
        <v>1159584.843571496</v>
      </c>
      <c r="Z303" s="139">
        <v>686677.70707038813</v>
      </c>
      <c r="AA303" s="139">
        <v>4920125.8883412611</v>
      </c>
      <c r="AB303" s="256">
        <v>78741.123826822499</v>
      </c>
      <c r="AC303" s="139">
        <v>7646.0473511075506</v>
      </c>
      <c r="AD303" s="139">
        <v>1179601.5796322892</v>
      </c>
      <c r="AE303" s="139">
        <v>7181422.1164963599</v>
      </c>
      <c r="AF303" s="139">
        <v>7260163.2403231822</v>
      </c>
      <c r="AG303" s="175">
        <v>435158.63425361295</v>
      </c>
      <c r="AH303" s="139">
        <v>745016.45795223815</v>
      </c>
      <c r="AI303" s="139">
        <v>928908.13907988172</v>
      </c>
      <c r="AJ303" s="139">
        <v>779514.50001531979</v>
      </c>
      <c r="AK303" s="175">
        <v>627027.37956441077</v>
      </c>
      <c r="AL303" s="253">
        <v>7337936.9003748763</v>
      </c>
      <c r="AM303" s="256">
        <v>1247745.0457837</v>
      </c>
      <c r="AN303" s="139">
        <v>11165960.939784985</v>
      </c>
      <c r="AO303" s="139">
        <v>1439911.8525620874</v>
      </c>
      <c r="AP303" s="253">
        <v>8056074.2101682127</v>
      </c>
      <c r="AQ303" s="256">
        <v>1283795.5387353254</v>
      </c>
      <c r="AR303" s="253">
        <v>14617159.782625597</v>
      </c>
      <c r="AS303" s="256">
        <v>14695840.387855308</v>
      </c>
      <c r="AT303" s="139">
        <v>12444029.905732878</v>
      </c>
      <c r="AU303" s="139">
        <v>12522710.510962589</v>
      </c>
      <c r="AV303" s="253">
        <v>4423743.4100890048</v>
      </c>
      <c r="AW303" s="256">
        <v>4502424.0153187159</v>
      </c>
      <c r="AX303" s="277">
        <v>6572951.2470347043</v>
      </c>
      <c r="AY303" s="277">
        <v>14695840.387855308</v>
      </c>
      <c r="AZ303" s="278">
        <v>12522710.510962589</v>
      </c>
      <c r="BA303" s="277">
        <v>4502424.0153187159</v>
      </c>
    </row>
    <row r="304" spans="1:53">
      <c r="A304" s="175" t="s">
        <v>392</v>
      </c>
      <c r="B304" s="112">
        <v>7661.4761710851271</v>
      </c>
      <c r="C304" s="112">
        <v>807203.07042656839</v>
      </c>
      <c r="D304" s="112">
        <v>1363262.0347106424</v>
      </c>
      <c r="E304" s="112">
        <v>1107474.9111399685</v>
      </c>
      <c r="F304" s="112">
        <v>688666.42246243719</v>
      </c>
      <c r="G304" s="112">
        <v>4339673.1646143654</v>
      </c>
      <c r="H304" s="120">
        <v>78896.619015723176</v>
      </c>
      <c r="I304" s="112">
        <v>7661.4761710851271</v>
      </c>
      <c r="J304" s="112">
        <v>824318.80819277267</v>
      </c>
      <c r="K304" s="112">
        <v>1385074.2573697218</v>
      </c>
      <c r="L304" s="112">
        <v>1127126.7507483254</v>
      </c>
      <c r="M304" s="112">
        <v>6500375.1457989048</v>
      </c>
      <c r="N304" s="120">
        <v>6579271.7648146283</v>
      </c>
      <c r="O304" s="112">
        <v>7670.5926184299205</v>
      </c>
      <c r="P304" s="112">
        <v>1391440.9358212666</v>
      </c>
      <c r="Q304" s="112">
        <v>690191.86714727303</v>
      </c>
      <c r="R304" s="112">
        <v>7458780.1517578429</v>
      </c>
      <c r="S304" s="120">
        <v>79222.551797263062</v>
      </c>
      <c r="T304" s="112">
        <v>7670.5926184299205</v>
      </c>
      <c r="U304" s="112">
        <v>1413279.1130059366</v>
      </c>
      <c r="V304" s="112">
        <v>10168036.211390223</v>
      </c>
      <c r="W304" s="120">
        <v>10247258.763187487</v>
      </c>
      <c r="X304" s="112">
        <v>7663.1864166070109</v>
      </c>
      <c r="Y304" s="112">
        <v>1160746.9373701802</v>
      </c>
      <c r="Z304" s="112">
        <v>688952.59588531242</v>
      </c>
      <c r="AA304" s="112">
        <v>4924817.6354024811</v>
      </c>
      <c r="AB304" s="120">
        <v>78957.76400554007</v>
      </c>
      <c r="AC304" s="112">
        <v>7663.1864166070109</v>
      </c>
      <c r="AD304" s="112">
        <v>1180808.5421238651</v>
      </c>
      <c r="AE304" s="112">
        <v>7188427.6106539303</v>
      </c>
      <c r="AF304" s="120">
        <v>7267385.3746594703</v>
      </c>
      <c r="AG304" s="120">
        <v>436084.70690275374</v>
      </c>
      <c r="AH304" s="112">
        <v>746217.03603754088</v>
      </c>
      <c r="AI304" s="112">
        <v>930349.98335585836</v>
      </c>
      <c r="AJ304" s="120">
        <v>780760.33925175201</v>
      </c>
      <c r="AK304" s="120">
        <v>628291.2572185162</v>
      </c>
      <c r="AL304" s="124">
        <v>7345138.8650137475</v>
      </c>
      <c r="AM304" s="120">
        <v>1249596.6734416918</v>
      </c>
      <c r="AN304" s="112">
        <v>11178185.278313383</v>
      </c>
      <c r="AO304" s="112">
        <v>1442015.6033893335</v>
      </c>
      <c r="AP304" s="124">
        <v>8064218.3721487597</v>
      </c>
      <c r="AQ304" s="120">
        <v>1285694.4646998693</v>
      </c>
      <c r="AR304" s="124">
        <v>14629792.885592842</v>
      </c>
      <c r="AS304" s="120">
        <v>14708689.504608568</v>
      </c>
      <c r="AT304" s="112">
        <v>12455373.085527441</v>
      </c>
      <c r="AU304" s="112">
        <v>12534269.704543164</v>
      </c>
      <c r="AV304" s="124">
        <v>4428820.7664414486</v>
      </c>
      <c r="AW304" s="120">
        <v>4507717.3854571721</v>
      </c>
      <c r="AX304" s="277">
        <v>6579271.7648146283</v>
      </c>
      <c r="AY304" s="135">
        <v>14708689.504608568</v>
      </c>
      <c r="AZ304" s="136">
        <v>12534269.704543164</v>
      </c>
      <c r="BA304" s="135">
        <v>4507717.3854571721</v>
      </c>
    </row>
    <row r="305" spans="1:53">
      <c r="A305" s="179" t="s">
        <v>393</v>
      </c>
      <c r="B305" s="121">
        <v>7998.751374915405</v>
      </c>
      <c r="C305" s="121">
        <v>868097.81477849756</v>
      </c>
      <c r="D305" s="121">
        <v>1427045.7869191568</v>
      </c>
      <c r="E305" s="121">
        <v>1169929.7197344538</v>
      </c>
      <c r="F305" s="121">
        <v>781173.62605756498</v>
      </c>
      <c r="G305" s="121">
        <v>4862836.4080791203</v>
      </c>
      <c r="H305" s="110">
        <v>85763.125414158349</v>
      </c>
      <c r="I305" s="121">
        <v>7998.751374915405</v>
      </c>
      <c r="J305" s="121">
        <v>885967.02535005868</v>
      </c>
      <c r="K305" s="121">
        <v>1449818.2320835409</v>
      </c>
      <c r="L305" s="121">
        <v>1190446.6769861393</v>
      </c>
      <c r="M305" s="121">
        <v>7144922.6878615487</v>
      </c>
      <c r="N305" s="110">
        <v>7230685.8132757079</v>
      </c>
      <c r="O305" s="121">
        <v>8011.0141698628358</v>
      </c>
      <c r="P305" s="121">
        <v>1458070.060837443</v>
      </c>
      <c r="Q305" s="121">
        <v>783225.54548037332</v>
      </c>
      <c r="R305" s="121">
        <v>8250869.4505374273</v>
      </c>
      <c r="S305" s="110">
        <v>86201.546952231743</v>
      </c>
      <c r="T305" s="121">
        <v>8011.0141698628358</v>
      </c>
      <c r="U305" s="121">
        <v>1480877.4181790426</v>
      </c>
      <c r="V305" s="121">
        <v>11089711.461186651</v>
      </c>
      <c r="W305" s="110">
        <v>11175913.008138884</v>
      </c>
      <c r="X305" s="121">
        <v>8001.0518752475436</v>
      </c>
      <c r="Y305" s="121">
        <v>1223984.8477253746</v>
      </c>
      <c r="Z305" s="121">
        <v>781558.56614128384</v>
      </c>
      <c r="AA305" s="121">
        <v>5498431.4068442984</v>
      </c>
      <c r="AB305" s="110">
        <v>85845.373294700941</v>
      </c>
      <c r="AC305" s="121">
        <v>8001.0518752475436</v>
      </c>
      <c r="AD305" s="121">
        <v>1244930.9570340421</v>
      </c>
      <c r="AE305" s="121">
        <v>7884964.0514785564</v>
      </c>
      <c r="AF305" s="110">
        <v>7970809.4247732572</v>
      </c>
      <c r="AG305" s="110">
        <v>478597.52194401924</v>
      </c>
      <c r="AH305" s="121">
        <v>819466.74425664602</v>
      </c>
      <c r="AI305" s="121">
        <v>1017517.1494387775</v>
      </c>
      <c r="AJ305" s="110">
        <v>856620.9495538231</v>
      </c>
      <c r="AK305" s="110">
        <v>682538.05279007857</v>
      </c>
      <c r="AL305" s="125">
        <v>8061756.6071145618</v>
      </c>
      <c r="AM305" s="110">
        <v>1362032.6799896436</v>
      </c>
      <c r="AN305" s="121">
        <v>12184519.02574658</v>
      </c>
      <c r="AO305" s="121">
        <v>1568995.3534049711</v>
      </c>
      <c r="AP305" s="125">
        <v>8835186.8368499279</v>
      </c>
      <c r="AQ305" s="110">
        <v>1400858.8775223591</v>
      </c>
      <c r="AR305" s="125">
        <v>15739001.822045786</v>
      </c>
      <c r="AS305" s="110">
        <v>15824764.947459947</v>
      </c>
      <c r="AT305" s="121">
        <v>13464614.929079024</v>
      </c>
      <c r="AU305" s="121">
        <v>13550378.054493183</v>
      </c>
      <c r="AV305" s="125">
        <v>4983710.8472587885</v>
      </c>
      <c r="AW305" s="110">
        <v>5069473.9726729477</v>
      </c>
      <c r="AX305" s="277">
        <v>7230685.8132757079</v>
      </c>
      <c r="AY305" s="135">
        <v>15824764.947459947</v>
      </c>
      <c r="AZ305" s="136">
        <v>13550378.054493183</v>
      </c>
      <c r="BA305" s="135">
        <v>5069473.9726729477</v>
      </c>
    </row>
    <row r="306" spans="1:53">
      <c r="A306" s="145" t="s">
        <v>394</v>
      </c>
      <c r="B306" s="156"/>
      <c r="C306" s="154"/>
      <c r="D306" s="154"/>
      <c r="E306" s="154"/>
      <c r="F306" s="154"/>
      <c r="G306" s="154"/>
      <c r="H306" s="155"/>
      <c r="I306" s="156"/>
      <c r="J306" s="154"/>
      <c r="K306" s="154"/>
      <c r="L306" s="154"/>
      <c r="M306" s="154"/>
      <c r="N306" s="155"/>
      <c r="O306" s="156"/>
      <c r="P306" s="154"/>
      <c r="Q306" s="154"/>
      <c r="R306" s="154"/>
      <c r="S306" s="155"/>
      <c r="T306" s="156"/>
      <c r="U306" s="154"/>
      <c r="V306" s="154"/>
      <c r="W306" s="155"/>
      <c r="X306" s="156"/>
      <c r="Y306" s="154"/>
      <c r="Z306" s="154"/>
      <c r="AA306" s="154"/>
      <c r="AB306" s="155"/>
      <c r="AC306" s="156"/>
      <c r="AD306" s="154"/>
      <c r="AE306" s="154"/>
      <c r="AF306" s="155"/>
      <c r="AG306" s="258"/>
      <c r="AH306" s="156"/>
      <c r="AI306" s="154"/>
      <c r="AJ306" s="155"/>
      <c r="AK306" s="258"/>
      <c r="AL306" s="169"/>
      <c r="AM306" s="236"/>
      <c r="AN306" s="156"/>
      <c r="AO306" s="154"/>
      <c r="AP306" s="156"/>
      <c r="AQ306" s="155"/>
      <c r="AR306" s="169"/>
      <c r="AS306" s="226"/>
      <c r="AT306" s="169"/>
      <c r="AU306" s="226"/>
      <c r="AV306" s="169"/>
      <c r="AW306" s="226"/>
      <c r="AX306" s="172" t="s">
        <v>446</v>
      </c>
      <c r="AY306" s="172" t="s">
        <v>446</v>
      </c>
      <c r="AZ306" s="279" t="s">
        <v>446</v>
      </c>
      <c r="BA306" s="172" t="s">
        <v>446</v>
      </c>
    </row>
    <row r="307" spans="1:53">
      <c r="A307" s="158" t="s">
        <v>372</v>
      </c>
      <c r="B307" s="160">
        <v>0.20574518676395331</v>
      </c>
      <c r="C307" s="137">
        <v>5.5150517494191549</v>
      </c>
      <c r="D307" s="137">
        <v>5.4882140264829999</v>
      </c>
      <c r="E307" s="137">
        <v>5.500559379033632</v>
      </c>
      <c r="F307" s="137">
        <v>43.034393812863613</v>
      </c>
      <c r="G307" s="137">
        <v>34.724668763954931</v>
      </c>
      <c r="H307" s="159">
        <v>0.90878155236054203</v>
      </c>
      <c r="I307" s="160">
        <v>0.20574518676395331</v>
      </c>
      <c r="J307" s="137">
        <v>5.9746864966498263</v>
      </c>
      <c r="K307" s="137">
        <v>6.0739705731999747</v>
      </c>
      <c r="L307" s="137">
        <v>6.0282998979869067</v>
      </c>
      <c r="M307" s="137">
        <v>46.280919668395832</v>
      </c>
      <c r="N307" s="159">
        <v>47.189701220756376</v>
      </c>
      <c r="O307" s="160">
        <v>0.20669815213592491</v>
      </c>
      <c r="P307" s="137">
        <v>5.5052388244908013</v>
      </c>
      <c r="Q307" s="137">
        <v>43.19385241625664</v>
      </c>
      <c r="R307" s="137">
        <v>74.859305289113536</v>
      </c>
      <c r="S307" s="159">
        <v>0.94285213299909643</v>
      </c>
      <c r="T307" s="160">
        <v>0.20669815213592491</v>
      </c>
      <c r="U307" s="137">
        <v>6.0937084636217795</v>
      </c>
      <c r="V307" s="137">
        <v>86.540944413876488</v>
      </c>
      <c r="W307" s="159">
        <v>87.483796546875581</v>
      </c>
      <c r="X307" s="160">
        <v>0.20592396306773517</v>
      </c>
      <c r="Y307" s="137">
        <v>5.501437243001396</v>
      </c>
      <c r="Z307" s="137">
        <v>43.064308246860143</v>
      </c>
      <c r="AA307" s="137">
        <v>42.253926576074683</v>
      </c>
      <c r="AB307" s="159">
        <v>0.9151731932883348</v>
      </c>
      <c r="AC307" s="160">
        <v>0.20592396306773517</v>
      </c>
      <c r="AD307" s="137">
        <v>6.0405295907256535</v>
      </c>
      <c r="AE307" s="137">
        <v>53.833621801495759</v>
      </c>
      <c r="AF307" s="159">
        <v>54.748794994784092</v>
      </c>
      <c r="AG307" s="177">
        <v>3.8960044559990092</v>
      </c>
      <c r="AH307" s="160">
        <v>6.0849320514138245</v>
      </c>
      <c r="AI307" s="137">
        <v>8.1076956367850102</v>
      </c>
      <c r="AJ307" s="159">
        <v>6.4643985588700161</v>
      </c>
      <c r="AK307" s="177">
        <v>5.9604600114451642</v>
      </c>
      <c r="AL307" s="271">
        <v>53.238500812786057</v>
      </c>
      <c r="AM307" s="138">
        <v>10.284017030823094</v>
      </c>
      <c r="AN307" s="160">
        <v>95.345830428580626</v>
      </c>
      <c r="AO307" s="137">
        <v>12.397804977535982</v>
      </c>
      <c r="AP307" s="160">
        <v>61.137835848709116</v>
      </c>
      <c r="AQ307" s="159">
        <v>10.68056364962643</v>
      </c>
      <c r="AR307" s="271">
        <v>94.818683886918095</v>
      </c>
      <c r="AS307" s="161">
        <v>95.727465439278632</v>
      </c>
      <c r="AT307" s="271">
        <v>85.636340748633685</v>
      </c>
      <c r="AU307" s="161">
        <v>86.545122300994223</v>
      </c>
      <c r="AV307" s="271">
        <v>40.603334266916036</v>
      </c>
      <c r="AW307" s="161">
        <v>41.51211581927658</v>
      </c>
      <c r="AX307" s="272">
        <v>47.189701220756376</v>
      </c>
      <c r="AY307" s="272">
        <v>95.727465439278632</v>
      </c>
      <c r="AZ307" s="280">
        <v>86.545122300994223</v>
      </c>
      <c r="BA307" s="272">
        <v>41.51211581927658</v>
      </c>
    </row>
    <row r="308" spans="1:53">
      <c r="A308" s="158" t="s">
        <v>373</v>
      </c>
      <c r="B308" s="160">
        <v>0.18840891051218056</v>
      </c>
      <c r="C308" s="137">
        <v>30.320879677510074</v>
      </c>
      <c r="D308" s="137">
        <v>19.543413862397486</v>
      </c>
      <c r="E308" s="137">
        <v>24.501048137349279</v>
      </c>
      <c r="F308" s="137">
        <v>45.418075373572421</v>
      </c>
      <c r="G308" s="137">
        <v>312.0451849364739</v>
      </c>
      <c r="H308" s="159">
        <v>4.202238295060595</v>
      </c>
      <c r="I308" s="160">
        <v>0.18840891051218056</v>
      </c>
      <c r="J308" s="137">
        <v>30.741785183594285</v>
      </c>
      <c r="K308" s="137">
        <v>20.079814030625663</v>
      </c>
      <c r="L308" s="137">
        <v>24.984320760991231</v>
      </c>
      <c r="M308" s="137">
        <v>359.94012783529411</v>
      </c>
      <c r="N308" s="159">
        <v>364.14236613035467</v>
      </c>
      <c r="O308" s="160">
        <v>0.18307796834943835</v>
      </c>
      <c r="P308" s="137">
        <v>22.674726173099351</v>
      </c>
      <c r="Q308" s="137">
        <v>44.526054931863015</v>
      </c>
      <c r="R308" s="137">
        <v>491.02928493461758</v>
      </c>
      <c r="S308" s="159">
        <v>4.0116455409299778</v>
      </c>
      <c r="T308" s="160">
        <v>0.18307796834943835</v>
      </c>
      <c r="U308" s="137">
        <v>23.195949148990202</v>
      </c>
      <c r="V308" s="137">
        <v>535.49591945323175</v>
      </c>
      <c r="W308" s="159">
        <v>539.50756499416173</v>
      </c>
      <c r="X308" s="160">
        <v>0.1874088257624501</v>
      </c>
      <c r="Y308" s="137">
        <v>24.158430136855991</v>
      </c>
      <c r="Z308" s="137">
        <v>45.250732338707735</v>
      </c>
      <c r="AA308" s="137">
        <v>345.62260209612566</v>
      </c>
      <c r="AB308" s="159">
        <v>4.1664830943856916</v>
      </c>
      <c r="AC308" s="160">
        <v>0.1874088257624501</v>
      </c>
      <c r="AD308" s="137">
        <v>24.649051346546351</v>
      </c>
      <c r="AE308" s="137">
        <v>392.874833527455</v>
      </c>
      <c r="AF308" s="159">
        <v>397.04131662184068</v>
      </c>
      <c r="AG308" s="177">
        <v>22.732436746085121</v>
      </c>
      <c r="AH308" s="160">
        <v>39.962144948159789</v>
      </c>
      <c r="AI308" s="137">
        <v>48.765477931122902</v>
      </c>
      <c r="AJ308" s="159">
        <v>41.613672262832388</v>
      </c>
      <c r="AK308" s="177">
        <v>38.003791886689825</v>
      </c>
      <c r="AL308" s="271">
        <v>418.81099101982807</v>
      </c>
      <c r="AM308" s="138">
        <v>80.0426598844344</v>
      </c>
      <c r="AN308" s="160">
        <v>602.06762383250646</v>
      </c>
      <c r="AO308" s="137">
        <v>89.242142851630859</v>
      </c>
      <c r="AP308" s="160">
        <v>453.18993533548655</v>
      </c>
      <c r="AQ308" s="159">
        <v>81.76848288908046</v>
      </c>
      <c r="AR308" s="271">
        <v>1365.1455714306517</v>
      </c>
      <c r="AS308" s="161">
        <v>1369.3478097257123</v>
      </c>
      <c r="AT308" s="271">
        <v>1092.0794083831165</v>
      </c>
      <c r="AU308" s="161">
        <v>1096.2816466781771</v>
      </c>
      <c r="AV308" s="271">
        <v>186.27092853981168</v>
      </c>
      <c r="AW308" s="161">
        <v>190.47316683487227</v>
      </c>
      <c r="AX308" s="272">
        <v>364.14236613035467</v>
      </c>
      <c r="AY308" s="272">
        <v>1369.3478097257123</v>
      </c>
      <c r="AZ308" s="281">
        <v>1096.2816466781771</v>
      </c>
      <c r="BA308" s="272">
        <v>190.47316683487227</v>
      </c>
    </row>
    <row r="309" spans="1:53">
      <c r="A309" s="158" t="s">
        <v>374</v>
      </c>
      <c r="B309" s="160">
        <v>0.3183689298461107</v>
      </c>
      <c r="C309" s="137">
        <v>42.282897325075758</v>
      </c>
      <c r="D309" s="137">
        <v>34.412016182451765</v>
      </c>
      <c r="E309" s="137">
        <v>38.032621508058803</v>
      </c>
      <c r="F309" s="137">
        <v>73.519975748609994</v>
      </c>
      <c r="G309" s="137">
        <v>721.09184310648254</v>
      </c>
      <c r="H309" s="159">
        <v>6.6962284409131616</v>
      </c>
      <c r="I309" s="160">
        <v>0.3183689298461107</v>
      </c>
      <c r="J309" s="137">
        <v>42.994133514351972</v>
      </c>
      <c r="K309" s="137">
        <v>35.318412525723645</v>
      </c>
      <c r="L309" s="137">
        <v>38.849244180492676</v>
      </c>
      <c r="M309" s="137">
        <v>795.56584420048705</v>
      </c>
      <c r="N309" s="159">
        <v>802.26207264140021</v>
      </c>
      <c r="O309" s="160">
        <v>0.29942683902446376</v>
      </c>
      <c r="P309" s="137">
        <v>39.487145523350591</v>
      </c>
      <c r="Q309" s="137">
        <v>70.350417403048482</v>
      </c>
      <c r="R309" s="137">
        <v>932.28199203555573</v>
      </c>
      <c r="S309" s="159">
        <v>6.0190075766686153</v>
      </c>
      <c r="T309" s="160">
        <v>0.29942683902446376</v>
      </c>
      <c r="U309" s="137">
        <v>40.339613734053238</v>
      </c>
      <c r="V309" s="137">
        <v>1009.6130315637358</v>
      </c>
      <c r="W309" s="159">
        <v>1015.6320391404045</v>
      </c>
      <c r="X309" s="160">
        <v>0.31481539360796973</v>
      </c>
      <c r="Y309" s="137">
        <v>38.305490213327545</v>
      </c>
      <c r="Z309" s="137">
        <v>72.925366602982649</v>
      </c>
      <c r="AA309" s="137">
        <v>760.71111504557666</v>
      </c>
      <c r="AB309" s="159">
        <v>6.5691818067808851</v>
      </c>
      <c r="AC309" s="160">
        <v>0.31481539360796973</v>
      </c>
      <c r="AD309" s="137">
        <v>39.129651554783621</v>
      </c>
      <c r="AE309" s="137">
        <v>835.72265707609688</v>
      </c>
      <c r="AF309" s="159">
        <v>842.29183888287776</v>
      </c>
      <c r="AG309" s="177">
        <v>35.640883481895756</v>
      </c>
      <c r="AH309" s="160">
        <v>74.267830711630467</v>
      </c>
      <c r="AI309" s="137">
        <v>84.979003029880488</v>
      </c>
      <c r="AJ309" s="159">
        <v>76.277324976952627</v>
      </c>
      <c r="AK309" s="177">
        <v>71.352092428161797</v>
      </c>
      <c r="AL309" s="271">
        <v>913.82654068534623</v>
      </c>
      <c r="AM309" s="138">
        <v>153.07255786873688</v>
      </c>
      <c r="AN309" s="160">
        <v>1136.7981556768057</v>
      </c>
      <c r="AO309" s="137">
        <v>164.26573294130816</v>
      </c>
      <c r="AP309" s="160">
        <v>955.65601565774409</v>
      </c>
      <c r="AQ309" s="159">
        <v>155.17239751235124</v>
      </c>
      <c r="AR309" s="271">
        <v>3201.5374082671751</v>
      </c>
      <c r="AS309" s="161">
        <v>3208.2336367080884</v>
      </c>
      <c r="AT309" s="271">
        <v>2507.0791243261456</v>
      </c>
      <c r="AU309" s="161">
        <v>2513.7753527670588</v>
      </c>
      <c r="AV309" s="271">
        <v>367.02532407724129</v>
      </c>
      <c r="AW309" s="161">
        <v>373.72155251815445</v>
      </c>
      <c r="AX309" s="272">
        <v>802.26207264140021</v>
      </c>
      <c r="AY309" s="272">
        <v>3208.2336367080884</v>
      </c>
      <c r="AZ309" s="281">
        <v>2513.7753527670588</v>
      </c>
      <c r="BA309" s="272">
        <v>373.72155251815445</v>
      </c>
    </row>
    <row r="310" spans="1:53">
      <c r="A310" s="158" t="s">
        <v>375</v>
      </c>
      <c r="B310" s="160">
        <v>4.9020198173474597E-2</v>
      </c>
      <c r="C310" s="137">
        <v>1.7894636238734694</v>
      </c>
      <c r="D310" s="137">
        <v>2.8082672359014627</v>
      </c>
      <c r="E310" s="137">
        <v>2.3396175743685856</v>
      </c>
      <c r="F310" s="137">
        <v>11.602545080413027</v>
      </c>
      <c r="G310" s="137">
        <v>79.316529937190055</v>
      </c>
      <c r="H310" s="159">
        <v>0.49861673453106981</v>
      </c>
      <c r="I310" s="160">
        <v>4.9020198173474597E-2</v>
      </c>
      <c r="J310" s="137">
        <v>1.8989747465930116</v>
      </c>
      <c r="K310" s="137">
        <v>2.9478277401013449</v>
      </c>
      <c r="L310" s="137">
        <v>2.4653553630875118</v>
      </c>
      <c r="M310" s="137">
        <v>84.042616168228818</v>
      </c>
      <c r="N310" s="159">
        <v>84.541232902759887</v>
      </c>
      <c r="O310" s="160">
        <v>4.7269394964034782E-2</v>
      </c>
      <c r="P310" s="137">
        <v>3.4604471229980867</v>
      </c>
      <c r="Q310" s="137">
        <v>11.309585186166602</v>
      </c>
      <c r="R310" s="137">
        <v>111.50353861480761</v>
      </c>
      <c r="S310" s="159">
        <v>0.43602171934594741</v>
      </c>
      <c r="T310" s="160">
        <v>4.7269394964034782E-2</v>
      </c>
      <c r="U310" s="137">
        <v>3.5950230904606935</v>
      </c>
      <c r="V310" s="137">
        <v>118.39519787922076</v>
      </c>
      <c r="W310" s="159">
        <v>118.8312195985667</v>
      </c>
      <c r="X310" s="160">
        <v>4.8691747491383684E-2</v>
      </c>
      <c r="Y310" s="137">
        <v>2.5498851976914798</v>
      </c>
      <c r="Z310" s="137">
        <v>11.547585804252398</v>
      </c>
      <c r="AA310" s="137">
        <v>85.354812765111106</v>
      </c>
      <c r="AB310" s="159">
        <v>0.4868739096823409</v>
      </c>
      <c r="AC310" s="160">
        <v>4.8691747491383684E-2</v>
      </c>
      <c r="AD310" s="137">
        <v>2.6773562704062783</v>
      </c>
      <c r="AE310" s="137">
        <v>90.487304735479938</v>
      </c>
      <c r="AF310" s="159">
        <v>90.974178645162283</v>
      </c>
      <c r="AG310" s="177">
        <v>2.1590863080671401</v>
      </c>
      <c r="AH310" s="160">
        <v>6.3033064123529847</v>
      </c>
      <c r="AI310" s="137">
        <v>8.0246637444824866</v>
      </c>
      <c r="AJ310" s="159">
        <v>6.6262402886215845</v>
      </c>
      <c r="AK310" s="177">
        <v>5.8569776613191724</v>
      </c>
      <c r="AL310" s="271">
        <v>96.30708222252909</v>
      </c>
      <c r="AM310" s="138">
        <v>14.548449040053869</v>
      </c>
      <c r="AN310" s="160">
        <v>132.1401183196472</v>
      </c>
      <c r="AO310" s="137">
        <v>16.347267452129199</v>
      </c>
      <c r="AP310" s="160">
        <v>103.02935979434844</v>
      </c>
      <c r="AQ310" s="159">
        <v>14.885907374159201</v>
      </c>
      <c r="AR310" s="271">
        <v>339.38229777913381</v>
      </c>
      <c r="AS310" s="161">
        <v>339.88091451366489</v>
      </c>
      <c r="AT310" s="271">
        <v>266.66782967102347</v>
      </c>
      <c r="AU310" s="161">
        <v>267.16644640555455</v>
      </c>
      <c r="AV310" s="271">
        <v>36.05941462676148</v>
      </c>
      <c r="AW310" s="161">
        <v>36.558031361292549</v>
      </c>
      <c r="AX310" s="272">
        <v>84.541232902759887</v>
      </c>
      <c r="AY310" s="272">
        <v>339.88091451366489</v>
      </c>
      <c r="AZ310" s="281">
        <v>267.16644640555455</v>
      </c>
      <c r="BA310" s="272">
        <v>36.558031361292549</v>
      </c>
    </row>
    <row r="311" spans="1:53">
      <c r="A311" s="158" t="s">
        <v>376</v>
      </c>
      <c r="B311" s="160">
        <v>4.1989348056209436E-2</v>
      </c>
      <c r="C311" s="137">
        <v>1.5079889174139263</v>
      </c>
      <c r="D311" s="137">
        <v>2.3726997693120273</v>
      </c>
      <c r="E311" s="137">
        <v>1.9749327774389012</v>
      </c>
      <c r="F311" s="137">
        <v>9.6447638475003004</v>
      </c>
      <c r="G311" s="137">
        <v>62.540032741607241</v>
      </c>
      <c r="H311" s="159">
        <v>0.4193631731516419</v>
      </c>
      <c r="I311" s="160">
        <v>4.1989348056209436E-2</v>
      </c>
      <c r="J311" s="137">
        <v>1.6017931209714982</v>
      </c>
      <c r="K311" s="137">
        <v>2.4922434432280554</v>
      </c>
      <c r="L311" s="137">
        <v>2.0826362949900394</v>
      </c>
      <c r="M311" s="137">
        <v>66.532446519103146</v>
      </c>
      <c r="N311" s="159">
        <v>66.951809692254784</v>
      </c>
      <c r="O311" s="160">
        <v>4.0916321995105913E-2</v>
      </c>
      <c r="P311" s="137">
        <v>2.978281239188445</v>
      </c>
      <c r="Q311" s="137">
        <v>9.465215626609659</v>
      </c>
      <c r="R311" s="137">
        <v>97.315586441662205</v>
      </c>
      <c r="S311" s="159">
        <v>0.38100016226231564</v>
      </c>
      <c r="T311" s="160">
        <v>4.0916321995105913E-2</v>
      </c>
      <c r="U311" s="137">
        <v>3.0947700079085116</v>
      </c>
      <c r="V311" s="137">
        <v>103.24826054682282</v>
      </c>
      <c r="W311" s="159">
        <v>103.62926070908513</v>
      </c>
      <c r="X311" s="160">
        <v>4.1788048367146412E-2</v>
      </c>
      <c r="Y311" s="137">
        <v>2.1631609488631156</v>
      </c>
      <c r="Z311" s="137">
        <v>9.6110806012612162</v>
      </c>
      <c r="AA311" s="137">
        <v>69.063926615737557</v>
      </c>
      <c r="AB311" s="159">
        <v>0.41216627230880432</v>
      </c>
      <c r="AC311" s="160">
        <v>4.1788048367146412E-2</v>
      </c>
      <c r="AD311" s="137">
        <v>2.2725586933774329</v>
      </c>
      <c r="AE311" s="137">
        <v>73.420421630942101</v>
      </c>
      <c r="AF311" s="159">
        <v>73.832587903250911</v>
      </c>
      <c r="AG311" s="177">
        <v>1.8053463150032023</v>
      </c>
      <c r="AH311" s="160">
        <v>5.0829201618012441</v>
      </c>
      <c r="AI311" s="137">
        <v>6.924128202846128</v>
      </c>
      <c r="AJ311" s="159">
        <v>5.4283352279932497</v>
      </c>
      <c r="AK311" s="177">
        <v>4.9636497653322804</v>
      </c>
      <c r="AL311" s="271">
        <v>76.628382643392683</v>
      </c>
      <c r="AM311" s="138">
        <v>11.975393084068738</v>
      </c>
      <c r="AN311" s="160">
        <v>114.95631895598039</v>
      </c>
      <c r="AO311" s="137">
        <v>13.899455486960642</v>
      </c>
      <c r="AP311" s="160">
        <v>83.818703495634139</v>
      </c>
      <c r="AQ311" s="159">
        <v>12.33634719085126</v>
      </c>
      <c r="AR311" s="271">
        <v>264.7602740190402</v>
      </c>
      <c r="AS311" s="161">
        <v>265.17963719219182</v>
      </c>
      <c r="AT311" s="271">
        <v>209.83996873242845</v>
      </c>
      <c r="AU311" s="161">
        <v>210.2593319055801</v>
      </c>
      <c r="AV311" s="271">
        <v>29.052779245009496</v>
      </c>
      <c r="AW311" s="161">
        <v>29.472142418161138</v>
      </c>
      <c r="AX311" s="272">
        <v>66.951809692254784</v>
      </c>
      <c r="AY311" s="272">
        <v>265.17963719219182</v>
      </c>
      <c r="AZ311" s="281">
        <v>210.2593319055801</v>
      </c>
      <c r="BA311" s="272">
        <v>29.472142418161138</v>
      </c>
    </row>
    <row r="312" spans="1:53">
      <c r="A312" s="158" t="s">
        <v>377</v>
      </c>
      <c r="B312" s="160">
        <v>0.18479548821673186</v>
      </c>
      <c r="C312" s="137">
        <v>15.778872378152776</v>
      </c>
      <c r="D312" s="137">
        <v>21.396624999868052</v>
      </c>
      <c r="E312" s="137">
        <v>18.812458793879024</v>
      </c>
      <c r="F312" s="137">
        <v>38.704521925499137</v>
      </c>
      <c r="G312" s="137">
        <v>896.71340820522255</v>
      </c>
      <c r="H312" s="159">
        <v>4.0284793474558045</v>
      </c>
      <c r="I312" s="160">
        <v>0.18479548821673186</v>
      </c>
      <c r="J312" s="137">
        <v>16.191705498828956</v>
      </c>
      <c r="K312" s="137">
        <v>21.922737754821089</v>
      </c>
      <c r="L312" s="137">
        <v>19.286462917064707</v>
      </c>
      <c r="M312" s="137">
        <v>933.68555761723565</v>
      </c>
      <c r="N312" s="159">
        <v>937.71403696469145</v>
      </c>
      <c r="O312" s="160">
        <v>0.14568864086472388</v>
      </c>
      <c r="P312" s="137">
        <v>23.617638949981004</v>
      </c>
      <c r="Q312" s="137">
        <v>32.160817982769345</v>
      </c>
      <c r="R312" s="137">
        <v>704.34947850625804</v>
      </c>
      <c r="S312" s="159">
        <v>2.6303246658543076</v>
      </c>
      <c r="T312" s="160">
        <v>0.14568864086472388</v>
      </c>
      <c r="U312" s="137">
        <v>24.032414510522873</v>
      </c>
      <c r="V312" s="137">
        <v>750.41961712293039</v>
      </c>
      <c r="W312" s="159">
        <v>753.04994178878474</v>
      </c>
      <c r="X312" s="160">
        <v>0.17745904365349516</v>
      </c>
      <c r="Y312" s="137">
        <v>19.713910591163756</v>
      </c>
      <c r="Z312" s="137">
        <v>37.476923065843025</v>
      </c>
      <c r="AA312" s="137">
        <v>860.62593499369677</v>
      </c>
      <c r="AB312" s="159">
        <v>3.7661855291873638</v>
      </c>
      <c r="AC312" s="160">
        <v>0.17745904365349516</v>
      </c>
      <c r="AD312" s="137">
        <v>20.178484072767723</v>
      </c>
      <c r="AE312" s="137">
        <v>899.30808896119254</v>
      </c>
      <c r="AF312" s="159">
        <v>903.07427449037993</v>
      </c>
      <c r="AG312" s="177">
        <v>19.567827426792739</v>
      </c>
      <c r="AH312" s="160">
        <v>65.737038455302425</v>
      </c>
      <c r="AI312" s="137">
        <v>56.466900877471907</v>
      </c>
      <c r="AJ312" s="159">
        <v>63.998122379091988</v>
      </c>
      <c r="AK312" s="177">
        <v>50.144300399695581</v>
      </c>
      <c r="AL312" s="271">
        <v>1049.7094468990429</v>
      </c>
      <c r="AM312" s="138">
        <v>138.49348345673133</v>
      </c>
      <c r="AN312" s="160">
        <v>856.7354674402203</v>
      </c>
      <c r="AO312" s="137">
        <v>128.80618968789844</v>
      </c>
      <c r="AP312" s="160">
        <v>1013.5075283525678</v>
      </c>
      <c r="AQ312" s="159">
        <v>136.67614714569828</v>
      </c>
      <c r="AR312" s="271">
        <v>4102.9573902564671</v>
      </c>
      <c r="AS312" s="161">
        <v>4106.9858696039228</v>
      </c>
      <c r="AT312" s="271">
        <v>3109.0071015109716</v>
      </c>
      <c r="AU312" s="161">
        <v>3113.0355808584272</v>
      </c>
      <c r="AV312" s="271">
        <v>353.80663086106034</v>
      </c>
      <c r="AW312" s="161">
        <v>357.83511020851614</v>
      </c>
      <c r="AX312" s="272">
        <v>937.71403696469145</v>
      </c>
      <c r="AY312" s="272">
        <v>4106.9858696039228</v>
      </c>
      <c r="AZ312" s="272">
        <v>3113.0355808584272</v>
      </c>
      <c r="BA312" s="272">
        <v>357.83511020851614</v>
      </c>
    </row>
    <row r="313" spans="1:53">
      <c r="A313" s="158" t="s">
        <v>378</v>
      </c>
      <c r="B313" s="160">
        <v>4.3809203193679409E-3</v>
      </c>
      <c r="C313" s="137">
        <v>8.1824689674265844E-2</v>
      </c>
      <c r="D313" s="137">
        <v>0.15017290698219493</v>
      </c>
      <c r="E313" s="137">
        <v>0.11873272702054756</v>
      </c>
      <c r="F313" s="137">
        <v>1.062284869153957</v>
      </c>
      <c r="G313" s="137">
        <v>3.0084484126074162</v>
      </c>
      <c r="H313" s="159">
        <v>2.4152352620197163E-2</v>
      </c>
      <c r="I313" s="160">
        <v>4.3809203193679409E-3</v>
      </c>
      <c r="J313" s="137">
        <v>9.1611665667733821E-2</v>
      </c>
      <c r="K313" s="137">
        <v>0.16264538713143545</v>
      </c>
      <c r="L313" s="137">
        <v>0.12996987525813272</v>
      </c>
      <c r="M313" s="137">
        <v>3.2576006634772567</v>
      </c>
      <c r="N313" s="159">
        <v>3.2817530160974537</v>
      </c>
      <c r="O313" s="160">
        <v>4.3543399010805587E-3</v>
      </c>
      <c r="P313" s="137">
        <v>0.17234524394730499</v>
      </c>
      <c r="Q313" s="137">
        <v>1.0578371982286856</v>
      </c>
      <c r="R313" s="137">
        <v>5.0088304741590752</v>
      </c>
      <c r="S313" s="159">
        <v>2.3202044968626247E-2</v>
      </c>
      <c r="T313" s="160">
        <v>4.3543399010805587E-3</v>
      </c>
      <c r="U313" s="137">
        <v>0.18474204964568133</v>
      </c>
      <c r="V313" s="137">
        <v>5.3629809833298463</v>
      </c>
      <c r="W313" s="159">
        <v>5.3861830282984728</v>
      </c>
      <c r="X313" s="160">
        <v>4.375933832897228E-3</v>
      </c>
      <c r="Y313" s="137">
        <v>0.12879043519600725</v>
      </c>
      <c r="Z313" s="137">
        <v>1.0614504860883762</v>
      </c>
      <c r="AA313" s="137">
        <v>3.3837200873545075</v>
      </c>
      <c r="AB313" s="159">
        <v>2.3974074904762457E-2</v>
      </c>
      <c r="AC313" s="160">
        <v>4.375933832897228E-3</v>
      </c>
      <c r="AD313" s="137">
        <v>0.14024627748031007</v>
      </c>
      <c r="AE313" s="137">
        <v>3.6525722012842619</v>
      </c>
      <c r="AF313" s="159">
        <v>3.6765462761890242</v>
      </c>
      <c r="AG313" s="177">
        <v>0.100607860042979</v>
      </c>
      <c r="AH313" s="160">
        <v>0.26070377831708558</v>
      </c>
      <c r="AI313" s="137">
        <v>0.36634616492957672</v>
      </c>
      <c r="AJ313" s="159">
        <v>0.28052239997368239</v>
      </c>
      <c r="AK313" s="177">
        <v>0.30187904326260323</v>
      </c>
      <c r="AL313" s="271">
        <v>3.7399710879147201</v>
      </c>
      <c r="AM313" s="138">
        <v>0.58297463443423547</v>
      </c>
      <c r="AN313" s="160">
        <v>5.9391004506647844</v>
      </c>
      <c r="AO313" s="137">
        <v>0.6933709284442886</v>
      </c>
      <c r="AP313" s="160">
        <v>4.1525277563666325</v>
      </c>
      <c r="AQ313" s="159">
        <v>0.60368497919052144</v>
      </c>
      <c r="AR313" s="271">
        <v>11.790001500871874</v>
      </c>
      <c r="AS313" s="161">
        <v>11.814153853492071</v>
      </c>
      <c r="AT313" s="271">
        <v>9.4808225869394942</v>
      </c>
      <c r="AU313" s="161">
        <v>9.5049749395596912</v>
      </c>
      <c r="AV313" s="271">
        <v>1.663061185746193</v>
      </c>
      <c r="AW313" s="161">
        <v>1.6872135383663902</v>
      </c>
      <c r="AX313" s="272">
        <v>3.2817530160974537</v>
      </c>
      <c r="AY313" s="272">
        <v>11.814153853492071</v>
      </c>
      <c r="AZ313" s="272">
        <v>9.5049749395596912</v>
      </c>
      <c r="BA313" s="272">
        <v>1.6872135383663902</v>
      </c>
    </row>
    <row r="314" spans="1:53">
      <c r="A314" s="162" t="s">
        <v>379</v>
      </c>
      <c r="B314" s="165">
        <v>8.3543733890772513E-3</v>
      </c>
      <c r="C314" s="163">
        <v>0.42224999709758315</v>
      </c>
      <c r="D314" s="163">
        <v>0.58756518934850566</v>
      </c>
      <c r="E314" s="163">
        <v>0.51152020091308126</v>
      </c>
      <c r="F314" s="163">
        <v>1.8528202175483717</v>
      </c>
      <c r="G314" s="163">
        <v>7.0973140739045615</v>
      </c>
      <c r="H314" s="164">
        <v>0.11173038087221789</v>
      </c>
      <c r="I314" s="165">
        <v>8.3543733890772513E-3</v>
      </c>
      <c r="J314" s="163">
        <v>0.44091366724878173</v>
      </c>
      <c r="K314" s="163">
        <v>0.61135009038720856</v>
      </c>
      <c r="L314" s="163">
        <v>0.5329493357435322</v>
      </c>
      <c r="M314" s="163">
        <v>8.1189779505249131</v>
      </c>
      <c r="N314" s="164">
        <v>8.2307083313971319</v>
      </c>
      <c r="O314" s="165">
        <v>9.0348459934581071E-3</v>
      </c>
      <c r="P314" s="163">
        <v>0.94086042847030926</v>
      </c>
      <c r="Q314" s="163">
        <v>1.9666829184745303</v>
      </c>
      <c r="R314" s="163">
        <v>36.509199998979597</v>
      </c>
      <c r="S314" s="164">
        <v>0.13605875357260147</v>
      </c>
      <c r="T314" s="165">
        <v>9.0348459934581071E-3</v>
      </c>
      <c r="U314" s="163">
        <v>0.96658263501368447</v>
      </c>
      <c r="V314" s="163">
        <v>38.362138910300828</v>
      </c>
      <c r="W314" s="164">
        <v>38.498197663873427</v>
      </c>
      <c r="X314" s="165">
        <v>8.4820300496590995E-3</v>
      </c>
      <c r="Y314" s="163">
        <v>0.5920644276028173</v>
      </c>
      <c r="Z314" s="163">
        <v>1.8741808602421191</v>
      </c>
      <c r="AA314" s="163">
        <v>12.614983873448638</v>
      </c>
      <c r="AB314" s="164">
        <v>0.11629438359080985</v>
      </c>
      <c r="AC314" s="165">
        <v>8.4820300496590995E-3</v>
      </c>
      <c r="AD314" s="163">
        <v>0.61426969902834028</v>
      </c>
      <c r="AE314" s="163">
        <v>13.792538886485966</v>
      </c>
      <c r="AF314" s="164">
        <v>13.908833270076777</v>
      </c>
      <c r="AG314" s="181">
        <v>0.46907389854871107</v>
      </c>
      <c r="AH314" s="165">
        <v>0.86058424267189659</v>
      </c>
      <c r="AI314" s="163">
        <v>2.3800122071622067</v>
      </c>
      <c r="AJ314" s="164">
        <v>1.1456261145936146</v>
      </c>
      <c r="AK314" s="181">
        <v>1.4358204571378761</v>
      </c>
      <c r="AL314" s="273">
        <v>10.437524855489205</v>
      </c>
      <c r="AM314" s="274">
        <v>2.7357451827713342</v>
      </c>
      <c r="AN314" s="165">
        <v>42.06705120792693</v>
      </c>
      <c r="AO314" s="163">
        <v>4.3235474056637084</v>
      </c>
      <c r="AP314" s="165">
        <v>16.371223999206521</v>
      </c>
      <c r="AQ314" s="164">
        <v>3.033616879785944</v>
      </c>
      <c r="AR314" s="273">
        <v>23.10507338910001</v>
      </c>
      <c r="AS314" s="166">
        <v>23.216803769972227</v>
      </c>
      <c r="AT314" s="273">
        <v>23.235248483944364</v>
      </c>
      <c r="AU314" s="166">
        <v>23.346978864816581</v>
      </c>
      <c r="AV314" s="273">
        <v>4.4942698173086093</v>
      </c>
      <c r="AW314" s="166">
        <v>4.6060001981808272</v>
      </c>
      <c r="AX314" s="275">
        <v>8.2307083313971319</v>
      </c>
      <c r="AY314" s="275">
        <v>23.216803769972227</v>
      </c>
      <c r="AZ314" s="275">
        <v>23.346978864816581</v>
      </c>
      <c r="BA314" s="275">
        <v>4.6060001981808272</v>
      </c>
    </row>
    <row r="371" ht="12.75" customHeight="1"/>
    <row r="429" ht="38.25" customHeight="1"/>
    <row r="465" ht="38.25" customHeight="1"/>
  </sheetData>
  <mergeCells count="60">
    <mergeCell ref="AX280:BA280"/>
    <mergeCell ref="AT281:AU281"/>
    <mergeCell ref="AV281:AW281"/>
    <mergeCell ref="AR281:AS281"/>
    <mergeCell ref="AL281:AM281"/>
    <mergeCell ref="AN281:AO281"/>
    <mergeCell ref="AP281:AQ281"/>
    <mergeCell ref="AL280:AQ280"/>
    <mergeCell ref="AR280:AW280"/>
    <mergeCell ref="AM243:AN243"/>
    <mergeCell ref="AO243:AP243"/>
    <mergeCell ref="AQ243:AR243"/>
    <mergeCell ref="AS243:AT243"/>
    <mergeCell ref="AU243:AV243"/>
    <mergeCell ref="A280:A282"/>
    <mergeCell ref="B280:N280"/>
    <mergeCell ref="O280:W280"/>
    <mergeCell ref="X280:AF280"/>
    <mergeCell ref="AG280:AK280"/>
    <mergeCell ref="AC281:AF281"/>
    <mergeCell ref="AG281:AG282"/>
    <mergeCell ref="B281:H281"/>
    <mergeCell ref="I281:N281"/>
    <mergeCell ref="O281:S281"/>
    <mergeCell ref="T281:W281"/>
    <mergeCell ref="X281:AB281"/>
    <mergeCell ref="AH281:AJ281"/>
    <mergeCell ref="AK281:AK282"/>
    <mergeCell ref="AG243:AH243"/>
    <mergeCell ref="AI243:AJ243"/>
    <mergeCell ref="AK243:AL243"/>
    <mergeCell ref="N189:O189"/>
    <mergeCell ref="P189:Q189"/>
    <mergeCell ref="R189:S189"/>
    <mergeCell ref="T189:U189"/>
    <mergeCell ref="V189:W189"/>
    <mergeCell ref="X189:Y189"/>
    <mergeCell ref="Z189:AA189"/>
    <mergeCell ref="AB189:AC189"/>
    <mergeCell ref="AF189:AG189"/>
    <mergeCell ref="AH189:AI189"/>
    <mergeCell ref="AJ189:AK189"/>
    <mergeCell ref="N188:W188"/>
    <mergeCell ref="X188:AC188"/>
    <mergeCell ref="AD188:AE189"/>
    <mergeCell ref="AF188:AK188"/>
    <mergeCell ref="AL188:AN188"/>
    <mergeCell ref="A188:A190"/>
    <mergeCell ref="B188:M188"/>
    <mergeCell ref="L189:M189"/>
    <mergeCell ref="B6:G6"/>
    <mergeCell ref="H6:J6"/>
    <mergeCell ref="A53:A54"/>
    <mergeCell ref="B53:G53"/>
    <mergeCell ref="H53:J53"/>
    <mergeCell ref="B189:C189"/>
    <mergeCell ref="D189:E189"/>
    <mergeCell ref="F189:G189"/>
    <mergeCell ref="H189:I189"/>
    <mergeCell ref="J189:K189"/>
  </mergeCells>
  <pageMargins left="0.511811024" right="0.511811024" top="0.78740157499999996" bottom="0.78740157499999996" header="0.31496062000000002" footer="0.3149606200000000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22901-5F8E-4969-BCDA-492455B030B6}">
  <dimension ref="A1"/>
  <sheetViews>
    <sheetView workbookViewId="0">
      <selection activeCell="AW27" sqref="AW27"/>
    </sheetView>
  </sheetViews>
  <sheetFormatPr defaultRowHeight="14.4"/>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47</vt:i4>
      </vt:variant>
    </vt:vector>
  </HeadingPairs>
  <TitlesOfParts>
    <vt:vector size="47" baseType="lpstr">
      <vt:lpstr>Aluminum</vt:lpstr>
      <vt:lpstr>Market</vt:lpstr>
      <vt:lpstr>EcoInvent</vt:lpstr>
      <vt:lpstr>LCA</vt:lpstr>
      <vt:lpstr>Bauxite Mining</vt:lpstr>
      <vt:lpstr>Pitch Production</vt:lpstr>
      <vt:lpstr>Coke Production</vt:lpstr>
      <vt:lpstr>Fluosilic Acid Production</vt:lpstr>
      <vt:lpstr>Hydrofluoric Acid Production</vt:lpstr>
      <vt:lpstr>Caustic Soda Production</vt:lpstr>
      <vt:lpstr>Anode Production (Prebaked)</vt:lpstr>
      <vt:lpstr>Anode Production (Paste)</vt:lpstr>
      <vt:lpstr>Cryolite Production (HF)</vt:lpstr>
      <vt:lpstr>Cryolite Production (H2SiF6)</vt:lpstr>
      <vt:lpstr>Aluminum Fluoride Production</vt:lpstr>
      <vt:lpstr>Calcination</vt:lpstr>
      <vt:lpstr>Bayer Process</vt:lpstr>
      <vt:lpstr>Electrolysis (Prebaked)</vt:lpstr>
      <vt:lpstr>Electrolysis (Söderberg)</vt:lpstr>
      <vt:lpstr>Cast Alloy Market</vt:lpstr>
      <vt:lpstr>Wrought Alloy Market</vt:lpstr>
      <vt:lpstr>Aluminum Casting</vt:lpstr>
      <vt:lpstr>Hot and Cold Rolling</vt:lpstr>
      <vt:lpstr>Extrusion</vt:lpstr>
      <vt:lpstr>Stamping</vt:lpstr>
      <vt:lpstr>Drilling</vt:lpstr>
      <vt:lpstr>Milling</vt:lpstr>
      <vt:lpstr>Turning</vt:lpstr>
      <vt:lpstr>Welding</vt:lpstr>
      <vt:lpstr>Powder Coating</vt:lpstr>
      <vt:lpstr>LCI</vt:lpstr>
      <vt:lpstr>LCI - Comparação</vt:lpstr>
      <vt:lpstr>LCI - Simapro</vt:lpstr>
      <vt:lpstr>Emissão - Simapro</vt:lpstr>
      <vt:lpstr>FE - Aluminum</vt:lpstr>
      <vt:lpstr>Fluxograma</vt:lpstr>
      <vt:lpstr>Imagem</vt:lpstr>
      <vt:lpstr>FE - ACV Aluminum</vt:lpstr>
      <vt:lpstr>Gráfico</vt:lpstr>
      <vt:lpstr>Fluxograma Ecoinvent</vt:lpstr>
      <vt:lpstr>Parâmetros  Indústria Alumínio</vt:lpstr>
      <vt:lpstr>Ecoinvent Processes</vt:lpstr>
      <vt:lpstr>Resultados</vt:lpstr>
      <vt:lpstr>Frete</vt:lpstr>
      <vt:lpstr>W.AL - GREET</vt:lpstr>
      <vt:lpstr>C.AL - GREET</vt:lpstr>
      <vt:lpstr>Outros - GREET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Tavano</dc:creator>
  <cp:lastModifiedBy>Diogo Tavano</cp:lastModifiedBy>
  <dcterms:created xsi:type="dcterms:W3CDTF">2024-01-03T16:28:37Z</dcterms:created>
  <dcterms:modified xsi:type="dcterms:W3CDTF">2025-10-06T23:20:10Z</dcterms:modified>
</cp:coreProperties>
</file>