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updateLinks="always"/>
  <mc:AlternateContent xmlns:mc="http://schemas.openxmlformats.org/markup-compatibility/2006">
    <mc:Choice Requires="x15">
      <x15ac:absPath xmlns:x15ac="http://schemas.microsoft.com/office/spreadsheetml/2010/11/ac" url="https://d.docs.live.net/f374435b6383c673/Meus Documentos/RAFAEL PENHA/Grupo Matos/"/>
    </mc:Choice>
  </mc:AlternateContent>
  <xr:revisionPtr revIDLastSave="12" documentId="13_ncr:1_{F1140197-00A4-4C4C-B7BC-FC54002AAE33}" xr6:coauthVersionLast="47" xr6:coauthVersionMax="47" xr10:uidLastSave="{091C15AF-CCF8-4AAB-9C7C-B08657DBCF63}"/>
  <bookViews>
    <workbookView xWindow="-120" yWindow="-120" windowWidth="29040" windowHeight="15840" tabRatio="773" activeTab="1" xr2:uid="{1BC5BE0C-D797-41E3-953C-C369C10C93FC}"/>
  </bookViews>
  <sheets>
    <sheet name="PAINEL LOJAS" sheetId="35" r:id="rId1"/>
    <sheet name="LOJA 05 SHOP S" sheetId="2" r:id="rId2"/>
    <sheet name="LOJA 07 SHOP S" sheetId="5" r:id="rId3"/>
    <sheet name="LOJA 09 SHOP S" sheetId="6" r:id="rId4"/>
    <sheet name="LOJA 10 SHOP S" sheetId="7" r:id="rId5"/>
    <sheet name="LOJA 12 SHOP S" sheetId="8" r:id="rId6"/>
    <sheet name="LOJA 13 SHOP S" sheetId="9" r:id="rId7"/>
    <sheet name="LOJA 18 SHOP S" sheetId="10" r:id="rId8"/>
    <sheet name="LOJA QDB SHOP S" sheetId="11" r:id="rId9"/>
    <sheet name="PAINEL LOJA SHOPPING" sheetId="34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11" l="1"/>
  <c r="O9" i="8"/>
  <c r="R9" i="8"/>
  <c r="R20" i="5"/>
  <c r="L7" i="2"/>
  <c r="J25" i="11"/>
  <c r="J24" i="8"/>
  <c r="R23" i="8"/>
  <c r="R22" i="8"/>
  <c r="J22" i="8"/>
  <c r="I22" i="11"/>
  <c r="I19" i="5"/>
  <c r="I18" i="11"/>
  <c r="I19" i="11"/>
  <c r="I20" i="11"/>
  <c r="I21" i="10"/>
  <c r="I20" i="10"/>
  <c r="I19" i="10"/>
  <c r="I18" i="10"/>
  <c r="I21" i="9"/>
  <c r="I20" i="9"/>
  <c r="I19" i="9"/>
  <c r="I18" i="9"/>
  <c r="I21" i="8"/>
  <c r="I20" i="8"/>
  <c r="I19" i="8"/>
  <c r="I21" i="7"/>
  <c r="I20" i="7"/>
  <c r="I19" i="7"/>
  <c r="I18" i="7"/>
  <c r="I21" i="6"/>
  <c r="I20" i="6"/>
  <c r="I19" i="6"/>
  <c r="I18" i="6"/>
  <c r="I21" i="5"/>
  <c r="I20" i="5"/>
  <c r="I18" i="5"/>
  <c r="I21" i="2"/>
  <c r="I20" i="2"/>
  <c r="I19" i="2"/>
  <c r="I11" i="11"/>
  <c r="I11" i="8"/>
  <c r="I11" i="6"/>
  <c r="C11" i="6"/>
  <c r="I11" i="5"/>
  <c r="I4" i="11"/>
  <c r="I8" i="11"/>
  <c r="I7" i="11"/>
  <c r="I6" i="11"/>
  <c r="I5" i="11"/>
  <c r="I8" i="10"/>
  <c r="I7" i="10"/>
  <c r="I6" i="10"/>
  <c r="I5" i="10"/>
  <c r="I8" i="9"/>
  <c r="I7" i="9"/>
  <c r="I6" i="9"/>
  <c r="I5" i="9"/>
  <c r="I8" i="8"/>
  <c r="I7" i="8"/>
  <c r="I6" i="8"/>
  <c r="I5" i="8"/>
  <c r="I8" i="7"/>
  <c r="I7" i="7"/>
  <c r="I6" i="7"/>
  <c r="I5" i="7"/>
  <c r="I8" i="6"/>
  <c r="I7" i="6"/>
  <c r="I6" i="6"/>
  <c r="I5" i="6"/>
  <c r="I8" i="5"/>
  <c r="I7" i="5"/>
  <c r="I6" i="5"/>
  <c r="I5" i="5"/>
  <c r="I7" i="2"/>
  <c r="I6" i="2"/>
  <c r="I5" i="2"/>
  <c r="I8" i="2"/>
  <c r="O22" i="11"/>
  <c r="O20" i="11"/>
  <c r="R20" i="11" s="1"/>
  <c r="O19" i="11"/>
  <c r="R19" i="11" s="1"/>
  <c r="O18" i="11"/>
  <c r="R18" i="11" s="1"/>
  <c r="O17" i="11"/>
  <c r="O16" i="11"/>
  <c r="R16" i="11" s="1"/>
  <c r="O15" i="11"/>
  <c r="R15" i="11" s="1"/>
  <c r="O14" i="11"/>
  <c r="R14" i="11" s="1"/>
  <c r="O13" i="11"/>
  <c r="R13" i="11" s="1"/>
  <c r="O12" i="11"/>
  <c r="R12" i="11" s="1"/>
  <c r="O11" i="11"/>
  <c r="R11" i="11" s="1"/>
  <c r="O10" i="11"/>
  <c r="R10" i="11" s="1"/>
  <c r="O21" i="10"/>
  <c r="R21" i="10" s="1"/>
  <c r="O20" i="10"/>
  <c r="R20" i="10" s="1"/>
  <c r="O19" i="10"/>
  <c r="R19" i="10" s="1"/>
  <c r="O18" i="10"/>
  <c r="R18" i="10" s="1"/>
  <c r="O17" i="10"/>
  <c r="O16" i="10"/>
  <c r="R16" i="10" s="1"/>
  <c r="O15" i="10"/>
  <c r="R15" i="10" s="1"/>
  <c r="O14" i="10"/>
  <c r="R14" i="10" s="1"/>
  <c r="O13" i="10"/>
  <c r="R13" i="10" s="1"/>
  <c r="O12" i="10"/>
  <c r="R12" i="10" s="1"/>
  <c r="O11" i="10"/>
  <c r="R11" i="10" s="1"/>
  <c r="O10" i="10"/>
  <c r="R10" i="10" s="1"/>
  <c r="O9" i="10"/>
  <c r="R9" i="10" s="1"/>
  <c r="O8" i="10"/>
  <c r="O7" i="10"/>
  <c r="O6" i="10"/>
  <c r="O5" i="10"/>
  <c r="O4" i="10"/>
  <c r="R22" i="11" l="1"/>
  <c r="O7" i="11"/>
  <c r="O8" i="11"/>
  <c r="O6" i="11"/>
  <c r="O5" i="11"/>
  <c r="O4" i="11"/>
  <c r="L4" i="11"/>
  <c r="L17" i="11"/>
  <c r="I17" i="11"/>
  <c r="F17" i="11"/>
  <c r="C17" i="11"/>
  <c r="C6" i="2"/>
  <c r="N21" i="11"/>
  <c r="P21" i="11" s="1"/>
  <c r="J23" i="8" l="1"/>
  <c r="Z3" i="11"/>
  <c r="Z3" i="10"/>
  <c r="Z3" i="9"/>
  <c r="Z3" i="8"/>
  <c r="Z3" i="7"/>
  <c r="Z3" i="6"/>
  <c r="Z3" i="5"/>
  <c r="AA3" i="34"/>
  <c r="Z3" i="34"/>
  <c r="Z4" i="34" s="1"/>
  <c r="Z3" i="2"/>
  <c r="R23" i="7"/>
  <c r="R23" i="6"/>
  <c r="L9" i="10"/>
  <c r="L9" i="9"/>
  <c r="L9" i="8"/>
  <c r="L9" i="7"/>
  <c r="L9" i="6"/>
  <c r="L20" i="5"/>
  <c r="L9" i="11"/>
  <c r="I9" i="11" l="1"/>
  <c r="I9" i="10"/>
  <c r="I9" i="9"/>
  <c r="I9" i="8"/>
  <c r="I9" i="7"/>
  <c r="I9" i="6"/>
  <c r="I4" i="6"/>
  <c r="B6" i="2"/>
  <c r="F9" i="2"/>
  <c r="C20" i="2"/>
  <c r="F20" i="5"/>
  <c r="F19" i="11"/>
  <c r="F19" i="10"/>
  <c r="F19" i="9"/>
  <c r="F19" i="5"/>
  <c r="F18" i="11"/>
  <c r="F18" i="10"/>
  <c r="F18" i="9"/>
  <c r="F18" i="5"/>
  <c r="F18" i="2"/>
  <c r="F16" i="11"/>
  <c r="F16" i="10"/>
  <c r="F16" i="9"/>
  <c r="F9" i="11"/>
  <c r="F9" i="10"/>
  <c r="F9" i="9"/>
  <c r="F9" i="8"/>
  <c r="F9" i="7"/>
  <c r="F18" i="6"/>
  <c r="F9" i="6"/>
  <c r="C13" i="11"/>
  <c r="C20" i="8"/>
  <c r="C20" i="10"/>
  <c r="C20" i="9"/>
  <c r="C20" i="11"/>
  <c r="C20" i="5"/>
  <c r="C11" i="11"/>
  <c r="C11" i="10"/>
  <c r="C11" i="9"/>
  <c r="C11" i="8"/>
  <c r="C11" i="7"/>
  <c r="C11" i="5"/>
  <c r="C11" i="2"/>
  <c r="C18" i="10"/>
  <c r="C18" i="9"/>
  <c r="C18" i="8"/>
  <c r="C18" i="6"/>
  <c r="C18" i="5"/>
  <c r="C16" i="11"/>
  <c r="C16" i="10"/>
  <c r="C16" i="9"/>
  <c r="C16" i="8"/>
  <c r="C16" i="5"/>
  <c r="C17" i="8"/>
  <c r="C19" i="8"/>
  <c r="C19" i="5"/>
  <c r="C21" i="8"/>
  <c r="C9" i="11"/>
  <c r="C9" i="10"/>
  <c r="C9" i="9"/>
  <c r="C9" i="8"/>
  <c r="C9" i="7"/>
  <c r="C18" i="11"/>
  <c r="C9" i="6"/>
  <c r="C4" i="2" l="1"/>
  <c r="C18" i="2"/>
  <c r="F21" i="8"/>
  <c r="F20" i="8"/>
  <c r="F19" i="8"/>
  <c r="F18" i="8"/>
  <c r="F17" i="8"/>
  <c r="F16" i="8"/>
  <c r="C21" i="7"/>
  <c r="C20" i="7"/>
  <c r="C19" i="7"/>
  <c r="C18" i="7"/>
  <c r="C17" i="7"/>
  <c r="C16" i="7"/>
  <c r="F21" i="7"/>
  <c r="F20" i="7"/>
  <c r="F19" i="7"/>
  <c r="F18" i="7"/>
  <c r="F17" i="7"/>
  <c r="F16" i="7"/>
  <c r="C20" i="6"/>
  <c r="F20" i="6"/>
  <c r="F19" i="6"/>
  <c r="C16" i="6"/>
  <c r="F16" i="6"/>
  <c r="E9" i="11"/>
  <c r="H9" i="11" s="1"/>
  <c r="E9" i="10"/>
  <c r="H9" i="10" s="1"/>
  <c r="K9" i="10" s="1"/>
  <c r="N9" i="10" s="1"/>
  <c r="E9" i="9"/>
  <c r="H9" i="9" s="1"/>
  <c r="K9" i="9" s="1"/>
  <c r="N9" i="9" s="1"/>
  <c r="E9" i="8"/>
  <c r="H9" i="8" s="1"/>
  <c r="E9" i="7"/>
  <c r="H9" i="7" s="1"/>
  <c r="K9" i="7" s="1"/>
  <c r="N9" i="7" s="1"/>
  <c r="E9" i="6"/>
  <c r="H9" i="6" s="1"/>
  <c r="K9" i="6" s="1"/>
  <c r="N9" i="6" s="1"/>
  <c r="I9" i="2"/>
  <c r="L9" i="2"/>
  <c r="C9" i="2"/>
  <c r="C9" i="5"/>
  <c r="F9" i="5"/>
  <c r="I9" i="5"/>
  <c r="L9" i="5"/>
  <c r="E9" i="5"/>
  <c r="H9" i="5" s="1"/>
  <c r="K9" i="5" s="1"/>
  <c r="N9" i="5" s="1"/>
  <c r="O9" i="5"/>
  <c r="R9" i="5" s="1"/>
  <c r="Q9" i="5"/>
  <c r="E9" i="2"/>
  <c r="B7" i="11"/>
  <c r="B7" i="10"/>
  <c r="B7" i="9"/>
  <c r="B7" i="8"/>
  <c r="B7" i="7"/>
  <c r="B7" i="6"/>
  <c r="B7" i="5"/>
  <c r="B7" i="2"/>
  <c r="K9" i="8" l="1"/>
  <c r="J9" i="8"/>
  <c r="K9" i="11"/>
  <c r="N9" i="11" s="1"/>
  <c r="J9" i="11"/>
  <c r="H9" i="2"/>
  <c r="K9" i="2" s="1"/>
  <c r="Q9" i="2"/>
  <c r="D9" i="5"/>
  <c r="S9" i="5"/>
  <c r="G9" i="5"/>
  <c r="J9" i="5"/>
  <c r="M9" i="5"/>
  <c r="P9" i="5"/>
  <c r="B6" i="11" l="1"/>
  <c r="B6" i="10"/>
  <c r="B6" i="9"/>
  <c r="B6" i="8"/>
  <c r="B6" i="7"/>
  <c r="B6" i="6"/>
  <c r="B6" i="5"/>
  <c r="N8" i="11"/>
  <c r="K8" i="11"/>
  <c r="H8" i="11"/>
  <c r="J8" i="11" s="1"/>
  <c r="E8" i="11"/>
  <c r="B8" i="11"/>
  <c r="N8" i="10"/>
  <c r="K8" i="10"/>
  <c r="H8" i="10"/>
  <c r="E8" i="10"/>
  <c r="B8" i="10"/>
  <c r="N8" i="9"/>
  <c r="K8" i="9"/>
  <c r="H8" i="9"/>
  <c r="E8" i="9"/>
  <c r="B8" i="9"/>
  <c r="N8" i="8"/>
  <c r="K8" i="8"/>
  <c r="H8" i="8"/>
  <c r="E8" i="8"/>
  <c r="B8" i="8"/>
  <c r="N8" i="7"/>
  <c r="K8" i="7"/>
  <c r="H8" i="7"/>
  <c r="E8" i="7"/>
  <c r="B8" i="7"/>
  <c r="N8" i="6"/>
  <c r="K8" i="6"/>
  <c r="H8" i="6"/>
  <c r="E8" i="6"/>
  <c r="B8" i="6"/>
  <c r="N8" i="5"/>
  <c r="K8" i="5"/>
  <c r="H8" i="5"/>
  <c r="E8" i="5"/>
  <c r="B8" i="5"/>
  <c r="N8" i="2"/>
  <c r="K8" i="2"/>
  <c r="H8" i="2"/>
  <c r="E8" i="2"/>
  <c r="B8" i="2"/>
  <c r="N4" i="11" l="1"/>
  <c r="K4" i="11"/>
  <c r="E4" i="11"/>
  <c r="H4" i="11"/>
  <c r="J4" i="11" s="1"/>
  <c r="B4" i="11"/>
  <c r="N4" i="10"/>
  <c r="K4" i="10"/>
  <c r="H4" i="10"/>
  <c r="E4" i="10"/>
  <c r="B4" i="10"/>
  <c r="O21" i="9"/>
  <c r="O20" i="9"/>
  <c r="R20" i="9" s="1"/>
  <c r="O19" i="9"/>
  <c r="R19" i="9" s="1"/>
  <c r="O18" i="9"/>
  <c r="R18" i="9" s="1"/>
  <c r="O17" i="9"/>
  <c r="O16" i="9"/>
  <c r="R16" i="9" s="1"/>
  <c r="O15" i="9"/>
  <c r="R15" i="9" s="1"/>
  <c r="O14" i="9"/>
  <c r="R14" i="9" s="1"/>
  <c r="O13" i="9"/>
  <c r="R13" i="9" s="1"/>
  <c r="O12" i="9"/>
  <c r="R12" i="9" s="1"/>
  <c r="O11" i="9"/>
  <c r="R11" i="9" s="1"/>
  <c r="O10" i="9"/>
  <c r="R10" i="9" s="1"/>
  <c r="O8" i="9"/>
  <c r="O7" i="9"/>
  <c r="O6" i="9"/>
  <c r="O5" i="9"/>
  <c r="N4" i="9"/>
  <c r="F4" i="2"/>
  <c r="O4" i="9"/>
  <c r="K4" i="9"/>
  <c r="H4" i="9"/>
  <c r="E4" i="9"/>
  <c r="B4" i="9"/>
  <c r="O21" i="8"/>
  <c r="R21" i="8" s="1"/>
  <c r="O20" i="8"/>
  <c r="R20" i="8" s="1"/>
  <c r="O19" i="8"/>
  <c r="R19" i="8" s="1"/>
  <c r="O18" i="8"/>
  <c r="R18" i="8" s="1"/>
  <c r="O17" i="8"/>
  <c r="O16" i="8"/>
  <c r="R16" i="8" s="1"/>
  <c r="O15" i="8"/>
  <c r="R15" i="8" s="1"/>
  <c r="O14" i="8"/>
  <c r="R14" i="8" s="1"/>
  <c r="O13" i="8"/>
  <c r="R13" i="8" s="1"/>
  <c r="O12" i="8"/>
  <c r="R12" i="8" s="1"/>
  <c r="O11" i="8"/>
  <c r="R11" i="8" s="1"/>
  <c r="O10" i="8"/>
  <c r="R10" i="8" s="1"/>
  <c r="O8" i="8"/>
  <c r="O7" i="8"/>
  <c r="O6" i="8"/>
  <c r="O5" i="8"/>
  <c r="O4" i="8"/>
  <c r="N4" i="8"/>
  <c r="K4" i="8"/>
  <c r="H4" i="8"/>
  <c r="E4" i="8"/>
  <c r="B4" i="8"/>
  <c r="O21" i="7"/>
  <c r="R21" i="7" s="1"/>
  <c r="O20" i="7"/>
  <c r="R20" i="7" s="1"/>
  <c r="O19" i="7"/>
  <c r="R19" i="7" s="1"/>
  <c r="O18" i="7"/>
  <c r="R18" i="7" s="1"/>
  <c r="O17" i="7"/>
  <c r="O16" i="7"/>
  <c r="R16" i="7" s="1"/>
  <c r="O15" i="7"/>
  <c r="R15" i="7" s="1"/>
  <c r="O14" i="7"/>
  <c r="R14" i="7" s="1"/>
  <c r="O13" i="7"/>
  <c r="R13" i="7" s="1"/>
  <c r="O12" i="7"/>
  <c r="R12" i="7" s="1"/>
  <c r="O11" i="7"/>
  <c r="R11" i="7" s="1"/>
  <c r="O10" i="7"/>
  <c r="R10" i="7" s="1"/>
  <c r="O8" i="7"/>
  <c r="O7" i="7"/>
  <c r="O6" i="7"/>
  <c r="O5" i="7"/>
  <c r="O4" i="7"/>
  <c r="N4" i="7"/>
  <c r="K4" i="7"/>
  <c r="H4" i="7"/>
  <c r="E4" i="7"/>
  <c r="B4" i="7"/>
  <c r="O21" i="6"/>
  <c r="R21" i="6" s="1"/>
  <c r="O20" i="6"/>
  <c r="R20" i="6" s="1"/>
  <c r="O19" i="6"/>
  <c r="R19" i="6" s="1"/>
  <c r="O18" i="6"/>
  <c r="R18" i="6" s="1"/>
  <c r="O17" i="6"/>
  <c r="O16" i="6"/>
  <c r="R16" i="6" s="1"/>
  <c r="O15" i="6"/>
  <c r="R15" i="6" s="1"/>
  <c r="O14" i="6"/>
  <c r="R14" i="6" s="1"/>
  <c r="O13" i="6"/>
  <c r="R13" i="6" s="1"/>
  <c r="O12" i="6"/>
  <c r="R12" i="6" s="1"/>
  <c r="O11" i="6"/>
  <c r="R11" i="6" s="1"/>
  <c r="O10" i="6"/>
  <c r="R10" i="6" s="1"/>
  <c r="O8" i="6"/>
  <c r="O7" i="6"/>
  <c r="O6" i="6"/>
  <c r="O5" i="6"/>
  <c r="O4" i="6"/>
  <c r="N4" i="6"/>
  <c r="K4" i="6"/>
  <c r="H4" i="6"/>
  <c r="E4" i="6"/>
  <c r="B4" i="6"/>
  <c r="O21" i="5"/>
  <c r="R21" i="5" s="1"/>
  <c r="O19" i="5"/>
  <c r="R19" i="5" s="1"/>
  <c r="O18" i="5"/>
  <c r="R18" i="5" s="1"/>
  <c r="O17" i="5"/>
  <c r="O16" i="5"/>
  <c r="R16" i="5" s="1"/>
  <c r="O15" i="5"/>
  <c r="R15" i="5" s="1"/>
  <c r="O14" i="5"/>
  <c r="R14" i="5" s="1"/>
  <c r="O13" i="5"/>
  <c r="R13" i="5" s="1"/>
  <c r="O12" i="5"/>
  <c r="R12" i="5" s="1"/>
  <c r="O11" i="5"/>
  <c r="R11" i="5" s="1"/>
  <c r="O10" i="5"/>
  <c r="R10" i="5" s="1"/>
  <c r="O8" i="5"/>
  <c r="O7" i="5"/>
  <c r="O6" i="5"/>
  <c r="O5" i="5"/>
  <c r="O4" i="5"/>
  <c r="N4" i="5"/>
  <c r="K4" i="5"/>
  <c r="H4" i="5"/>
  <c r="E4" i="5"/>
  <c r="B4" i="5"/>
  <c r="W4" i="11" l="1"/>
  <c r="R21" i="9"/>
  <c r="W4" i="10"/>
  <c r="B4" i="2" l="1"/>
  <c r="O21" i="2"/>
  <c r="O20" i="2"/>
  <c r="O19" i="2"/>
  <c r="O18" i="2"/>
  <c r="O17" i="2"/>
  <c r="O16" i="2"/>
  <c r="O15" i="2"/>
  <c r="O14" i="2"/>
  <c r="O13" i="2"/>
  <c r="O12" i="2"/>
  <c r="O11" i="2"/>
  <c r="O10" i="2"/>
  <c r="N4" i="2"/>
  <c r="O4" i="2"/>
  <c r="O9" i="2"/>
  <c r="R9" i="2" s="1"/>
  <c r="O8" i="2"/>
  <c r="O7" i="2"/>
  <c r="O6" i="2"/>
  <c r="O5" i="2"/>
  <c r="K4" i="2"/>
  <c r="H4" i="2"/>
  <c r="E4" i="2"/>
  <c r="E5" i="2" s="1"/>
  <c r="R12" i="2" l="1"/>
  <c r="R20" i="2"/>
  <c r="R15" i="2"/>
  <c r="R16" i="2"/>
  <c r="R10" i="2"/>
  <c r="R18" i="2"/>
  <c r="R11" i="2"/>
  <c r="R19" i="2"/>
  <c r="R13" i="2"/>
  <c r="R21" i="2"/>
  <c r="R14" i="2"/>
  <c r="W4" i="2"/>
  <c r="P4" i="2"/>
  <c r="O9" i="11" l="1"/>
  <c r="R9" i="11" s="1"/>
  <c r="O9" i="9"/>
  <c r="P9" i="8"/>
  <c r="Q9" i="11"/>
  <c r="Q9" i="10"/>
  <c r="Q9" i="9"/>
  <c r="Q9" i="8"/>
  <c r="O9" i="7"/>
  <c r="R9" i="7" s="1"/>
  <c r="Q9" i="7"/>
  <c r="O9" i="6"/>
  <c r="Q9" i="6"/>
  <c r="R9" i="9" l="1"/>
  <c r="S9" i="9" s="1"/>
  <c r="P9" i="6"/>
  <c r="R9" i="6"/>
  <c r="S9" i="6" s="1"/>
  <c r="S9" i="7"/>
  <c r="S9" i="10"/>
  <c r="S9" i="11"/>
  <c r="P9" i="11"/>
  <c r="P9" i="10"/>
  <c r="P9" i="9"/>
  <c r="S9" i="8"/>
  <c r="P9" i="7"/>
  <c r="S9" i="2"/>
  <c r="D21" i="11" l="1"/>
  <c r="Q21" i="11"/>
  <c r="S21" i="11" s="1"/>
  <c r="M21" i="11"/>
  <c r="B9" i="34"/>
  <c r="C9" i="34"/>
  <c r="D9" i="34"/>
  <c r="E9" i="34"/>
  <c r="F9" i="34"/>
  <c r="G9" i="34"/>
  <c r="H9" i="34"/>
  <c r="I9" i="34"/>
  <c r="D9" i="11"/>
  <c r="G9" i="11"/>
  <c r="M9" i="11"/>
  <c r="D9" i="10"/>
  <c r="G9" i="10"/>
  <c r="D9" i="9"/>
  <c r="G9" i="9"/>
  <c r="J9" i="9"/>
  <c r="D9" i="8"/>
  <c r="G9" i="8"/>
  <c r="D9" i="7"/>
  <c r="G9" i="7"/>
  <c r="D9" i="6"/>
  <c r="G9" i="6"/>
  <c r="D9" i="2"/>
  <c r="G9" i="2"/>
  <c r="L8" i="11"/>
  <c r="L7" i="11"/>
  <c r="L6" i="11"/>
  <c r="R7" i="10"/>
  <c r="R6" i="10"/>
  <c r="R7" i="9"/>
  <c r="R6" i="9"/>
  <c r="R7" i="8"/>
  <c r="R6" i="8"/>
  <c r="R7" i="7"/>
  <c r="R6" i="7"/>
  <c r="R7" i="6"/>
  <c r="R6" i="6"/>
  <c r="R7" i="5"/>
  <c r="R6" i="5"/>
  <c r="R7" i="2"/>
  <c r="R6" i="2"/>
  <c r="L21" i="5"/>
  <c r="L21" i="6"/>
  <c r="L21" i="10"/>
  <c r="L20" i="10"/>
  <c r="L22" i="11"/>
  <c r="L20" i="11"/>
  <c r="L19" i="11"/>
  <c r="L18" i="11"/>
  <c r="L16" i="11"/>
  <c r="L15" i="11"/>
  <c r="L14" i="11"/>
  <c r="L13" i="11"/>
  <c r="L12" i="11"/>
  <c r="L11" i="11"/>
  <c r="L10" i="11"/>
  <c r="L5" i="11"/>
  <c r="L4" i="10"/>
  <c r="L19" i="10"/>
  <c r="L18" i="10"/>
  <c r="L17" i="10"/>
  <c r="L16" i="10"/>
  <c r="L15" i="10"/>
  <c r="L14" i="10"/>
  <c r="L13" i="10"/>
  <c r="L12" i="10"/>
  <c r="L11" i="10"/>
  <c r="L10" i="10"/>
  <c r="L8" i="10"/>
  <c r="L7" i="10"/>
  <c r="L6" i="10"/>
  <c r="L5" i="10"/>
  <c r="L21" i="9"/>
  <c r="L20" i="9"/>
  <c r="L19" i="9"/>
  <c r="L18" i="9"/>
  <c r="L17" i="9"/>
  <c r="L16" i="9"/>
  <c r="L15" i="9"/>
  <c r="L14" i="9"/>
  <c r="L13" i="9"/>
  <c r="L12" i="9"/>
  <c r="L11" i="9"/>
  <c r="L10" i="9"/>
  <c r="L8" i="9"/>
  <c r="L7" i="9"/>
  <c r="L6" i="9"/>
  <c r="L5" i="9"/>
  <c r="L4" i="9"/>
  <c r="L21" i="8"/>
  <c r="L20" i="8"/>
  <c r="L19" i="8"/>
  <c r="L18" i="8"/>
  <c r="L17" i="8"/>
  <c r="L16" i="8"/>
  <c r="L15" i="8"/>
  <c r="L14" i="8"/>
  <c r="L13" i="8"/>
  <c r="L12" i="8"/>
  <c r="L11" i="8"/>
  <c r="L10" i="8"/>
  <c r="L8" i="8"/>
  <c r="J8" i="8" s="1"/>
  <c r="L7" i="8"/>
  <c r="L6" i="8"/>
  <c r="L5" i="8"/>
  <c r="L4" i="8"/>
  <c r="J4" i="8" s="1"/>
  <c r="L21" i="7"/>
  <c r="L20" i="7"/>
  <c r="L19" i="7"/>
  <c r="L18" i="7"/>
  <c r="L17" i="7"/>
  <c r="L16" i="7"/>
  <c r="L15" i="7"/>
  <c r="L14" i="7"/>
  <c r="L13" i="7"/>
  <c r="L12" i="7"/>
  <c r="L11" i="7"/>
  <c r="L10" i="7"/>
  <c r="L8" i="7"/>
  <c r="L7" i="7"/>
  <c r="L6" i="7"/>
  <c r="L5" i="7"/>
  <c r="L4" i="7"/>
  <c r="L20" i="6"/>
  <c r="L19" i="6"/>
  <c r="L18" i="6"/>
  <c r="L17" i="6"/>
  <c r="L16" i="6"/>
  <c r="L15" i="6"/>
  <c r="L14" i="6"/>
  <c r="L13" i="6"/>
  <c r="L12" i="6"/>
  <c r="L11" i="6"/>
  <c r="L10" i="6"/>
  <c r="L8" i="6"/>
  <c r="L7" i="6"/>
  <c r="L6" i="6"/>
  <c r="L5" i="6"/>
  <c r="L4" i="6"/>
  <c r="L19" i="5"/>
  <c r="L18" i="5"/>
  <c r="L17" i="5"/>
  <c r="L16" i="5"/>
  <c r="L15" i="5"/>
  <c r="L14" i="5"/>
  <c r="L13" i="5"/>
  <c r="L12" i="5"/>
  <c r="L11" i="5"/>
  <c r="L10" i="5"/>
  <c r="L8" i="5"/>
  <c r="L7" i="5"/>
  <c r="L6" i="5"/>
  <c r="L5" i="5"/>
  <c r="L4" i="5"/>
  <c r="L21" i="2"/>
  <c r="L20" i="2"/>
  <c r="L19" i="2"/>
  <c r="L18" i="2"/>
  <c r="L17" i="2"/>
  <c r="L16" i="2"/>
  <c r="L15" i="2"/>
  <c r="L14" i="2"/>
  <c r="L13" i="2"/>
  <c r="L12" i="2"/>
  <c r="L11" i="2"/>
  <c r="L10" i="2"/>
  <c r="L6" i="2"/>
  <c r="L5" i="2"/>
  <c r="L8" i="2"/>
  <c r="L4" i="2"/>
  <c r="D18" i="11"/>
  <c r="E18" i="11"/>
  <c r="G18" i="11" s="1"/>
  <c r="I16" i="6"/>
  <c r="M9" i="9" l="1"/>
  <c r="H18" i="11"/>
  <c r="C8" i="11"/>
  <c r="F8" i="11"/>
  <c r="Q8" i="11" s="1"/>
  <c r="S22" i="10"/>
  <c r="H23" i="34" s="1"/>
  <c r="S22" i="9"/>
  <c r="G23" i="34" s="1"/>
  <c r="S22" i="8"/>
  <c r="F23" i="34" s="1"/>
  <c r="S22" i="7"/>
  <c r="E23" i="34" s="1"/>
  <c r="S22" i="6"/>
  <c r="D23" i="34" s="1"/>
  <c r="F17" i="10"/>
  <c r="C17" i="10"/>
  <c r="F17" i="6"/>
  <c r="C17" i="6"/>
  <c r="F17" i="5"/>
  <c r="C17" i="5"/>
  <c r="I17" i="6"/>
  <c r="S22" i="5"/>
  <c r="C23" i="34" s="1"/>
  <c r="S22" i="2"/>
  <c r="B23" i="34" s="1"/>
  <c r="S23" i="2"/>
  <c r="B24" i="34" s="1"/>
  <c r="Q18" i="11" l="1"/>
  <c r="J18" i="11"/>
  <c r="R17" i="6"/>
  <c r="S18" i="11"/>
  <c r="I18" i="34" s="1"/>
  <c r="R8" i="11"/>
  <c r="AA5" i="11" s="1"/>
  <c r="J9" i="10"/>
  <c r="J9" i="7"/>
  <c r="J9" i="6"/>
  <c r="J9" i="2"/>
  <c r="K18" i="11"/>
  <c r="M9" i="10" l="1"/>
  <c r="M9" i="8"/>
  <c r="M9" i="7"/>
  <c r="M9" i="6"/>
  <c r="P9" i="2"/>
  <c r="M9" i="2"/>
  <c r="N18" i="11"/>
  <c r="P18" i="11" s="1"/>
  <c r="M18" i="11"/>
  <c r="I16" i="11" l="1"/>
  <c r="I15" i="11"/>
  <c r="I14" i="11"/>
  <c r="I13" i="11"/>
  <c r="I12" i="11"/>
  <c r="I10" i="11"/>
  <c r="I17" i="10"/>
  <c r="I16" i="10"/>
  <c r="F8" i="10"/>
  <c r="C8" i="10"/>
  <c r="I15" i="10"/>
  <c r="I14" i="10"/>
  <c r="I13" i="10"/>
  <c r="I12" i="10"/>
  <c r="I11" i="10"/>
  <c r="I10" i="10"/>
  <c r="Q8" i="10"/>
  <c r="I4" i="10"/>
  <c r="I4" i="9"/>
  <c r="I17" i="9"/>
  <c r="F17" i="9"/>
  <c r="C17" i="9"/>
  <c r="I16" i="9"/>
  <c r="I15" i="9"/>
  <c r="I14" i="9"/>
  <c r="I13" i="9"/>
  <c r="I12" i="9"/>
  <c r="I11" i="9"/>
  <c r="I10" i="9"/>
  <c r="F8" i="7"/>
  <c r="C8" i="7"/>
  <c r="F8" i="6"/>
  <c r="C8" i="6"/>
  <c r="F8" i="5"/>
  <c r="C8" i="5"/>
  <c r="D8" i="5" s="1"/>
  <c r="F8" i="2"/>
  <c r="C8" i="2"/>
  <c r="F8" i="9"/>
  <c r="C8" i="9"/>
  <c r="F8" i="8"/>
  <c r="C8" i="8"/>
  <c r="I18" i="8"/>
  <c r="I17" i="8"/>
  <c r="I16" i="8"/>
  <c r="I15" i="8"/>
  <c r="I14" i="8"/>
  <c r="I13" i="8"/>
  <c r="I12" i="8"/>
  <c r="I10" i="8"/>
  <c r="I4" i="8"/>
  <c r="I17" i="7"/>
  <c r="I16" i="7"/>
  <c r="I15" i="7"/>
  <c r="I14" i="7"/>
  <c r="I13" i="7"/>
  <c r="I12" i="7"/>
  <c r="I11" i="7"/>
  <c r="I10" i="7"/>
  <c r="I4" i="7"/>
  <c r="I15" i="6"/>
  <c r="I14" i="6"/>
  <c r="I13" i="6"/>
  <c r="I12" i="6"/>
  <c r="I10" i="6"/>
  <c r="I17" i="5"/>
  <c r="I16" i="5"/>
  <c r="I15" i="5"/>
  <c r="I14" i="5"/>
  <c r="I13" i="5"/>
  <c r="I12" i="5"/>
  <c r="I10" i="5"/>
  <c r="I4" i="5"/>
  <c r="C19" i="2"/>
  <c r="F19" i="2"/>
  <c r="I18" i="2"/>
  <c r="I17" i="2"/>
  <c r="I16" i="2"/>
  <c r="I15" i="2"/>
  <c r="I14" i="2"/>
  <c r="I13" i="2"/>
  <c r="I12" i="2"/>
  <c r="I11" i="2"/>
  <c r="I10" i="2"/>
  <c r="C5" i="2"/>
  <c r="I4" i="2"/>
  <c r="R4" i="2" s="1"/>
  <c r="AA3" i="2" s="1"/>
  <c r="F21" i="2"/>
  <c r="F20" i="2"/>
  <c r="F17" i="2"/>
  <c r="F16" i="2"/>
  <c r="F15" i="2"/>
  <c r="F14" i="2"/>
  <c r="F13" i="2"/>
  <c r="F12" i="2"/>
  <c r="F11" i="2"/>
  <c r="F10" i="2"/>
  <c r="F7" i="2"/>
  <c r="F6" i="2"/>
  <c r="F5" i="2"/>
  <c r="Q22" i="11"/>
  <c r="Q20" i="11"/>
  <c r="Q19" i="11"/>
  <c r="Q16" i="11"/>
  <c r="Q15" i="11"/>
  <c r="Q14" i="11"/>
  <c r="Q13" i="11"/>
  <c r="Q12" i="11"/>
  <c r="Q11" i="11"/>
  <c r="Q10" i="11"/>
  <c r="Q7" i="11"/>
  <c r="Q6" i="11"/>
  <c r="Q21" i="10"/>
  <c r="Q20" i="10"/>
  <c r="Q19" i="10"/>
  <c r="Q18" i="10"/>
  <c r="Q16" i="10"/>
  <c r="Q15" i="10"/>
  <c r="Q14" i="10"/>
  <c r="Q13" i="10"/>
  <c r="Q12" i="10"/>
  <c r="Q11" i="10"/>
  <c r="Q10" i="10"/>
  <c r="Q7" i="10"/>
  <c r="Q6" i="10"/>
  <c r="Q21" i="9"/>
  <c r="Q20" i="9"/>
  <c r="Q19" i="9"/>
  <c r="Q18" i="9"/>
  <c r="Q16" i="9"/>
  <c r="Q15" i="9"/>
  <c r="Q14" i="9"/>
  <c r="Q13" i="9"/>
  <c r="Q12" i="9"/>
  <c r="Q11" i="9"/>
  <c r="Q10" i="9"/>
  <c r="Q7" i="9"/>
  <c r="Q6" i="9"/>
  <c r="Q21" i="8"/>
  <c r="Q20" i="8"/>
  <c r="Q19" i="8"/>
  <c r="Q18" i="8"/>
  <c r="Q16" i="8"/>
  <c r="Q15" i="8"/>
  <c r="Q14" i="8"/>
  <c r="Q13" i="8"/>
  <c r="Q12" i="8"/>
  <c r="Q11" i="8"/>
  <c r="Q10" i="8"/>
  <c r="Q7" i="8"/>
  <c r="Q6" i="8"/>
  <c r="Q21" i="7"/>
  <c r="Q20" i="7"/>
  <c r="Q19" i="7"/>
  <c r="Q18" i="7"/>
  <c r="Q16" i="7"/>
  <c r="Q15" i="7"/>
  <c r="Q14" i="7"/>
  <c r="Q13" i="7"/>
  <c r="Q12" i="7"/>
  <c r="Q11" i="7"/>
  <c r="Q10" i="7"/>
  <c r="Q7" i="7"/>
  <c r="Q6" i="7"/>
  <c r="Q21" i="6"/>
  <c r="Q20" i="6"/>
  <c r="Q19" i="6"/>
  <c r="Q18" i="6"/>
  <c r="Q16" i="6"/>
  <c r="Q15" i="6"/>
  <c r="Q14" i="6"/>
  <c r="Q13" i="6"/>
  <c r="Q12" i="6"/>
  <c r="Q11" i="6"/>
  <c r="Q10" i="6"/>
  <c r="Q7" i="6"/>
  <c r="Q6" i="6"/>
  <c r="Q21" i="5"/>
  <c r="Q20" i="5"/>
  <c r="Q19" i="5"/>
  <c r="Q18" i="5"/>
  <c r="Q16" i="5"/>
  <c r="Q15" i="5"/>
  <c r="Q14" i="5"/>
  <c r="Q13" i="5"/>
  <c r="Q12" i="5"/>
  <c r="Q11" i="5"/>
  <c r="Q10" i="5"/>
  <c r="Q7" i="5"/>
  <c r="Q6" i="5"/>
  <c r="N5" i="6"/>
  <c r="K5" i="6"/>
  <c r="H5" i="6"/>
  <c r="E5" i="6"/>
  <c r="B5" i="6"/>
  <c r="N5" i="5"/>
  <c r="K5" i="5"/>
  <c r="H5" i="5"/>
  <c r="E5" i="5"/>
  <c r="B5" i="5"/>
  <c r="N5" i="2"/>
  <c r="K5" i="2"/>
  <c r="H5" i="2"/>
  <c r="B5" i="2"/>
  <c r="Q6" i="2"/>
  <c r="Q21" i="2"/>
  <c r="Q20" i="2"/>
  <c r="Q19" i="2"/>
  <c r="Q18" i="2"/>
  <c r="Q16" i="2"/>
  <c r="Q15" i="2"/>
  <c r="Q14" i="2"/>
  <c r="Q13" i="2"/>
  <c r="Q12" i="2"/>
  <c r="Q11" i="2"/>
  <c r="Q10" i="2"/>
  <c r="Q7" i="2"/>
  <c r="P8" i="2"/>
  <c r="W8" i="11"/>
  <c r="W8" i="10"/>
  <c r="W8" i="9"/>
  <c r="W8" i="8"/>
  <c r="W8" i="2"/>
  <c r="W8" i="7"/>
  <c r="W4" i="6"/>
  <c r="W4" i="5"/>
  <c r="D24" i="10"/>
  <c r="D23" i="10"/>
  <c r="D22" i="10"/>
  <c r="D20" i="10"/>
  <c r="D18" i="10"/>
  <c r="D17" i="10"/>
  <c r="D16" i="10"/>
  <c r="D24" i="9"/>
  <c r="D23" i="9"/>
  <c r="D22" i="9"/>
  <c r="D20" i="9"/>
  <c r="D18" i="9"/>
  <c r="D16" i="9"/>
  <c r="D24" i="8"/>
  <c r="D23" i="8"/>
  <c r="D22" i="8"/>
  <c r="D20" i="8"/>
  <c r="D19" i="8"/>
  <c r="D18" i="8"/>
  <c r="D17" i="8"/>
  <c r="D16" i="8"/>
  <c r="D24" i="7"/>
  <c r="D23" i="7"/>
  <c r="D22" i="7"/>
  <c r="D20" i="7"/>
  <c r="D18" i="7"/>
  <c r="D17" i="7"/>
  <c r="D16" i="7"/>
  <c r="D24" i="6"/>
  <c r="D23" i="6"/>
  <c r="D22" i="6"/>
  <c r="D20" i="6"/>
  <c r="D18" i="6"/>
  <c r="D17" i="6"/>
  <c r="D16" i="6"/>
  <c r="D16" i="5"/>
  <c r="D17" i="5"/>
  <c r="D18" i="5"/>
  <c r="D19" i="5"/>
  <c r="D20" i="5"/>
  <c r="D22" i="5"/>
  <c r="D23" i="5"/>
  <c r="D24" i="5"/>
  <c r="D18" i="2"/>
  <c r="D22" i="2"/>
  <c r="D23" i="2"/>
  <c r="D24" i="2"/>
  <c r="C21" i="9"/>
  <c r="F21" i="5"/>
  <c r="F20" i="11"/>
  <c r="F20" i="10"/>
  <c r="F20" i="9"/>
  <c r="C19" i="11"/>
  <c r="C19" i="10"/>
  <c r="C19" i="9"/>
  <c r="D19" i="7"/>
  <c r="C19" i="6"/>
  <c r="C22" i="11"/>
  <c r="F22" i="11"/>
  <c r="F15" i="11"/>
  <c r="F14" i="11"/>
  <c r="F21" i="10"/>
  <c r="F15" i="10"/>
  <c r="F14" i="10"/>
  <c r="F21" i="9"/>
  <c r="F15" i="9"/>
  <c r="F15" i="8"/>
  <c r="F14" i="9"/>
  <c r="F14" i="8"/>
  <c r="F15" i="7"/>
  <c r="F14" i="7"/>
  <c r="F21" i="6"/>
  <c r="F15" i="6"/>
  <c r="F14" i="6"/>
  <c r="F16" i="5"/>
  <c r="F15" i="5"/>
  <c r="F14" i="5"/>
  <c r="C16" i="2"/>
  <c r="C17" i="2"/>
  <c r="C14" i="2"/>
  <c r="C13" i="2"/>
  <c r="C12" i="2"/>
  <c r="C10" i="2"/>
  <c r="C7" i="2"/>
  <c r="D7" i="2" s="1"/>
  <c r="D6" i="2"/>
  <c r="C21" i="2"/>
  <c r="C15" i="2"/>
  <c r="F13" i="11"/>
  <c r="F13" i="10"/>
  <c r="F13" i="9"/>
  <c r="F13" i="8"/>
  <c r="F13" i="7"/>
  <c r="F13" i="6"/>
  <c r="F13" i="5"/>
  <c r="F12" i="11"/>
  <c r="F12" i="10"/>
  <c r="F12" i="9"/>
  <c r="F12" i="8"/>
  <c r="F12" i="7"/>
  <c r="F12" i="6"/>
  <c r="F12" i="5"/>
  <c r="F11" i="11"/>
  <c r="F11" i="10"/>
  <c r="F11" i="9"/>
  <c r="F11" i="8"/>
  <c r="F11" i="7"/>
  <c r="F11" i="6"/>
  <c r="F11" i="5"/>
  <c r="F10" i="11"/>
  <c r="F10" i="10"/>
  <c r="F10" i="9"/>
  <c r="F10" i="8"/>
  <c r="F10" i="7"/>
  <c r="F10" i="6"/>
  <c r="F10" i="5"/>
  <c r="F7" i="11"/>
  <c r="F7" i="10"/>
  <c r="F7" i="9"/>
  <c r="F7" i="8"/>
  <c r="F7" i="7"/>
  <c r="F7" i="6"/>
  <c r="F7" i="5"/>
  <c r="F6" i="11"/>
  <c r="F6" i="10"/>
  <c r="F6" i="9"/>
  <c r="F6" i="8"/>
  <c r="F6" i="7"/>
  <c r="F6" i="6"/>
  <c r="F6" i="5"/>
  <c r="F5" i="11"/>
  <c r="F5" i="10"/>
  <c r="F5" i="9"/>
  <c r="F5" i="8"/>
  <c r="F5" i="7"/>
  <c r="F5" i="6"/>
  <c r="F5" i="5"/>
  <c r="F4" i="11"/>
  <c r="F4" i="10"/>
  <c r="F4" i="9"/>
  <c r="F4" i="8"/>
  <c r="F4" i="7"/>
  <c r="F4" i="6"/>
  <c r="F4" i="5"/>
  <c r="C21" i="10"/>
  <c r="D21" i="8"/>
  <c r="D21" i="7"/>
  <c r="C21" i="6"/>
  <c r="C21" i="5"/>
  <c r="C15" i="11"/>
  <c r="C15" i="10"/>
  <c r="C15" i="9"/>
  <c r="C15" i="8"/>
  <c r="C15" i="7"/>
  <c r="C15" i="6"/>
  <c r="C15" i="5"/>
  <c r="C14" i="11"/>
  <c r="C14" i="10"/>
  <c r="C14" i="9"/>
  <c r="C14" i="8"/>
  <c r="C14" i="7"/>
  <c r="C14" i="6"/>
  <c r="C14" i="5"/>
  <c r="C13" i="10"/>
  <c r="C13" i="9"/>
  <c r="C13" i="8"/>
  <c r="C13" i="7"/>
  <c r="C13" i="6"/>
  <c r="C13" i="5"/>
  <c r="C12" i="11"/>
  <c r="C12" i="10"/>
  <c r="C12" i="9"/>
  <c r="C12" i="8"/>
  <c r="C12" i="7"/>
  <c r="C12" i="6"/>
  <c r="C12" i="5"/>
  <c r="D11" i="11"/>
  <c r="D11" i="10"/>
  <c r="D11" i="9"/>
  <c r="D11" i="8"/>
  <c r="D11" i="7"/>
  <c r="D11" i="6"/>
  <c r="D11" i="5"/>
  <c r="C10" i="11"/>
  <c r="C10" i="10"/>
  <c r="C10" i="9"/>
  <c r="C10" i="8"/>
  <c r="C10" i="7"/>
  <c r="C10" i="6"/>
  <c r="C10" i="5"/>
  <c r="D8" i="11"/>
  <c r="C7" i="11"/>
  <c r="D7" i="11" s="1"/>
  <c r="C7" i="10"/>
  <c r="D7" i="10" s="1"/>
  <c r="C7" i="9"/>
  <c r="D7" i="9" s="1"/>
  <c r="C7" i="8"/>
  <c r="D7" i="8" s="1"/>
  <c r="C7" i="7"/>
  <c r="D7" i="7" s="1"/>
  <c r="C7" i="6"/>
  <c r="D7" i="6" s="1"/>
  <c r="C7" i="5"/>
  <c r="D7" i="5" s="1"/>
  <c r="C6" i="11"/>
  <c r="D6" i="11" s="1"/>
  <c r="C6" i="10"/>
  <c r="D6" i="10" s="1"/>
  <c r="C6" i="9"/>
  <c r="D6" i="9" s="1"/>
  <c r="C6" i="8"/>
  <c r="D6" i="8" s="1"/>
  <c r="C6" i="7"/>
  <c r="D6" i="7" s="1"/>
  <c r="C6" i="6"/>
  <c r="D6" i="6" s="1"/>
  <c r="C6" i="5"/>
  <c r="D6" i="5" s="1"/>
  <c r="C5" i="11"/>
  <c r="C5" i="10"/>
  <c r="C5" i="9"/>
  <c r="C5" i="8"/>
  <c r="C5" i="7"/>
  <c r="C5" i="6"/>
  <c r="C5" i="5"/>
  <c r="C4" i="11"/>
  <c r="C4" i="10"/>
  <c r="C4" i="9"/>
  <c r="C4" i="8"/>
  <c r="C4" i="7"/>
  <c r="C4" i="6"/>
  <c r="C4" i="5"/>
  <c r="M4" i="2"/>
  <c r="D24" i="11"/>
  <c r="D25" i="11"/>
  <c r="D23" i="11"/>
  <c r="D20" i="11"/>
  <c r="D17" i="11"/>
  <c r="D16" i="11"/>
  <c r="P4" i="6"/>
  <c r="M4" i="6"/>
  <c r="J4" i="6"/>
  <c r="P4" i="5"/>
  <c r="M4" i="5"/>
  <c r="R4" i="10" l="1"/>
  <c r="R8" i="2"/>
  <c r="R17" i="2"/>
  <c r="R4" i="7"/>
  <c r="D19" i="2"/>
  <c r="AA6" i="6"/>
  <c r="AB6" i="6" s="1"/>
  <c r="Q8" i="2"/>
  <c r="AA5" i="2"/>
  <c r="R4" i="5"/>
  <c r="Q8" i="7"/>
  <c r="Q8" i="8"/>
  <c r="Q8" i="5"/>
  <c r="D10" i="6"/>
  <c r="D10" i="7"/>
  <c r="D10" i="8"/>
  <c r="D10" i="9"/>
  <c r="D10" i="10"/>
  <c r="D10" i="11"/>
  <c r="D12" i="6"/>
  <c r="D12" i="7"/>
  <c r="D12" i="8"/>
  <c r="D12" i="9"/>
  <c r="D12" i="10"/>
  <c r="D12" i="11"/>
  <c r="D13" i="6"/>
  <c r="D13" i="7"/>
  <c r="D13" i="8"/>
  <c r="D13" i="9"/>
  <c r="D13" i="10"/>
  <c r="D14" i="6"/>
  <c r="D14" i="7"/>
  <c r="D14" i="8"/>
  <c r="D14" i="9"/>
  <c r="D14" i="10"/>
  <c r="D14" i="11"/>
  <c r="D15" i="6"/>
  <c r="D15" i="7"/>
  <c r="D15" i="8"/>
  <c r="D15" i="9"/>
  <c r="D15" i="10"/>
  <c r="D15" i="11"/>
  <c r="D21" i="6"/>
  <c r="D21" i="10"/>
  <c r="D19" i="6"/>
  <c r="D19" i="9"/>
  <c r="D21" i="9"/>
  <c r="R17" i="5"/>
  <c r="AA6" i="5" s="1"/>
  <c r="AB6" i="5" s="1"/>
  <c r="R17" i="7"/>
  <c r="AA6" i="7" s="1"/>
  <c r="AB6" i="7" s="1"/>
  <c r="R17" i="8"/>
  <c r="AA6" i="8" s="1"/>
  <c r="AB6" i="8" s="1"/>
  <c r="Q8" i="9"/>
  <c r="Q8" i="6"/>
  <c r="R17" i="10"/>
  <c r="AA6" i="10" s="1"/>
  <c r="AB6" i="10" s="1"/>
  <c r="R17" i="11"/>
  <c r="AA6" i="11" s="1"/>
  <c r="AB6" i="11" s="1"/>
  <c r="D8" i="6"/>
  <c r="R8" i="6"/>
  <c r="AA5" i="6" s="1"/>
  <c r="D13" i="5"/>
  <c r="D15" i="5"/>
  <c r="D21" i="5"/>
  <c r="D10" i="5"/>
  <c r="D14" i="5"/>
  <c r="D19" i="11"/>
  <c r="D22" i="11"/>
  <c r="D19" i="10"/>
  <c r="D12" i="5"/>
  <c r="D13" i="11"/>
  <c r="Q4" i="11"/>
  <c r="Q5" i="11" s="1"/>
  <c r="Q4" i="8"/>
  <c r="Q4" i="7"/>
  <c r="J4" i="2"/>
  <c r="Q4" i="2"/>
  <c r="Q4" i="6"/>
  <c r="Q4" i="5"/>
  <c r="Q4" i="10"/>
  <c r="Q5" i="10" s="1"/>
  <c r="Q4" i="9"/>
  <c r="D4" i="2"/>
  <c r="D5" i="6"/>
  <c r="D14" i="2"/>
  <c r="D20" i="2"/>
  <c r="D16" i="2"/>
  <c r="D21" i="2"/>
  <c r="D12" i="2"/>
  <c r="D15" i="2"/>
  <c r="D13" i="2"/>
  <c r="D11" i="2"/>
  <c r="D10" i="2"/>
  <c r="D5" i="5"/>
  <c r="AA6" i="2"/>
  <c r="AB6" i="2" s="1"/>
  <c r="R8" i="10"/>
  <c r="AA5" i="10" s="1"/>
  <c r="R4" i="11"/>
  <c r="R8" i="9"/>
  <c r="AA5" i="9" s="1"/>
  <c r="R8" i="7"/>
  <c r="AA5" i="7" s="1"/>
  <c r="R17" i="9"/>
  <c r="AA6" i="9" s="1"/>
  <c r="AB6" i="9" s="1"/>
  <c r="J4" i="5"/>
  <c r="R8" i="8"/>
  <c r="AA5" i="8" s="1"/>
  <c r="D17" i="9"/>
  <c r="D8" i="8"/>
  <c r="R4" i="6"/>
  <c r="AA3" i="6" s="1"/>
  <c r="R4" i="8"/>
  <c r="R8" i="5"/>
  <c r="AA5" i="5" s="1"/>
  <c r="R4" i="9"/>
  <c r="D4" i="5"/>
  <c r="D4" i="6"/>
  <c r="D8" i="9"/>
  <c r="D8" i="10"/>
  <c r="G4" i="2"/>
  <c r="G4" i="5"/>
  <c r="G4" i="6"/>
  <c r="G8" i="2"/>
  <c r="D17" i="2"/>
  <c r="Q5" i="5" l="1"/>
  <c r="AA3" i="10"/>
  <c r="AB3" i="10" s="1"/>
  <c r="R5" i="11"/>
  <c r="AA4" i="11" s="1"/>
  <c r="AA3" i="11"/>
  <c r="AB3" i="11" s="1"/>
  <c r="AA3" i="8"/>
  <c r="AB3" i="8" s="1"/>
  <c r="AA3" i="5"/>
  <c r="AB3" i="5" s="1"/>
  <c r="AB3" i="6"/>
  <c r="AA3" i="9"/>
  <c r="AB3" i="9" s="1"/>
  <c r="AA3" i="7"/>
  <c r="AB3" i="7" s="1"/>
  <c r="Q5" i="2"/>
  <c r="Q5" i="8"/>
  <c r="Q5" i="6"/>
  <c r="Q5" i="9"/>
  <c r="Q5" i="7"/>
  <c r="R5" i="2"/>
  <c r="AA4" i="2" s="1"/>
  <c r="AB3" i="2"/>
  <c r="R5" i="7"/>
  <c r="AA4" i="7" s="1"/>
  <c r="R5" i="10"/>
  <c r="AA4" i="10" s="1"/>
  <c r="R5" i="9"/>
  <c r="AA4" i="9" s="1"/>
  <c r="R5" i="5"/>
  <c r="AA4" i="5" s="1"/>
  <c r="R5" i="6"/>
  <c r="AA4" i="6" s="1"/>
  <c r="R5" i="8"/>
  <c r="AA4" i="8" s="1"/>
  <c r="S4" i="5"/>
  <c r="S4" i="6"/>
  <c r="N5" i="11" l="1"/>
  <c r="B5" i="11"/>
  <c r="D5" i="11" s="1"/>
  <c r="N5" i="10"/>
  <c r="D4" i="10" l="1"/>
  <c r="B5" i="10"/>
  <c r="D5" i="10" s="1"/>
  <c r="M4" i="10"/>
  <c r="K5" i="10"/>
  <c r="M4" i="11"/>
  <c r="K5" i="11"/>
  <c r="E5" i="11"/>
  <c r="J4" i="10"/>
  <c r="H5" i="10"/>
  <c r="H5" i="11"/>
  <c r="J5" i="11" s="1"/>
  <c r="G4" i="10"/>
  <c r="E5" i="10"/>
  <c r="G5" i="10" s="1"/>
  <c r="P4" i="10"/>
  <c r="P4" i="11"/>
  <c r="G4" i="11"/>
  <c r="D4" i="11"/>
  <c r="N5" i="9"/>
  <c r="N5" i="8"/>
  <c r="B5" i="7"/>
  <c r="D5" i="7" s="1"/>
  <c r="H5" i="7"/>
  <c r="N5" i="7"/>
  <c r="K5" i="7"/>
  <c r="S4" i="2"/>
  <c r="B4" i="34" s="1"/>
  <c r="G24" i="5"/>
  <c r="G23" i="5"/>
  <c r="G22" i="5"/>
  <c r="E21" i="5"/>
  <c r="G21" i="5" s="1"/>
  <c r="E20" i="5"/>
  <c r="G20" i="5" s="1"/>
  <c r="E19" i="5"/>
  <c r="G19" i="5" s="1"/>
  <c r="E18" i="5"/>
  <c r="G18" i="5" s="1"/>
  <c r="E17" i="5"/>
  <c r="E16" i="5"/>
  <c r="G16" i="5" s="1"/>
  <c r="E15" i="5"/>
  <c r="G15" i="5" s="1"/>
  <c r="E14" i="5"/>
  <c r="G14" i="5" s="1"/>
  <c r="E13" i="5"/>
  <c r="G13" i="5" s="1"/>
  <c r="E12" i="5"/>
  <c r="G12" i="5" s="1"/>
  <c r="E11" i="5"/>
  <c r="G11" i="5" s="1"/>
  <c r="E10" i="5"/>
  <c r="G10" i="5" s="1"/>
  <c r="E7" i="5"/>
  <c r="G7" i="5" s="1"/>
  <c r="E6" i="5"/>
  <c r="G6" i="5" s="1"/>
  <c r="G21" i="11"/>
  <c r="G25" i="11"/>
  <c r="G24" i="11"/>
  <c r="G23" i="11"/>
  <c r="E22" i="11"/>
  <c r="G22" i="11" s="1"/>
  <c r="E20" i="11"/>
  <c r="G20" i="11" s="1"/>
  <c r="E19" i="11"/>
  <c r="E17" i="11"/>
  <c r="E16" i="11"/>
  <c r="G16" i="11" s="1"/>
  <c r="E15" i="11"/>
  <c r="G15" i="11" s="1"/>
  <c r="E14" i="11"/>
  <c r="G14" i="11" s="1"/>
  <c r="G13" i="11"/>
  <c r="E12" i="11"/>
  <c r="G12" i="11" s="1"/>
  <c r="E11" i="11"/>
  <c r="G11" i="11" s="1"/>
  <c r="E10" i="11"/>
  <c r="G10" i="11" s="1"/>
  <c r="E7" i="11"/>
  <c r="G7" i="11" s="1"/>
  <c r="E6" i="11"/>
  <c r="G6" i="11" s="1"/>
  <c r="G24" i="10"/>
  <c r="G23" i="10"/>
  <c r="G22" i="10"/>
  <c r="E21" i="10"/>
  <c r="G21" i="10" s="1"/>
  <c r="E20" i="10"/>
  <c r="G20" i="10" s="1"/>
  <c r="E19" i="10"/>
  <c r="G19" i="10" s="1"/>
  <c r="E18" i="10"/>
  <c r="G18" i="10" s="1"/>
  <c r="E17" i="10"/>
  <c r="E16" i="10"/>
  <c r="G16" i="10" s="1"/>
  <c r="E15" i="10"/>
  <c r="G15" i="10" s="1"/>
  <c r="E14" i="10"/>
  <c r="G14" i="10" s="1"/>
  <c r="E13" i="10"/>
  <c r="G13" i="10" s="1"/>
  <c r="E12" i="10"/>
  <c r="G12" i="10" s="1"/>
  <c r="E11" i="10"/>
  <c r="G11" i="10" s="1"/>
  <c r="E10" i="10"/>
  <c r="G10" i="10" s="1"/>
  <c r="E7" i="10"/>
  <c r="G7" i="10" s="1"/>
  <c r="E6" i="10"/>
  <c r="G6" i="10" s="1"/>
  <c r="G24" i="9"/>
  <c r="G23" i="9"/>
  <c r="G22" i="9"/>
  <c r="E21" i="9"/>
  <c r="G21" i="9" s="1"/>
  <c r="E20" i="9"/>
  <c r="G20" i="9" s="1"/>
  <c r="E19" i="9"/>
  <c r="G19" i="9" s="1"/>
  <c r="E18" i="9"/>
  <c r="G18" i="9" s="1"/>
  <c r="E17" i="9"/>
  <c r="E16" i="9"/>
  <c r="G16" i="9" s="1"/>
  <c r="E15" i="9"/>
  <c r="G15" i="9" s="1"/>
  <c r="E14" i="9"/>
  <c r="G14" i="9" s="1"/>
  <c r="E13" i="9"/>
  <c r="G13" i="9" s="1"/>
  <c r="E12" i="9"/>
  <c r="G12" i="9" s="1"/>
  <c r="E11" i="9"/>
  <c r="G11" i="9" s="1"/>
  <c r="E10" i="9"/>
  <c r="G10" i="9" s="1"/>
  <c r="E7" i="9"/>
  <c r="G7" i="9" s="1"/>
  <c r="E6" i="9"/>
  <c r="G6" i="9" s="1"/>
  <c r="G24" i="8"/>
  <c r="G23" i="8"/>
  <c r="G22" i="8"/>
  <c r="E21" i="8"/>
  <c r="G21" i="8" s="1"/>
  <c r="E20" i="8"/>
  <c r="G20" i="8" s="1"/>
  <c r="E19" i="8"/>
  <c r="G19" i="8" s="1"/>
  <c r="E18" i="8"/>
  <c r="G18" i="8" s="1"/>
  <c r="E17" i="8"/>
  <c r="E16" i="8"/>
  <c r="G16" i="8" s="1"/>
  <c r="E15" i="8"/>
  <c r="G15" i="8" s="1"/>
  <c r="E14" i="8"/>
  <c r="G14" i="8" s="1"/>
  <c r="E13" i="8"/>
  <c r="G13" i="8" s="1"/>
  <c r="E12" i="8"/>
  <c r="G12" i="8" s="1"/>
  <c r="E11" i="8"/>
  <c r="G11" i="8" s="1"/>
  <c r="E10" i="8"/>
  <c r="G10" i="8" s="1"/>
  <c r="E7" i="8"/>
  <c r="G7" i="8" s="1"/>
  <c r="E6" i="8"/>
  <c r="G6" i="8" s="1"/>
  <c r="G24" i="7"/>
  <c r="G23" i="7"/>
  <c r="E21" i="7"/>
  <c r="G21" i="7" s="1"/>
  <c r="E20" i="7"/>
  <c r="G20" i="7" s="1"/>
  <c r="E19" i="7"/>
  <c r="G19" i="7" s="1"/>
  <c r="E18" i="7"/>
  <c r="G18" i="7" s="1"/>
  <c r="E17" i="7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7" i="7"/>
  <c r="G7" i="7" s="1"/>
  <c r="E6" i="7"/>
  <c r="G6" i="7" s="1"/>
  <c r="G24" i="6"/>
  <c r="G23" i="6"/>
  <c r="G22" i="6"/>
  <c r="E21" i="6"/>
  <c r="G21" i="6" s="1"/>
  <c r="E20" i="6"/>
  <c r="G20" i="6" s="1"/>
  <c r="E19" i="6"/>
  <c r="G19" i="6" s="1"/>
  <c r="E18" i="6"/>
  <c r="G18" i="6" s="1"/>
  <c r="E17" i="6"/>
  <c r="E16" i="6"/>
  <c r="G16" i="6" s="1"/>
  <c r="E15" i="6"/>
  <c r="G15" i="6" s="1"/>
  <c r="E14" i="6"/>
  <c r="G14" i="6" s="1"/>
  <c r="E13" i="6"/>
  <c r="G13" i="6" s="1"/>
  <c r="E12" i="6"/>
  <c r="G12" i="6" s="1"/>
  <c r="E11" i="6"/>
  <c r="G11" i="6" s="1"/>
  <c r="E10" i="6"/>
  <c r="G10" i="6" s="1"/>
  <c r="E7" i="6"/>
  <c r="G7" i="6" s="1"/>
  <c r="E6" i="6"/>
  <c r="G6" i="6" s="1"/>
  <c r="G5" i="6"/>
  <c r="E6" i="2"/>
  <c r="G6" i="2" s="1"/>
  <c r="E7" i="2"/>
  <c r="G7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G17" i="2"/>
  <c r="E18" i="2"/>
  <c r="E19" i="2"/>
  <c r="G19" i="2" s="1"/>
  <c r="E20" i="2"/>
  <c r="G20" i="2" s="1"/>
  <c r="E21" i="2"/>
  <c r="G21" i="2" s="1"/>
  <c r="D4" i="9" l="1"/>
  <c r="B5" i="9"/>
  <c r="D5" i="9" s="1"/>
  <c r="D4" i="8"/>
  <c r="B5" i="8"/>
  <c r="D5" i="8" s="1"/>
  <c r="M4" i="8"/>
  <c r="K5" i="8"/>
  <c r="M4" i="9"/>
  <c r="K5" i="9"/>
  <c r="S4" i="10"/>
  <c r="H4" i="34" s="1"/>
  <c r="G4" i="8"/>
  <c r="E5" i="8"/>
  <c r="G5" i="8" s="1"/>
  <c r="S4" i="8"/>
  <c r="F4" i="34" s="1"/>
  <c r="G4" i="7"/>
  <c r="E5" i="7"/>
  <c r="G5" i="7" s="1"/>
  <c r="G4" i="9"/>
  <c r="E5" i="9"/>
  <c r="G5" i="9" s="1"/>
  <c r="S4" i="9"/>
  <c r="J4" i="9"/>
  <c r="H5" i="9"/>
  <c r="H5" i="8"/>
  <c r="J5" i="8" s="1"/>
  <c r="G22" i="7"/>
  <c r="W4" i="7"/>
  <c r="G17" i="10"/>
  <c r="W4" i="8"/>
  <c r="P4" i="8"/>
  <c r="W4" i="9"/>
  <c r="P4" i="9"/>
  <c r="G17" i="9"/>
  <c r="G17" i="8"/>
  <c r="G17" i="11"/>
  <c r="S4" i="11"/>
  <c r="G17" i="7"/>
  <c r="M4" i="7"/>
  <c r="P4" i="7"/>
  <c r="J4" i="7"/>
  <c r="D8" i="7"/>
  <c r="D4" i="7"/>
  <c r="G17" i="6"/>
  <c r="G17" i="5"/>
  <c r="G24" i="2"/>
  <c r="G23" i="2"/>
  <c r="H18" i="2"/>
  <c r="G18" i="2"/>
  <c r="G22" i="2"/>
  <c r="G8" i="5"/>
  <c r="G5" i="5"/>
  <c r="G19" i="11"/>
  <c r="H20" i="2"/>
  <c r="H19" i="2"/>
  <c r="H17" i="2"/>
  <c r="H21" i="2"/>
  <c r="H15" i="2"/>
  <c r="H14" i="2"/>
  <c r="H13" i="2"/>
  <c r="H12" i="2"/>
  <c r="H11" i="2"/>
  <c r="H10" i="2"/>
  <c r="G5" i="11"/>
  <c r="G8" i="10"/>
  <c r="G8" i="9"/>
  <c r="G8" i="6"/>
  <c r="G8" i="7"/>
  <c r="G8" i="8"/>
  <c r="H16" i="2"/>
  <c r="H6" i="2"/>
  <c r="H7" i="2"/>
  <c r="K7" i="2" s="1"/>
  <c r="G8" i="11"/>
  <c r="H21" i="5"/>
  <c r="J21" i="5" s="1"/>
  <c r="H10" i="5"/>
  <c r="H14" i="5"/>
  <c r="J14" i="5" s="1"/>
  <c r="H18" i="5"/>
  <c r="J18" i="5" s="1"/>
  <c r="J22" i="5"/>
  <c r="H6" i="5"/>
  <c r="J6" i="5" s="1"/>
  <c r="H11" i="5"/>
  <c r="J11" i="5" s="1"/>
  <c r="H15" i="5"/>
  <c r="J15" i="5" s="1"/>
  <c r="H19" i="5"/>
  <c r="J19" i="5" s="1"/>
  <c r="H7" i="5"/>
  <c r="J7" i="5" s="1"/>
  <c r="H12" i="5"/>
  <c r="J12" i="5" s="1"/>
  <c r="H16" i="5"/>
  <c r="J16" i="5" s="1"/>
  <c r="H20" i="5"/>
  <c r="J20" i="5" s="1"/>
  <c r="J24" i="5"/>
  <c r="C4" i="34"/>
  <c r="J21" i="11"/>
  <c r="H13" i="5"/>
  <c r="J13" i="5" s="1"/>
  <c r="H17" i="5"/>
  <c r="Q17" i="5" s="1"/>
  <c r="J23" i="5"/>
  <c r="H6" i="11"/>
  <c r="J6" i="11" s="1"/>
  <c r="H7" i="11"/>
  <c r="J7" i="11" s="1"/>
  <c r="H10" i="11"/>
  <c r="J10" i="11" s="1"/>
  <c r="H11" i="11"/>
  <c r="J11" i="11" s="1"/>
  <c r="H12" i="11"/>
  <c r="J12" i="11" s="1"/>
  <c r="H13" i="11"/>
  <c r="J13" i="11" s="1"/>
  <c r="H14" i="11"/>
  <c r="J14" i="11" s="1"/>
  <c r="H15" i="11"/>
  <c r="J15" i="11" s="1"/>
  <c r="H16" i="11"/>
  <c r="J16" i="11" s="1"/>
  <c r="H17" i="11"/>
  <c r="H19" i="11"/>
  <c r="J19" i="11" s="1"/>
  <c r="H20" i="11"/>
  <c r="J20" i="11" s="1"/>
  <c r="H22" i="11"/>
  <c r="J22" i="11" s="1"/>
  <c r="J23" i="11"/>
  <c r="J24" i="11"/>
  <c r="H6" i="10"/>
  <c r="J6" i="10" s="1"/>
  <c r="H7" i="10"/>
  <c r="J7" i="10" s="1"/>
  <c r="H10" i="10"/>
  <c r="J10" i="10" s="1"/>
  <c r="H11" i="10"/>
  <c r="J11" i="10" s="1"/>
  <c r="H12" i="10"/>
  <c r="J12" i="10" s="1"/>
  <c r="H13" i="10"/>
  <c r="J13" i="10" s="1"/>
  <c r="H14" i="10"/>
  <c r="J14" i="10" s="1"/>
  <c r="H15" i="10"/>
  <c r="J15" i="10" s="1"/>
  <c r="H16" i="10"/>
  <c r="J16" i="10" s="1"/>
  <c r="H17" i="10"/>
  <c r="H18" i="10"/>
  <c r="J18" i="10" s="1"/>
  <c r="H19" i="10"/>
  <c r="J19" i="10" s="1"/>
  <c r="H20" i="10"/>
  <c r="J20" i="10" s="1"/>
  <c r="H21" i="10"/>
  <c r="J21" i="10" s="1"/>
  <c r="J22" i="10"/>
  <c r="J23" i="10"/>
  <c r="J24" i="10"/>
  <c r="H6" i="9"/>
  <c r="J6" i="9" s="1"/>
  <c r="H7" i="9"/>
  <c r="J7" i="9" s="1"/>
  <c r="H10" i="9"/>
  <c r="J10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Q17" i="9" s="1"/>
  <c r="H18" i="9"/>
  <c r="J18" i="9" s="1"/>
  <c r="H19" i="9"/>
  <c r="J19" i="9" s="1"/>
  <c r="H20" i="9"/>
  <c r="J20" i="9" s="1"/>
  <c r="H21" i="9"/>
  <c r="J21" i="9" s="1"/>
  <c r="J22" i="9"/>
  <c r="J23" i="9"/>
  <c r="J24" i="9"/>
  <c r="H6" i="8"/>
  <c r="J6" i="8" s="1"/>
  <c r="H7" i="8"/>
  <c r="J7" i="8" s="1"/>
  <c r="H10" i="8"/>
  <c r="J10" i="8" s="1"/>
  <c r="H11" i="8"/>
  <c r="J11" i="8" s="1"/>
  <c r="H12" i="8"/>
  <c r="J12" i="8" s="1"/>
  <c r="H13" i="8"/>
  <c r="J13" i="8" s="1"/>
  <c r="H14" i="8"/>
  <c r="J14" i="8" s="1"/>
  <c r="H15" i="8"/>
  <c r="J15" i="8" s="1"/>
  <c r="H16" i="8"/>
  <c r="J16" i="8" s="1"/>
  <c r="H17" i="8"/>
  <c r="H18" i="8"/>
  <c r="J18" i="8" s="1"/>
  <c r="H19" i="8"/>
  <c r="J19" i="8" s="1"/>
  <c r="H20" i="8"/>
  <c r="J20" i="8" s="1"/>
  <c r="H21" i="8"/>
  <c r="J21" i="8" s="1"/>
  <c r="H6" i="7"/>
  <c r="J6" i="7" s="1"/>
  <c r="H7" i="7"/>
  <c r="J7" i="7" s="1"/>
  <c r="H10" i="7"/>
  <c r="J10" i="7" s="1"/>
  <c r="H11" i="7"/>
  <c r="J11" i="7" s="1"/>
  <c r="H12" i="7"/>
  <c r="J12" i="7" s="1"/>
  <c r="H13" i="7"/>
  <c r="J13" i="7" s="1"/>
  <c r="H14" i="7"/>
  <c r="J14" i="7" s="1"/>
  <c r="H15" i="7"/>
  <c r="J15" i="7" s="1"/>
  <c r="H16" i="7"/>
  <c r="J16" i="7" s="1"/>
  <c r="H17" i="7"/>
  <c r="Q17" i="7" s="1"/>
  <c r="H18" i="7"/>
  <c r="J18" i="7" s="1"/>
  <c r="H19" i="7"/>
  <c r="J19" i="7" s="1"/>
  <c r="H20" i="7"/>
  <c r="J20" i="7" s="1"/>
  <c r="H21" i="7"/>
  <c r="J21" i="7" s="1"/>
  <c r="J22" i="7"/>
  <c r="J23" i="7"/>
  <c r="J24" i="7"/>
  <c r="D4" i="34"/>
  <c r="H6" i="6"/>
  <c r="J6" i="6" s="1"/>
  <c r="H7" i="6"/>
  <c r="J7" i="6" s="1"/>
  <c r="H10" i="6"/>
  <c r="J10" i="6" s="1"/>
  <c r="H11" i="6"/>
  <c r="J11" i="6" s="1"/>
  <c r="H12" i="6"/>
  <c r="J12" i="6" s="1"/>
  <c r="H13" i="6"/>
  <c r="J13" i="6" s="1"/>
  <c r="H14" i="6"/>
  <c r="J14" i="6" s="1"/>
  <c r="H15" i="6"/>
  <c r="J15" i="6" s="1"/>
  <c r="H16" i="6"/>
  <c r="J16" i="6" s="1"/>
  <c r="H17" i="6"/>
  <c r="Q17" i="6" s="1"/>
  <c r="H18" i="6"/>
  <c r="J18" i="6" s="1"/>
  <c r="H19" i="6"/>
  <c r="J19" i="6" s="1"/>
  <c r="H20" i="6"/>
  <c r="J20" i="6" s="1"/>
  <c r="H21" i="6"/>
  <c r="J21" i="6" s="1"/>
  <c r="J22" i="6"/>
  <c r="J23" i="6"/>
  <c r="J24" i="6"/>
  <c r="Q17" i="8" l="1"/>
  <c r="J17" i="8"/>
  <c r="Q17" i="11"/>
  <c r="J17" i="11"/>
  <c r="K15" i="5"/>
  <c r="M15" i="5" s="1"/>
  <c r="J17" i="10"/>
  <c r="Q17" i="10"/>
  <c r="K16" i="5"/>
  <c r="M16" i="5" s="1"/>
  <c r="W17" i="2"/>
  <c r="Q17" i="2"/>
  <c r="J17" i="9"/>
  <c r="J17" i="7"/>
  <c r="J17" i="6"/>
  <c r="J17" i="5"/>
  <c r="K18" i="2"/>
  <c r="J18" i="2"/>
  <c r="J23" i="2"/>
  <c r="J24" i="2"/>
  <c r="J22" i="2"/>
  <c r="K20" i="2"/>
  <c r="J20" i="2"/>
  <c r="K19" i="2"/>
  <c r="J19" i="2"/>
  <c r="J17" i="2"/>
  <c r="K14" i="2"/>
  <c r="J14" i="2"/>
  <c r="K15" i="2"/>
  <c r="J15" i="2"/>
  <c r="K21" i="2"/>
  <c r="J21" i="2"/>
  <c r="K13" i="2"/>
  <c r="J13" i="2"/>
  <c r="K12" i="2"/>
  <c r="J12" i="2"/>
  <c r="K11" i="2"/>
  <c r="J11" i="2"/>
  <c r="K10" i="2"/>
  <c r="J10" i="2"/>
  <c r="J5" i="10"/>
  <c r="J8" i="10"/>
  <c r="J5" i="9"/>
  <c r="J5" i="6"/>
  <c r="J5" i="7"/>
  <c r="J8" i="9"/>
  <c r="J5" i="5"/>
  <c r="J8" i="7"/>
  <c r="J8" i="6"/>
  <c r="J7" i="2"/>
  <c r="K6" i="2"/>
  <c r="J6" i="2"/>
  <c r="J10" i="5"/>
  <c r="J8" i="5"/>
  <c r="K16" i="2"/>
  <c r="J16" i="2"/>
  <c r="G4" i="34"/>
  <c r="S4" i="7"/>
  <c r="E4" i="34" s="1"/>
  <c r="I4" i="34"/>
  <c r="K14" i="5"/>
  <c r="M14" i="5" s="1"/>
  <c r="K12" i="5"/>
  <c r="M12" i="5" s="1"/>
  <c r="K11" i="5"/>
  <c r="M11" i="5" s="1"/>
  <c r="K10" i="5"/>
  <c r="K19" i="5"/>
  <c r="M19" i="5" s="1"/>
  <c r="K6" i="5"/>
  <c r="M6" i="5" s="1"/>
  <c r="K7" i="5"/>
  <c r="M7" i="5" s="1"/>
  <c r="M22" i="5"/>
  <c r="M24" i="5"/>
  <c r="K20" i="5"/>
  <c r="M20" i="5" s="1"/>
  <c r="K21" i="5"/>
  <c r="M21" i="5" s="1"/>
  <c r="K18" i="5"/>
  <c r="M18" i="5" s="1"/>
  <c r="K13" i="5"/>
  <c r="M13" i="5" s="1"/>
  <c r="M23" i="5"/>
  <c r="N16" i="5"/>
  <c r="P16" i="5" s="1"/>
  <c r="M25" i="11"/>
  <c r="M24" i="11"/>
  <c r="M23" i="11"/>
  <c r="K22" i="11"/>
  <c r="M22" i="11" s="1"/>
  <c r="K20" i="11"/>
  <c r="M20" i="11" s="1"/>
  <c r="K19" i="11"/>
  <c r="K16" i="11"/>
  <c r="M16" i="11" s="1"/>
  <c r="K15" i="11"/>
  <c r="M15" i="11" s="1"/>
  <c r="K14" i="11"/>
  <c r="M14" i="11" s="1"/>
  <c r="K13" i="11"/>
  <c r="M13" i="11" s="1"/>
  <c r="K12" i="11"/>
  <c r="M12" i="11" s="1"/>
  <c r="K11" i="11"/>
  <c r="M11" i="11" s="1"/>
  <c r="K10" i="11"/>
  <c r="M10" i="11" s="1"/>
  <c r="K7" i="11"/>
  <c r="M7" i="11" s="1"/>
  <c r="K6" i="11"/>
  <c r="M6" i="11" s="1"/>
  <c r="M24" i="10"/>
  <c r="M23" i="10"/>
  <c r="M22" i="10"/>
  <c r="K21" i="10"/>
  <c r="K20" i="10"/>
  <c r="M20" i="10" s="1"/>
  <c r="K19" i="10"/>
  <c r="M19" i="10" s="1"/>
  <c r="K18" i="10"/>
  <c r="M18" i="10" s="1"/>
  <c r="K16" i="10"/>
  <c r="M16" i="10" s="1"/>
  <c r="K15" i="10"/>
  <c r="M15" i="10" s="1"/>
  <c r="K14" i="10"/>
  <c r="M14" i="10" s="1"/>
  <c r="K13" i="10"/>
  <c r="M13" i="10" s="1"/>
  <c r="K12" i="10"/>
  <c r="M12" i="10" s="1"/>
  <c r="K11" i="10"/>
  <c r="M11" i="10" s="1"/>
  <c r="K10" i="10"/>
  <c r="M10" i="10" s="1"/>
  <c r="K7" i="10"/>
  <c r="M7" i="10" s="1"/>
  <c r="K6" i="10"/>
  <c r="M6" i="10" s="1"/>
  <c r="M24" i="9"/>
  <c r="M23" i="9"/>
  <c r="M22" i="9"/>
  <c r="K21" i="9"/>
  <c r="M21" i="9" s="1"/>
  <c r="K20" i="9"/>
  <c r="M20" i="9" s="1"/>
  <c r="K19" i="9"/>
  <c r="M19" i="9" s="1"/>
  <c r="K18" i="9"/>
  <c r="M18" i="9" s="1"/>
  <c r="K16" i="9"/>
  <c r="M16" i="9" s="1"/>
  <c r="K15" i="9"/>
  <c r="M15" i="9" s="1"/>
  <c r="K14" i="9"/>
  <c r="M14" i="9" s="1"/>
  <c r="K13" i="9"/>
  <c r="M13" i="9" s="1"/>
  <c r="K12" i="9"/>
  <c r="M12" i="9" s="1"/>
  <c r="K11" i="9"/>
  <c r="M11" i="9" s="1"/>
  <c r="K10" i="9"/>
  <c r="M10" i="9" s="1"/>
  <c r="K7" i="9"/>
  <c r="M7" i="9" s="1"/>
  <c r="K6" i="9"/>
  <c r="M6" i="9" s="1"/>
  <c r="M24" i="8"/>
  <c r="M23" i="8"/>
  <c r="M22" i="8"/>
  <c r="K21" i="8"/>
  <c r="M21" i="8" s="1"/>
  <c r="K20" i="8"/>
  <c r="M20" i="8" s="1"/>
  <c r="K19" i="8"/>
  <c r="M19" i="8" s="1"/>
  <c r="K18" i="8"/>
  <c r="M18" i="8" s="1"/>
  <c r="K16" i="8"/>
  <c r="M16" i="8" s="1"/>
  <c r="K15" i="8"/>
  <c r="M15" i="8" s="1"/>
  <c r="K14" i="8"/>
  <c r="M14" i="8" s="1"/>
  <c r="K13" i="8"/>
  <c r="M13" i="8" s="1"/>
  <c r="K12" i="8"/>
  <c r="M12" i="8" s="1"/>
  <c r="K11" i="8"/>
  <c r="M11" i="8" s="1"/>
  <c r="K10" i="8"/>
  <c r="K7" i="8"/>
  <c r="M7" i="8" s="1"/>
  <c r="K6" i="8"/>
  <c r="M6" i="8" s="1"/>
  <c r="M24" i="7"/>
  <c r="M23" i="7"/>
  <c r="M22" i="7"/>
  <c r="K21" i="7"/>
  <c r="M21" i="7" s="1"/>
  <c r="K20" i="7"/>
  <c r="M20" i="7" s="1"/>
  <c r="K19" i="7"/>
  <c r="M19" i="7" s="1"/>
  <c r="K18" i="7"/>
  <c r="M18" i="7" s="1"/>
  <c r="K16" i="7"/>
  <c r="M16" i="7" s="1"/>
  <c r="K15" i="7"/>
  <c r="M15" i="7" s="1"/>
  <c r="K14" i="7"/>
  <c r="M14" i="7" s="1"/>
  <c r="K13" i="7"/>
  <c r="M13" i="7" s="1"/>
  <c r="K12" i="7"/>
  <c r="M12" i="7" s="1"/>
  <c r="K11" i="7"/>
  <c r="M11" i="7" s="1"/>
  <c r="K10" i="7"/>
  <c r="M10" i="7" s="1"/>
  <c r="K7" i="7"/>
  <c r="M7" i="7" s="1"/>
  <c r="K6" i="7"/>
  <c r="M6" i="7" s="1"/>
  <c r="M24" i="6"/>
  <c r="M23" i="6"/>
  <c r="M22" i="6"/>
  <c r="K21" i="6"/>
  <c r="M21" i="6" s="1"/>
  <c r="K20" i="6"/>
  <c r="M20" i="6" s="1"/>
  <c r="K19" i="6"/>
  <c r="M19" i="6" s="1"/>
  <c r="K18" i="6"/>
  <c r="M18" i="6" s="1"/>
  <c r="K16" i="6"/>
  <c r="M16" i="6" s="1"/>
  <c r="K15" i="6"/>
  <c r="M15" i="6" s="1"/>
  <c r="K14" i="6"/>
  <c r="M14" i="6" s="1"/>
  <c r="K13" i="6"/>
  <c r="M13" i="6" s="1"/>
  <c r="K12" i="6"/>
  <c r="M12" i="6" s="1"/>
  <c r="K11" i="6"/>
  <c r="M11" i="6" s="1"/>
  <c r="K10" i="6"/>
  <c r="M10" i="6" s="1"/>
  <c r="K7" i="6"/>
  <c r="M7" i="6" s="1"/>
  <c r="K6" i="6"/>
  <c r="M6" i="6" s="1"/>
  <c r="N15" i="5" l="1"/>
  <c r="P15" i="5" s="1"/>
  <c r="N14" i="5"/>
  <c r="P14" i="5" s="1"/>
  <c r="N12" i="5"/>
  <c r="P12" i="5" s="1"/>
  <c r="M21" i="10"/>
  <c r="N11" i="5"/>
  <c r="P11" i="5" s="1"/>
  <c r="M17" i="8"/>
  <c r="M17" i="9"/>
  <c r="M17" i="11"/>
  <c r="M17" i="10"/>
  <c r="M17" i="7"/>
  <c r="M17" i="6"/>
  <c r="M17" i="5"/>
  <c r="M24" i="2"/>
  <c r="M23" i="2"/>
  <c r="N18" i="2"/>
  <c r="M18" i="2"/>
  <c r="M22" i="2"/>
  <c r="M19" i="11"/>
  <c r="N20" i="2"/>
  <c r="M20" i="2"/>
  <c r="N19" i="2"/>
  <c r="M19" i="2"/>
  <c r="M17" i="2"/>
  <c r="N21" i="2"/>
  <c r="M21" i="2"/>
  <c r="N15" i="2"/>
  <c r="M15" i="2"/>
  <c r="N14" i="2"/>
  <c r="M14" i="2"/>
  <c r="N13" i="2"/>
  <c r="M13" i="2"/>
  <c r="N12" i="2"/>
  <c r="M12" i="2"/>
  <c r="N11" i="2"/>
  <c r="M11" i="2"/>
  <c r="M10" i="8"/>
  <c r="N10" i="8"/>
  <c r="N10" i="2"/>
  <c r="M10" i="2"/>
  <c r="M5" i="11"/>
  <c r="M5" i="10"/>
  <c r="M8" i="10"/>
  <c r="M5" i="9"/>
  <c r="M5" i="6"/>
  <c r="M5" i="7"/>
  <c r="M5" i="8"/>
  <c r="M8" i="9"/>
  <c r="M5" i="5"/>
  <c r="M8" i="8"/>
  <c r="M8" i="7"/>
  <c r="M8" i="6"/>
  <c r="N7" i="2"/>
  <c r="M7" i="2"/>
  <c r="N6" i="2"/>
  <c r="M6" i="2"/>
  <c r="M10" i="5"/>
  <c r="M8" i="5"/>
  <c r="N16" i="2"/>
  <c r="M16" i="2"/>
  <c r="M8" i="11"/>
  <c r="P22" i="5"/>
  <c r="N19" i="5"/>
  <c r="P19" i="5" s="1"/>
  <c r="N7" i="5"/>
  <c r="P7" i="5" s="1"/>
  <c r="P24" i="5"/>
  <c r="N10" i="5"/>
  <c r="N6" i="5"/>
  <c r="P6" i="5" s="1"/>
  <c r="N21" i="5"/>
  <c r="P21" i="5" s="1"/>
  <c r="N20" i="5"/>
  <c r="P20" i="5" s="1"/>
  <c r="N18" i="5"/>
  <c r="P18" i="5" s="1"/>
  <c r="P23" i="5"/>
  <c r="S7" i="5"/>
  <c r="C7" i="34" s="1"/>
  <c r="N13" i="5"/>
  <c r="P13" i="5" s="1"/>
  <c r="N6" i="11"/>
  <c r="P6" i="11" s="1"/>
  <c r="N7" i="11"/>
  <c r="P7" i="11" s="1"/>
  <c r="N10" i="11"/>
  <c r="P10" i="11" s="1"/>
  <c r="N11" i="11"/>
  <c r="P11" i="11" s="1"/>
  <c r="N12" i="11"/>
  <c r="P12" i="11" s="1"/>
  <c r="N13" i="11"/>
  <c r="P13" i="11" s="1"/>
  <c r="N14" i="11"/>
  <c r="P14" i="11" s="1"/>
  <c r="N15" i="11"/>
  <c r="P15" i="11" s="1"/>
  <c r="N16" i="11"/>
  <c r="P16" i="11" s="1"/>
  <c r="N19" i="11"/>
  <c r="N20" i="11"/>
  <c r="P20" i="11" s="1"/>
  <c r="N22" i="11"/>
  <c r="P22" i="11" s="1"/>
  <c r="P23" i="11"/>
  <c r="P24" i="11"/>
  <c r="P25" i="11"/>
  <c r="N6" i="10"/>
  <c r="P6" i="10" s="1"/>
  <c r="N7" i="10"/>
  <c r="P7" i="10" s="1"/>
  <c r="N10" i="10"/>
  <c r="P10" i="10" s="1"/>
  <c r="N11" i="10"/>
  <c r="P11" i="10" s="1"/>
  <c r="N12" i="10"/>
  <c r="P12" i="10" s="1"/>
  <c r="N13" i="10"/>
  <c r="P13" i="10" s="1"/>
  <c r="N14" i="10"/>
  <c r="P14" i="10" s="1"/>
  <c r="N15" i="10"/>
  <c r="P15" i="10" s="1"/>
  <c r="N16" i="10"/>
  <c r="P16" i="10" s="1"/>
  <c r="P17" i="10"/>
  <c r="N18" i="10"/>
  <c r="P18" i="10" s="1"/>
  <c r="N19" i="10"/>
  <c r="P19" i="10" s="1"/>
  <c r="N20" i="10"/>
  <c r="P20" i="10" s="1"/>
  <c r="N21" i="10"/>
  <c r="P21" i="10" s="1"/>
  <c r="P22" i="10"/>
  <c r="P23" i="10"/>
  <c r="P24" i="10"/>
  <c r="N6" i="9"/>
  <c r="P6" i="9" s="1"/>
  <c r="N7" i="9"/>
  <c r="P7" i="9" s="1"/>
  <c r="N10" i="9"/>
  <c r="P10" i="9" s="1"/>
  <c r="N11" i="9"/>
  <c r="P11" i="9" s="1"/>
  <c r="N12" i="9"/>
  <c r="P12" i="9" s="1"/>
  <c r="N13" i="9"/>
  <c r="P13" i="9" s="1"/>
  <c r="N14" i="9"/>
  <c r="P14" i="9" s="1"/>
  <c r="N15" i="9"/>
  <c r="P15" i="9" s="1"/>
  <c r="N16" i="9"/>
  <c r="P16" i="9" s="1"/>
  <c r="N18" i="9"/>
  <c r="P18" i="9" s="1"/>
  <c r="N19" i="9"/>
  <c r="P19" i="9" s="1"/>
  <c r="N20" i="9"/>
  <c r="P20" i="9" s="1"/>
  <c r="N21" i="9"/>
  <c r="P21" i="9" s="1"/>
  <c r="P22" i="9"/>
  <c r="P23" i="9"/>
  <c r="P24" i="9"/>
  <c r="N6" i="8"/>
  <c r="P6" i="8" s="1"/>
  <c r="N7" i="8"/>
  <c r="P7" i="8" s="1"/>
  <c r="N11" i="8"/>
  <c r="P11" i="8" s="1"/>
  <c r="N12" i="8"/>
  <c r="P12" i="8" s="1"/>
  <c r="N13" i="8"/>
  <c r="P13" i="8" s="1"/>
  <c r="N14" i="8"/>
  <c r="P14" i="8" s="1"/>
  <c r="N15" i="8"/>
  <c r="P15" i="8" s="1"/>
  <c r="N16" i="8"/>
  <c r="P16" i="8" s="1"/>
  <c r="N18" i="8"/>
  <c r="P18" i="8" s="1"/>
  <c r="N19" i="8"/>
  <c r="P19" i="8" s="1"/>
  <c r="N20" i="8"/>
  <c r="P20" i="8" s="1"/>
  <c r="N21" i="8"/>
  <c r="P21" i="8" s="1"/>
  <c r="P22" i="8"/>
  <c r="P23" i="8"/>
  <c r="P24" i="8"/>
  <c r="N6" i="7"/>
  <c r="P6" i="7" s="1"/>
  <c r="N7" i="7"/>
  <c r="P7" i="7" s="1"/>
  <c r="N10" i="7"/>
  <c r="P10" i="7" s="1"/>
  <c r="N11" i="7"/>
  <c r="P11" i="7" s="1"/>
  <c r="N12" i="7"/>
  <c r="P12" i="7" s="1"/>
  <c r="N13" i="7"/>
  <c r="P13" i="7" s="1"/>
  <c r="N14" i="7"/>
  <c r="P14" i="7" s="1"/>
  <c r="N15" i="7"/>
  <c r="P15" i="7" s="1"/>
  <c r="N16" i="7"/>
  <c r="P16" i="7" s="1"/>
  <c r="N18" i="7"/>
  <c r="P18" i="7" s="1"/>
  <c r="N19" i="7"/>
  <c r="P19" i="7" s="1"/>
  <c r="N20" i="7"/>
  <c r="P20" i="7" s="1"/>
  <c r="N21" i="7"/>
  <c r="P21" i="7" s="1"/>
  <c r="P22" i="7"/>
  <c r="P23" i="7"/>
  <c r="P24" i="7"/>
  <c r="N6" i="6"/>
  <c r="P6" i="6" s="1"/>
  <c r="N7" i="6"/>
  <c r="P7" i="6" s="1"/>
  <c r="N10" i="6"/>
  <c r="P10" i="6" s="1"/>
  <c r="N11" i="6"/>
  <c r="P11" i="6" s="1"/>
  <c r="N12" i="6"/>
  <c r="P12" i="6" s="1"/>
  <c r="N13" i="6"/>
  <c r="P13" i="6" s="1"/>
  <c r="N14" i="6"/>
  <c r="P14" i="6" s="1"/>
  <c r="N15" i="6"/>
  <c r="P15" i="6" s="1"/>
  <c r="N16" i="6"/>
  <c r="P16" i="6" s="1"/>
  <c r="N18" i="6"/>
  <c r="P18" i="6" s="1"/>
  <c r="N19" i="6"/>
  <c r="P19" i="6" s="1"/>
  <c r="N20" i="6"/>
  <c r="P20" i="6" s="1"/>
  <c r="N21" i="6"/>
  <c r="P21" i="6" s="1"/>
  <c r="P22" i="6"/>
  <c r="P23" i="6"/>
  <c r="P24" i="6"/>
  <c r="P10" i="8" l="1"/>
  <c r="P17" i="9"/>
  <c r="S17" i="9"/>
  <c r="S17" i="11"/>
  <c r="I17" i="34" s="1"/>
  <c r="S17" i="10"/>
  <c r="P17" i="8"/>
  <c r="S17" i="8"/>
  <c r="P17" i="7"/>
  <c r="S17" i="7"/>
  <c r="P17" i="6"/>
  <c r="S17" i="6"/>
  <c r="P17" i="5"/>
  <c r="S18" i="2"/>
  <c r="B18" i="34" s="1"/>
  <c r="P18" i="2"/>
  <c r="P23" i="2"/>
  <c r="S24" i="2"/>
  <c r="B25" i="34" s="1"/>
  <c r="P24" i="2"/>
  <c r="P22" i="2"/>
  <c r="P19" i="11"/>
  <c r="S20" i="2"/>
  <c r="B20" i="34" s="1"/>
  <c r="P20" i="2"/>
  <c r="S19" i="2"/>
  <c r="B19" i="34" s="1"/>
  <c r="P19" i="2"/>
  <c r="P17" i="2"/>
  <c r="S17" i="2"/>
  <c r="B17" i="34" s="1"/>
  <c r="S14" i="2"/>
  <c r="B14" i="34" s="1"/>
  <c r="P14" i="2"/>
  <c r="S15" i="2"/>
  <c r="B15" i="34" s="1"/>
  <c r="P15" i="2"/>
  <c r="S21" i="2"/>
  <c r="B22" i="34" s="1"/>
  <c r="P21" i="2"/>
  <c r="S13" i="2"/>
  <c r="B13" i="34" s="1"/>
  <c r="P13" i="2"/>
  <c r="S12" i="2"/>
  <c r="B12" i="34" s="1"/>
  <c r="P12" i="2"/>
  <c r="S11" i="2"/>
  <c r="B11" i="34" s="1"/>
  <c r="P11" i="2"/>
  <c r="S10" i="2"/>
  <c r="B10" i="34" s="1"/>
  <c r="P10" i="2"/>
  <c r="P5" i="11"/>
  <c r="P5" i="10"/>
  <c r="P8" i="10"/>
  <c r="S8" i="10"/>
  <c r="P5" i="9"/>
  <c r="P5" i="6"/>
  <c r="W8" i="6"/>
  <c r="P5" i="7"/>
  <c r="P5" i="8"/>
  <c r="P8" i="9"/>
  <c r="S8" i="9"/>
  <c r="P5" i="5"/>
  <c r="P8" i="8"/>
  <c r="S8" i="8"/>
  <c r="P8" i="7"/>
  <c r="S8" i="7"/>
  <c r="P8" i="6"/>
  <c r="S8" i="6"/>
  <c r="S7" i="2"/>
  <c r="B7" i="34" s="1"/>
  <c r="P7" i="2"/>
  <c r="P6" i="2"/>
  <c r="S6" i="2"/>
  <c r="B6" i="34" s="1"/>
  <c r="P10" i="5"/>
  <c r="S16" i="2"/>
  <c r="B16" i="34" s="1"/>
  <c r="P16" i="2"/>
  <c r="I21" i="34"/>
  <c r="P17" i="11"/>
  <c r="S8" i="11"/>
  <c r="I8" i="34" s="1"/>
  <c r="P8" i="11"/>
  <c r="S6" i="5"/>
  <c r="C6" i="34" s="1"/>
  <c r="S10" i="5"/>
  <c r="C10" i="34" s="1"/>
  <c r="S21" i="5"/>
  <c r="C22" i="34" s="1"/>
  <c r="S24" i="5"/>
  <c r="C25" i="34" s="1"/>
  <c r="S12" i="5"/>
  <c r="C12" i="34" s="1"/>
  <c r="S15" i="5"/>
  <c r="C15" i="34" s="1"/>
  <c r="S19" i="5"/>
  <c r="C19" i="34" s="1"/>
  <c r="S20" i="5"/>
  <c r="C20" i="34" s="1"/>
  <c r="P8" i="5"/>
  <c r="S14" i="5"/>
  <c r="C14" i="34" s="1"/>
  <c r="S11" i="5"/>
  <c r="C11" i="34" s="1"/>
  <c r="S16" i="5"/>
  <c r="C16" i="34" s="1"/>
  <c r="S18" i="5"/>
  <c r="C18" i="34" s="1"/>
  <c r="S24" i="11"/>
  <c r="I24" i="34" s="1"/>
  <c r="S23" i="11"/>
  <c r="I23" i="34" s="1"/>
  <c r="S22" i="11"/>
  <c r="I22" i="34" s="1"/>
  <c r="S20" i="11"/>
  <c r="I20" i="34" s="1"/>
  <c r="S19" i="11"/>
  <c r="I19" i="34" s="1"/>
  <c r="S16" i="11"/>
  <c r="I16" i="34" s="1"/>
  <c r="S15" i="11"/>
  <c r="I15" i="34" s="1"/>
  <c r="S14" i="11"/>
  <c r="I14" i="34" s="1"/>
  <c r="S13" i="11"/>
  <c r="I13" i="34" s="1"/>
  <c r="S12" i="11"/>
  <c r="I12" i="34" s="1"/>
  <c r="S11" i="11"/>
  <c r="I11" i="34" s="1"/>
  <c r="S10" i="11"/>
  <c r="I10" i="34" s="1"/>
  <c r="S24" i="10"/>
  <c r="H25" i="34" s="1"/>
  <c r="S23" i="10"/>
  <c r="H24" i="34" s="1"/>
  <c r="S21" i="10"/>
  <c r="S20" i="10"/>
  <c r="S19" i="10"/>
  <c r="S18" i="10"/>
  <c r="S16" i="10"/>
  <c r="S15" i="10"/>
  <c r="S14" i="10"/>
  <c r="S13" i="10"/>
  <c r="S12" i="10"/>
  <c r="S11" i="10"/>
  <c r="S10" i="10"/>
  <c r="S7" i="10"/>
  <c r="S6" i="10"/>
  <c r="S24" i="9"/>
  <c r="G25" i="34" s="1"/>
  <c r="S23" i="9"/>
  <c r="G24" i="34" s="1"/>
  <c r="S21" i="9"/>
  <c r="S20" i="9"/>
  <c r="S19" i="9"/>
  <c r="S18" i="9"/>
  <c r="S16" i="9"/>
  <c r="S15" i="9"/>
  <c r="S14" i="9"/>
  <c r="S13" i="9"/>
  <c r="S12" i="9"/>
  <c r="S11" i="9"/>
  <c r="S10" i="9"/>
  <c r="S7" i="9"/>
  <c r="S6" i="9"/>
  <c r="S24" i="8"/>
  <c r="F25" i="34" s="1"/>
  <c r="S23" i="8"/>
  <c r="F24" i="34" s="1"/>
  <c r="S21" i="8"/>
  <c r="S20" i="8"/>
  <c r="S19" i="8"/>
  <c r="S18" i="8"/>
  <c r="S16" i="8"/>
  <c r="S15" i="8"/>
  <c r="S14" i="8"/>
  <c r="S13" i="8"/>
  <c r="S12" i="8"/>
  <c r="S11" i="8"/>
  <c r="S10" i="8"/>
  <c r="S7" i="8"/>
  <c r="S6" i="8"/>
  <c r="S24" i="7"/>
  <c r="E25" i="34" s="1"/>
  <c r="S23" i="7"/>
  <c r="E24" i="34" s="1"/>
  <c r="S21" i="7"/>
  <c r="S20" i="7"/>
  <c r="S19" i="7"/>
  <c r="S18" i="7"/>
  <c r="S16" i="7"/>
  <c r="S15" i="7"/>
  <c r="S14" i="7"/>
  <c r="S13" i="7"/>
  <c r="S12" i="7"/>
  <c r="S11" i="7"/>
  <c r="S10" i="7"/>
  <c r="S7" i="7"/>
  <c r="S6" i="7"/>
  <c r="S24" i="6"/>
  <c r="D25" i="34" s="1"/>
  <c r="S23" i="6"/>
  <c r="D24" i="34" s="1"/>
  <c r="S21" i="6"/>
  <c r="S20" i="6"/>
  <c r="S19" i="6"/>
  <c r="S18" i="6"/>
  <c r="S16" i="6"/>
  <c r="S15" i="6"/>
  <c r="S14" i="6"/>
  <c r="S13" i="6"/>
  <c r="S12" i="6"/>
  <c r="S11" i="6"/>
  <c r="S10" i="6"/>
  <c r="S7" i="6"/>
  <c r="S6" i="6"/>
  <c r="S8" i="5" l="1"/>
  <c r="C8" i="34" s="1"/>
  <c r="W8" i="5"/>
  <c r="S25" i="11"/>
  <c r="I25" i="34" s="1"/>
  <c r="S13" i="5"/>
  <c r="C13" i="34" s="1"/>
  <c r="S23" i="5"/>
  <c r="C24" i="34" s="1"/>
  <c r="S17" i="5"/>
  <c r="C17" i="34" s="1"/>
  <c r="D6" i="34"/>
  <c r="D7" i="34"/>
  <c r="D8" i="34"/>
  <c r="D10" i="34"/>
  <c r="D11" i="34"/>
  <c r="D12" i="34"/>
  <c r="D13" i="34"/>
  <c r="D14" i="34"/>
  <c r="D15" i="34"/>
  <c r="D16" i="34"/>
  <c r="D17" i="34"/>
  <c r="D18" i="34"/>
  <c r="D19" i="34"/>
  <c r="D20" i="34"/>
  <c r="D22" i="34"/>
  <c r="E6" i="34"/>
  <c r="E7" i="34"/>
  <c r="E8" i="34"/>
  <c r="E10" i="34"/>
  <c r="E11" i="34"/>
  <c r="E12" i="34"/>
  <c r="E13" i="34"/>
  <c r="E14" i="34"/>
  <c r="E15" i="34"/>
  <c r="E16" i="34"/>
  <c r="E17" i="34"/>
  <c r="E18" i="34"/>
  <c r="E19" i="34"/>
  <c r="E20" i="34"/>
  <c r="E22" i="34"/>
  <c r="F6" i="34"/>
  <c r="F7" i="34"/>
  <c r="F8" i="34"/>
  <c r="F10" i="34"/>
  <c r="F11" i="34"/>
  <c r="F12" i="34"/>
  <c r="F13" i="34"/>
  <c r="F14" i="34"/>
  <c r="F15" i="34"/>
  <c r="F16" i="34"/>
  <c r="F17" i="34"/>
  <c r="F18" i="34"/>
  <c r="F19" i="34"/>
  <c r="F20" i="34"/>
  <c r="F22" i="34"/>
  <c r="G6" i="34"/>
  <c r="G7" i="34"/>
  <c r="G8" i="34"/>
  <c r="G10" i="34"/>
  <c r="G11" i="34"/>
  <c r="G12" i="34"/>
  <c r="G13" i="34"/>
  <c r="G14" i="34"/>
  <c r="G15" i="34"/>
  <c r="G16" i="34"/>
  <c r="G17" i="34"/>
  <c r="G18" i="34"/>
  <c r="G19" i="34"/>
  <c r="G20" i="34"/>
  <c r="G22" i="34"/>
  <c r="H6" i="34"/>
  <c r="H7" i="34"/>
  <c r="H8" i="34"/>
  <c r="H10" i="34"/>
  <c r="H11" i="34"/>
  <c r="H12" i="34"/>
  <c r="H13" i="34"/>
  <c r="H14" i="34"/>
  <c r="H15" i="34"/>
  <c r="H16" i="34"/>
  <c r="H17" i="34"/>
  <c r="H18" i="34"/>
  <c r="H19" i="34"/>
  <c r="H20" i="34"/>
  <c r="H22" i="34"/>
  <c r="D8" i="2" l="1"/>
  <c r="D5" i="2" l="1"/>
  <c r="G5" i="2" l="1"/>
  <c r="J5" i="2" l="1"/>
  <c r="J8" i="2" l="1"/>
  <c r="M5" i="2"/>
  <c r="M8" i="2" l="1"/>
  <c r="P5" i="2"/>
  <c r="S8" i="2" l="1"/>
  <c r="B8" i="34" s="1"/>
  <c r="Z5" i="5" l="1"/>
  <c r="Z5" i="6"/>
  <c r="Z4" i="6" s="1"/>
  <c r="Z5" i="8"/>
  <c r="Z4" i="8" s="1"/>
  <c r="Z5" i="9"/>
  <c r="Z4" i="9" s="1"/>
  <c r="Z5" i="10"/>
  <c r="Z4" i="10" s="1"/>
  <c r="AB5" i="5" l="1"/>
  <c r="Z4" i="5"/>
  <c r="AB4" i="6"/>
  <c r="AB5" i="6"/>
  <c r="AB4" i="10"/>
  <c r="AB5" i="10"/>
  <c r="AB5" i="9"/>
  <c r="AB5" i="8"/>
  <c r="Z5" i="2"/>
  <c r="Z4" i="2" s="1"/>
  <c r="AB5" i="2" l="1"/>
  <c r="S5" i="6"/>
  <c r="D5" i="34" s="1"/>
  <c r="S5" i="5"/>
  <c r="C5" i="34" s="1"/>
  <c r="AB4" i="5"/>
  <c r="S5" i="10"/>
  <c r="H5" i="34" s="1"/>
  <c r="S5" i="11"/>
  <c r="I5" i="34" s="1"/>
  <c r="S5" i="9"/>
  <c r="G5" i="34" s="1"/>
  <c r="AB4" i="9"/>
  <c r="S5" i="8"/>
  <c r="F5" i="34" s="1"/>
  <c r="AB4" i="8"/>
  <c r="S5" i="7" l="1"/>
  <c r="E5" i="34" s="1"/>
  <c r="S5" i="2"/>
  <c r="B5" i="34" s="1"/>
  <c r="AB4" i="2"/>
  <c r="Z5" i="11" l="1"/>
  <c r="Z5" i="7"/>
  <c r="Z4" i="11" l="1"/>
  <c r="AB4" i="11" s="1"/>
  <c r="AB5" i="11"/>
  <c r="Z4" i="7"/>
  <c r="AB4" i="7" s="1"/>
  <c r="AB5" i="7"/>
  <c r="R7" i="11" l="1"/>
  <c r="S7" i="11" s="1"/>
  <c r="I7" i="34" s="1"/>
  <c r="R6" i="11" l="1"/>
  <c r="S6" i="11" s="1"/>
  <c r="I6" i="3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Isabella Gomes Lima Ferraz</author>
  </authors>
  <commentList>
    <comment ref="A22" authorId="0" shapeId="0" xr:uid="{E8A1ED34-AB52-4E56-9103-65AC25DAC683}">
      <text>
        <r>
          <rPr>
            <b/>
            <sz val="9"/>
            <color indexed="81"/>
            <rFont val="Segoe UI"/>
            <family val="2"/>
          </rPr>
          <t>Isabella Gomes Lima Ferraz:</t>
        </r>
        <r>
          <rPr>
            <sz val="9"/>
            <color indexed="81"/>
            <rFont val="Segoe UI"/>
            <family val="2"/>
          </rPr>
          <t xml:space="preserve">
INDICADOR MENSAL</t>
        </r>
      </text>
    </comment>
    <comment ref="A23" authorId="0" shapeId="0" xr:uid="{34B0639C-6270-4F25-B5F6-8AEF30E4020E}">
      <text>
        <r>
          <rPr>
            <b/>
            <sz val="9"/>
            <color indexed="81"/>
            <rFont val="Segoe UI"/>
            <family val="2"/>
          </rPr>
          <t>Isabella Gomes Lima Ferraz:</t>
        </r>
        <r>
          <rPr>
            <sz val="9"/>
            <color indexed="81"/>
            <rFont val="Segoe UI"/>
            <family val="2"/>
          </rPr>
          <t xml:space="preserve">
INDICADOR MENSAL</t>
        </r>
      </text>
    </comment>
    <comment ref="A24" authorId="0" shapeId="0" xr:uid="{19AEC1B4-DE8B-4168-93DF-8A83066C54CF}">
      <text>
        <r>
          <rPr>
            <sz val="11"/>
            <color theme="1"/>
            <rFont val="Aptos Narrow"/>
            <family val="2"/>
            <scheme val="minor"/>
          </rPr>
          <t>Isabella Gomes Lima Ferraz:
INDICADOR MENSAL 
INDICADOR SEM META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Isabella Gomes Lima Ferraz</author>
  </authors>
  <commentList>
    <comment ref="A22" authorId="0" shapeId="0" xr:uid="{C3520383-32A7-4593-984C-1C619A75C2EA}">
      <text>
        <r>
          <rPr>
            <b/>
            <sz val="9"/>
            <color indexed="81"/>
            <rFont val="Segoe UI"/>
            <family val="2"/>
          </rPr>
          <t>Isabella Gomes Lima Ferraz:</t>
        </r>
        <r>
          <rPr>
            <sz val="9"/>
            <color indexed="81"/>
            <rFont val="Segoe UI"/>
            <family val="2"/>
          </rPr>
          <t xml:space="preserve">
INDICADOR MENSAL</t>
        </r>
      </text>
    </comment>
    <comment ref="A23" authorId="0" shapeId="0" xr:uid="{251C4F3D-8758-446C-BF96-34F327367055}">
      <text>
        <r>
          <rPr>
            <b/>
            <sz val="9"/>
            <color indexed="81"/>
            <rFont val="Segoe UI"/>
            <family val="2"/>
          </rPr>
          <t>Isabella Gomes Lima Ferraz:</t>
        </r>
        <r>
          <rPr>
            <sz val="9"/>
            <color indexed="81"/>
            <rFont val="Segoe UI"/>
            <family val="2"/>
          </rPr>
          <t xml:space="preserve">
INDICADOR MENSAL</t>
        </r>
      </text>
    </comment>
    <comment ref="A24" authorId="0" shapeId="0" xr:uid="{97B14438-3D37-45FB-982C-27416F378CB7}">
      <text>
        <r>
          <rPr>
            <sz val="11"/>
            <color theme="1"/>
            <rFont val="Aptos Narrow"/>
            <family val="2"/>
            <scheme val="minor"/>
          </rPr>
          <t>Isabella Gomes Lima Ferraz:
INDICADOR MENSAL 
INDICADOR SEM META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Isabella Gomes Lima Ferraz</author>
  </authors>
  <commentList>
    <comment ref="A22" authorId="0" shapeId="0" xr:uid="{63443B45-E931-4349-ACFF-583D404E7D91}">
      <text>
        <r>
          <rPr>
            <b/>
            <sz val="9"/>
            <color indexed="81"/>
            <rFont val="Segoe UI"/>
            <family val="2"/>
          </rPr>
          <t>Isabella Gomes Lima Ferraz:</t>
        </r>
        <r>
          <rPr>
            <sz val="9"/>
            <color indexed="81"/>
            <rFont val="Segoe UI"/>
            <family val="2"/>
          </rPr>
          <t xml:space="preserve">
INDICADOR MENSAL</t>
        </r>
      </text>
    </comment>
    <comment ref="A23" authorId="0" shapeId="0" xr:uid="{4475D888-64D4-4A2F-B87A-57F5D712862A}">
      <text>
        <r>
          <rPr>
            <b/>
            <sz val="9"/>
            <color indexed="81"/>
            <rFont val="Segoe UI"/>
            <family val="2"/>
          </rPr>
          <t>Isabella Gomes Lima Ferraz:</t>
        </r>
        <r>
          <rPr>
            <sz val="9"/>
            <color indexed="81"/>
            <rFont val="Segoe UI"/>
            <family val="2"/>
          </rPr>
          <t xml:space="preserve">
INDICADOR MENSAL</t>
        </r>
      </text>
    </comment>
    <comment ref="A24" authorId="0" shapeId="0" xr:uid="{B1022A59-3521-455F-8FCD-97F73F0FAD77}">
      <text>
        <r>
          <rPr>
            <sz val="11"/>
            <color theme="1"/>
            <rFont val="Aptos Narrow"/>
            <family val="2"/>
            <scheme val="minor"/>
          </rPr>
          <t>Isabella Gomes Lima Ferraz:
INDICADOR MENSAL 
INDICADOR SEM META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Isabella Gomes Lima Ferraz</author>
  </authors>
  <commentList>
    <comment ref="A22" authorId="0" shapeId="0" xr:uid="{36B5064F-0B36-4073-9F0A-4269F00B603A}">
      <text>
        <r>
          <rPr>
            <b/>
            <sz val="9"/>
            <color indexed="81"/>
            <rFont val="Segoe UI"/>
            <family val="2"/>
          </rPr>
          <t>Isabella Gomes Lima Ferraz:</t>
        </r>
        <r>
          <rPr>
            <sz val="9"/>
            <color indexed="81"/>
            <rFont val="Segoe UI"/>
            <family val="2"/>
          </rPr>
          <t xml:space="preserve">
INDICADOR MENSAL</t>
        </r>
      </text>
    </comment>
    <comment ref="A23" authorId="0" shapeId="0" xr:uid="{7FF7DF1F-B439-47D4-A097-A2AE75A675B9}">
      <text>
        <r>
          <rPr>
            <b/>
            <sz val="9"/>
            <color indexed="81"/>
            <rFont val="Segoe UI"/>
            <family val="2"/>
          </rPr>
          <t>Isabella Gomes Lima Ferraz:</t>
        </r>
        <r>
          <rPr>
            <sz val="9"/>
            <color indexed="81"/>
            <rFont val="Segoe UI"/>
            <family val="2"/>
          </rPr>
          <t xml:space="preserve">
INDICADOR MENSAL</t>
        </r>
      </text>
    </comment>
    <comment ref="A24" authorId="0" shapeId="0" xr:uid="{22A57D71-9F9C-435B-921A-A41FA63EDFCC}">
      <text>
        <r>
          <rPr>
            <sz val="11"/>
            <color theme="1"/>
            <rFont val="Aptos Narrow"/>
            <family val="2"/>
            <scheme val="minor"/>
          </rPr>
          <t>Isabella Gomes Lima Ferraz:
INDICADOR MENSAL 
INDICADOR SEM META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Isabella Gomes Lima Ferraz</author>
  </authors>
  <commentList>
    <comment ref="A22" authorId="0" shapeId="0" xr:uid="{DAC27D36-85EA-40C4-B12E-99314B5DAFCB}">
      <text>
        <r>
          <rPr>
            <b/>
            <sz val="9"/>
            <color indexed="81"/>
            <rFont val="Segoe UI"/>
            <family val="2"/>
          </rPr>
          <t>Isabella Gomes Lima Ferraz:</t>
        </r>
        <r>
          <rPr>
            <sz val="9"/>
            <color indexed="81"/>
            <rFont val="Segoe UI"/>
            <family val="2"/>
          </rPr>
          <t xml:space="preserve">
INDICADOR MENSAL</t>
        </r>
      </text>
    </comment>
    <comment ref="A23" authorId="0" shapeId="0" xr:uid="{C98D8C38-8D00-4F49-B4F3-7C8EBC264AAB}">
      <text>
        <r>
          <rPr>
            <b/>
            <sz val="9"/>
            <color indexed="81"/>
            <rFont val="Segoe UI"/>
            <family val="2"/>
          </rPr>
          <t>Isabella Gomes Lima Ferraz:</t>
        </r>
        <r>
          <rPr>
            <sz val="9"/>
            <color indexed="81"/>
            <rFont val="Segoe UI"/>
            <family val="2"/>
          </rPr>
          <t xml:space="preserve">
INDICADOR MENSAL</t>
        </r>
      </text>
    </comment>
    <comment ref="A24" authorId="0" shapeId="0" xr:uid="{7AB52EEA-569B-4F80-BAB9-488CD9792EF3}">
      <text>
        <r>
          <rPr>
            <sz val="11"/>
            <color theme="1"/>
            <rFont val="Aptos Narrow"/>
            <family val="2"/>
            <scheme val="minor"/>
          </rPr>
          <t>Isabella Gomes Lima Ferraz:
INDICADOR MENSAL 
INDICADOR SEM META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Isabella Gomes Lima Ferraz</author>
  </authors>
  <commentList>
    <comment ref="A22" authorId="0" shapeId="0" xr:uid="{67FD130F-A2A2-4FFF-AFF6-EDB1AC63CFEB}">
      <text>
        <r>
          <rPr>
            <b/>
            <sz val="9"/>
            <color indexed="81"/>
            <rFont val="Segoe UI"/>
            <family val="2"/>
          </rPr>
          <t>Isabella Gomes Lima Ferraz:</t>
        </r>
        <r>
          <rPr>
            <sz val="9"/>
            <color indexed="81"/>
            <rFont val="Segoe UI"/>
            <family val="2"/>
          </rPr>
          <t xml:space="preserve">
INDICADOR MENSAL</t>
        </r>
      </text>
    </comment>
    <comment ref="A23" authorId="0" shapeId="0" xr:uid="{2E188492-C1FB-464E-99A4-4E11444D3492}">
      <text>
        <r>
          <rPr>
            <b/>
            <sz val="9"/>
            <color indexed="81"/>
            <rFont val="Segoe UI"/>
            <family val="2"/>
          </rPr>
          <t>Isabella Gomes Lima Ferraz:</t>
        </r>
        <r>
          <rPr>
            <sz val="9"/>
            <color indexed="81"/>
            <rFont val="Segoe UI"/>
            <family val="2"/>
          </rPr>
          <t xml:space="preserve">
INDICADOR MENSAL</t>
        </r>
      </text>
    </comment>
    <comment ref="A24" authorId="0" shapeId="0" xr:uid="{C15A6018-1966-4F90-8D50-9B135975315D}">
      <text>
        <r>
          <rPr>
            <sz val="11"/>
            <color theme="1"/>
            <rFont val="Aptos Narrow"/>
            <family val="2"/>
            <scheme val="minor"/>
          </rPr>
          <t>Isabella Gomes Lima Ferraz:
INDICADOR MENSAL 
INDICADOR SEM META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Isabella Gomes Lima Ferraz</author>
  </authors>
  <commentList>
    <comment ref="A22" authorId="0" shapeId="0" xr:uid="{F71FE267-EE33-4C5F-81AB-94944CFA2DAC}">
      <text>
        <r>
          <rPr>
            <b/>
            <sz val="9"/>
            <color indexed="81"/>
            <rFont val="Segoe UI"/>
            <family val="2"/>
          </rPr>
          <t>Isabella Gomes Lima Ferraz:</t>
        </r>
        <r>
          <rPr>
            <sz val="9"/>
            <color indexed="81"/>
            <rFont val="Segoe UI"/>
            <family val="2"/>
          </rPr>
          <t xml:space="preserve">
INDICADOR MENSAL</t>
        </r>
      </text>
    </comment>
    <comment ref="A23" authorId="0" shapeId="0" xr:uid="{F4E401E8-D911-4444-9FDE-79F40309E897}">
      <text>
        <r>
          <rPr>
            <b/>
            <sz val="9"/>
            <color indexed="81"/>
            <rFont val="Segoe UI"/>
            <family val="2"/>
          </rPr>
          <t>Isabella Gomes Lima Ferraz:</t>
        </r>
        <r>
          <rPr>
            <sz val="9"/>
            <color indexed="81"/>
            <rFont val="Segoe UI"/>
            <family val="2"/>
          </rPr>
          <t xml:space="preserve">
INDICADOR MENSAL</t>
        </r>
      </text>
    </comment>
    <comment ref="A24" authorId="0" shapeId="0" xr:uid="{4BEBB602-27E6-421C-9558-04713B57522D}">
      <text>
        <r>
          <rPr>
            <sz val="11"/>
            <color theme="1"/>
            <rFont val="Aptos Narrow"/>
            <family val="2"/>
            <scheme val="minor"/>
          </rPr>
          <t>Isabella Gomes Lima Ferraz:
INDICADOR MENSAL 
INDICADOR SEM META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Isabella Gomes Lima Ferraz</author>
  </authors>
  <commentList>
    <comment ref="A23" authorId="0" shapeId="0" xr:uid="{6FF11029-D94F-48F0-A53D-88EBDC0E05C1}">
      <text>
        <r>
          <rPr>
            <b/>
            <sz val="9"/>
            <color indexed="81"/>
            <rFont val="Segoe UI"/>
            <family val="2"/>
          </rPr>
          <t>Isabella Gomes Lima Ferraz:</t>
        </r>
        <r>
          <rPr>
            <sz val="9"/>
            <color indexed="81"/>
            <rFont val="Segoe UI"/>
            <family val="2"/>
          </rPr>
          <t xml:space="preserve">
INDICADOR MENSAL</t>
        </r>
      </text>
    </comment>
    <comment ref="A24" authorId="0" shapeId="0" xr:uid="{A3FBE698-938E-4120-B74F-CD10EE9379DC}">
      <text>
        <r>
          <rPr>
            <b/>
            <sz val="9"/>
            <color indexed="81"/>
            <rFont val="Segoe UI"/>
            <family val="2"/>
          </rPr>
          <t>Isabella Gomes Lima Ferraz:</t>
        </r>
        <r>
          <rPr>
            <sz val="9"/>
            <color indexed="81"/>
            <rFont val="Segoe UI"/>
            <family val="2"/>
          </rPr>
          <t xml:space="preserve">
INDICADOR MENSAL</t>
        </r>
      </text>
    </comment>
    <comment ref="A25" authorId="0" shapeId="0" xr:uid="{DAACB254-0125-4AD7-A34F-D37DCEAB0786}">
      <text>
        <r>
          <rPr>
            <sz val="11"/>
            <color theme="1"/>
            <rFont val="Aptos Narrow"/>
            <family val="2"/>
            <scheme val="minor"/>
          </rPr>
          <t>Isabella Gomes Lima Ferraz:
INDICADOR MENSAL 
INDICADOR SEM META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89CD99-2CA6-423B-BA9F-2A6E888D4FFC}" keepAlive="1" name="Consulta - Tabela4" description="Conexão com a consulta 'Tabela4' na pasta de trabalho." type="5" refreshedVersion="0" background="1">
    <dbPr connection="Provider=Microsoft.Mashup.OleDb.1;Data Source=$Workbook$;Location=Tabela4;Extended Properties=&quot;&quot;" command="SELECT * FROM [Tabela4]"/>
  </connection>
</connections>
</file>

<file path=xl/sharedStrings.xml><?xml version="1.0" encoding="utf-8"?>
<sst xmlns="http://schemas.openxmlformats.org/spreadsheetml/2006/main" count="629" uniqueCount="119">
  <si>
    <t>PAINEL UNIDADES</t>
  </si>
  <si>
    <t>ACOMPANHAMENTO ACUMULADO</t>
  </si>
  <si>
    <t>ACOMPANHAMENTO META MENSAL - 01/11/2024 a 30/11/2024</t>
  </si>
  <si>
    <t>LOJA 05</t>
  </si>
  <si>
    <t xml:space="preserve">1° SEMANA </t>
  </si>
  <si>
    <t>1° SEMANA</t>
  </si>
  <si>
    <t>1° SEMANA2</t>
  </si>
  <si>
    <t xml:space="preserve">2° SEMANA </t>
  </si>
  <si>
    <t>2° SEMANA</t>
  </si>
  <si>
    <t>2° SEMANA2</t>
  </si>
  <si>
    <t xml:space="preserve">3° SEMANA </t>
  </si>
  <si>
    <t>3° SEMANA</t>
  </si>
  <si>
    <t>3° SEMANA2</t>
  </si>
  <si>
    <t xml:space="preserve">4° SEMANA </t>
  </si>
  <si>
    <t>4° SEMANA</t>
  </si>
  <si>
    <t>4° SEMANA2</t>
  </si>
  <si>
    <t xml:space="preserve">5° SEMANA </t>
  </si>
  <si>
    <t>5° SEMANA</t>
  </si>
  <si>
    <t>5° SEMANA2</t>
  </si>
  <si>
    <t>ACUMULADO</t>
  </si>
  <si>
    <t>ACUMULADO2</t>
  </si>
  <si>
    <t>ACUMULADO3</t>
  </si>
  <si>
    <t>FINANCEIRO</t>
  </si>
  <si>
    <t>META</t>
  </si>
  <si>
    <t>REALIZADO ACUMULADO</t>
  </si>
  <si>
    <t>% DE CUMPRIMENTO</t>
  </si>
  <si>
    <t>ORÇADO</t>
  </si>
  <si>
    <t>REALIZADO</t>
  </si>
  <si>
    <t>%</t>
  </si>
  <si>
    <t>META MENSAL</t>
  </si>
  <si>
    <t>Alcance de Meta Receita PEF Loja</t>
  </si>
  <si>
    <t>VM MENSAL</t>
  </si>
  <si>
    <t>Venda Média</t>
  </si>
  <si>
    <t>BOLETOS MENSAL</t>
  </si>
  <si>
    <t xml:space="preserve">Itens por Boleto </t>
  </si>
  <si>
    <t>SERVIÇOS MENSAL</t>
  </si>
  <si>
    <t>Preço Médio</t>
  </si>
  <si>
    <t>Boletos</t>
  </si>
  <si>
    <t>Taxa de Conversão</t>
  </si>
  <si>
    <t>Penetração de Boletos Fidelidade</t>
  </si>
  <si>
    <t>Resgate Fidelidade</t>
  </si>
  <si>
    <t>Gestão Categorias Lojas (Skin)</t>
  </si>
  <si>
    <t>Penetração Boleto Promocional</t>
  </si>
  <si>
    <t xml:space="preserve">Penetração Boleto Turbinado </t>
  </si>
  <si>
    <t xml:space="preserve">ID do Cliente </t>
  </si>
  <si>
    <t>Separação no prazo C&amp;R</t>
  </si>
  <si>
    <t>Quantidade de Serviços por lojas</t>
  </si>
  <si>
    <t>Conversão Ação de Fluxo</t>
  </si>
  <si>
    <t>NPS (Loja + Omni)</t>
  </si>
  <si>
    <t>Loja Digital Ativo (BEXD)</t>
  </si>
  <si>
    <t>Treinamentos FV (UB)</t>
  </si>
  <si>
    <t>Programa de Logística Reversa</t>
  </si>
  <si>
    <t>Inventario Lojas</t>
  </si>
  <si>
    <t>Ruptura lojas</t>
  </si>
  <si>
    <t>LOJA 07</t>
  </si>
  <si>
    <t>Alcance de Meta Receita</t>
  </si>
  <si>
    <t>Itens por Boleto</t>
  </si>
  <si>
    <t xml:space="preserve">Penetração de Boletos Fidelidade </t>
  </si>
  <si>
    <t xml:space="preserve">Resgate Fidelidade </t>
  </si>
  <si>
    <t xml:space="preserve">Gestão Categorias Lojas (Skin) </t>
  </si>
  <si>
    <t xml:space="preserve">Penetração Boleto Promocional </t>
  </si>
  <si>
    <t xml:space="preserve">Separação no prazo C&amp;R </t>
  </si>
  <si>
    <t xml:space="preserve">Quantidade de Serviços por lojas </t>
  </si>
  <si>
    <t xml:space="preserve">Conversão Ação de Fluxo </t>
  </si>
  <si>
    <t xml:space="preserve">NPS (Loja + Omni) </t>
  </si>
  <si>
    <t xml:space="preserve">Loja Digital Ativo (BEXD) </t>
  </si>
  <si>
    <t xml:space="preserve">Treinamentos FV (UB) </t>
  </si>
  <si>
    <t xml:space="preserve">Programa de Logística Reversa </t>
  </si>
  <si>
    <t xml:space="preserve">Inventario Lojas </t>
  </si>
  <si>
    <t xml:space="preserve">Ruptura lojas </t>
  </si>
  <si>
    <t>LOJA 09</t>
  </si>
  <si>
    <t>LOJA 10</t>
  </si>
  <si>
    <t>LOJA 12</t>
  </si>
  <si>
    <t>LOJA 13</t>
  </si>
  <si>
    <t>LOJA 18</t>
  </si>
  <si>
    <t>LOJA QDB</t>
  </si>
  <si>
    <t>Loja Digital Receptivo (TME Ajustado)</t>
  </si>
  <si>
    <t>NOME INDICADOR</t>
  </si>
  <si>
    <t>LOJA 05 - DESEMPENHO</t>
  </si>
  <si>
    <t>LOJA 07 - DESEMPENHO</t>
  </si>
  <si>
    <t>LOJA 09 - DESEMPENHO</t>
  </si>
  <si>
    <t>LOJA 10 - DESEMPENHO</t>
  </si>
  <si>
    <t>LOJA 12 - DESEMPENHO</t>
  </si>
  <si>
    <t>LOJA 13 - DESEMPENHO</t>
  </si>
  <si>
    <t>LOJA 18 - DESEMPENHO</t>
  </si>
  <si>
    <t>QDB - DESEMPENHO</t>
  </si>
  <si>
    <t>LEGENDA</t>
  </si>
  <si>
    <t>MENOR QUE 80%</t>
  </si>
  <si>
    <t>80% A 99%</t>
  </si>
  <si>
    <t>100% A 119%</t>
  </si>
  <si>
    <t>120% OU +</t>
  </si>
  <si>
    <t>ALCANCE DE META RECEITA PEF LOJA</t>
  </si>
  <si>
    <t>VENDA MÉDIA</t>
  </si>
  <si>
    <t xml:space="preserve">ITENS POR BOLETO </t>
  </si>
  <si>
    <t>PREÇO MÉDIO</t>
  </si>
  <si>
    <t>BOLETOS</t>
  </si>
  <si>
    <t>TAXA DE CONVERSÃO</t>
  </si>
  <si>
    <t>PENETRAÇÃO DE BOLETOS FIDELIDADE</t>
  </si>
  <si>
    <t>RESGATE FIDELIDADE</t>
  </si>
  <si>
    <t>GESTÃO CATEGORIAS LOJAS (SKIN)</t>
  </si>
  <si>
    <t>PENETRAÇÃO BOLETO PROMOCIONAL</t>
  </si>
  <si>
    <t xml:space="preserve">PENETRAÇÃO BOLETO TURBINADO </t>
  </si>
  <si>
    <t xml:space="preserve">ID DO CLIENTE </t>
  </si>
  <si>
    <t>SEPARAÇÃO NO PRAZO C&amp;R</t>
  </si>
  <si>
    <t>QUANTIDADE DE SERVIÇOS POR LOJAS</t>
  </si>
  <si>
    <t>CONVERSÃO AÇÃO DE FLUXO</t>
  </si>
  <si>
    <t>NPS (LOJA + OMNI)</t>
  </si>
  <si>
    <t>LOJA DIGITAL ATIVO (BEXD)</t>
  </si>
  <si>
    <t>LOJA DIGITAL RECEPTIVO (TME AJUSTADO)</t>
  </si>
  <si>
    <t>-</t>
  </si>
  <si>
    <t>TREINAMENTOS FV (UB)</t>
  </si>
  <si>
    <t>PROGRAMA DE LOGÍSTICA REVERSA</t>
  </si>
  <si>
    <t>INVENTARIO LOJAS</t>
  </si>
  <si>
    <t>RUPTURA LOJAS</t>
  </si>
  <si>
    <t>01/12/2024 a 02/12/2028</t>
  </si>
  <si>
    <t>03/12/2024 a 09/12/2028</t>
  </si>
  <si>
    <t>10/12/2024 a 16/12/2028</t>
  </si>
  <si>
    <t>17/12/2024 a 23/12/2028</t>
  </si>
  <si>
    <t>24/12/2024 a 30/12/2028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</si>
</sst>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&quot;R$&quot;\ #,##0.00"/>
    <numFmt numFmtId="166" formatCode="[$-F400]h:mm:ss\ AM/PM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26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14">
    <xf numFmtId="0" fontId="0" fillId="0" borderId="0" xfId="0"/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8" fillId="3" borderId="2" xfId="2" applyNumberFormat="1" applyFont="1" applyFill="1" applyBorder="1" applyAlignment="1">
      <alignment horizontal="center" vertical="center"/>
    </xf>
    <xf numFmtId="10" fontId="8" fillId="2" borderId="2" xfId="2" applyNumberFormat="1" applyFont="1" applyFill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 wrapText="1"/>
    </xf>
    <xf numFmtId="10" fontId="2" fillId="2" borderId="2" xfId="2" applyNumberFormat="1" applyFont="1" applyFill="1" applyBorder="1" applyAlignment="1">
      <alignment horizontal="center" vertical="center"/>
    </xf>
    <xf numFmtId="44" fontId="2" fillId="0" borderId="2" xfId="1" applyFont="1" applyFill="1" applyBorder="1" applyAlignment="1">
      <alignment horizontal="center" vertical="center"/>
    </xf>
    <xf numFmtId="44" fontId="2" fillId="0" borderId="2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left" vertical="center" wrapText="1"/>
    </xf>
    <xf numFmtId="10" fontId="2" fillId="6" borderId="2" xfId="2" applyNumberFormat="1" applyFont="1" applyFill="1" applyBorder="1" applyAlignment="1">
      <alignment horizontal="center" vertical="center" wrapText="1"/>
    </xf>
    <xf numFmtId="44" fontId="2" fillId="6" borderId="2" xfId="1" applyFont="1" applyFill="1" applyBorder="1" applyAlignment="1">
      <alignment horizontal="center" vertical="center" wrapText="1"/>
    </xf>
    <xf numFmtId="10" fontId="2" fillId="6" borderId="2" xfId="0" applyNumberFormat="1" applyFont="1" applyFill="1" applyBorder="1" applyAlignment="1">
      <alignment horizontal="center" vertical="center" wrapText="1"/>
    </xf>
    <xf numFmtId="10" fontId="2" fillId="6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2" xfId="2" applyNumberFormat="1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164" fontId="2" fillId="6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/>
    </xf>
    <xf numFmtId="44" fontId="2" fillId="0" borderId="2" xfId="1" applyFont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0" fontId="2" fillId="2" borderId="2" xfId="2" applyNumberFormat="1" applyFont="1" applyFill="1" applyBorder="1" applyAlignment="1">
      <alignment horizontal="center" vertical="center"/>
    </xf>
    <xf numFmtId="43" fontId="2" fillId="0" borderId="2" xfId="4" applyFont="1" applyBorder="1" applyAlignment="1">
      <alignment horizontal="center" vertical="center" wrapText="1"/>
    </xf>
    <xf numFmtId="9" fontId="2" fillId="0" borderId="2" xfId="2" applyFont="1" applyBorder="1" applyAlignment="1">
      <alignment horizontal="center" vertical="center"/>
    </xf>
    <xf numFmtId="9" fontId="2" fillId="0" borderId="2" xfId="2" applyFont="1" applyBorder="1" applyAlignment="1">
      <alignment horizontal="center" vertical="center" wrapText="1"/>
    </xf>
    <xf numFmtId="9" fontId="2" fillId="6" borderId="2" xfId="2" applyFont="1" applyFill="1" applyBorder="1" applyAlignment="1">
      <alignment horizontal="center" vertical="center" wrapText="1"/>
    </xf>
    <xf numFmtId="44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2" xfId="1" applyNumberFormat="1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1" fontId="2" fillId="6" borderId="2" xfId="1" applyNumberFormat="1" applyFont="1" applyFill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164" fontId="2" fillId="6" borderId="2" xfId="0" applyNumberFormat="1" applyFont="1" applyFill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2" xfId="2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44" fontId="2" fillId="6" borderId="2" xfId="0" applyNumberFormat="1" applyFont="1" applyFill="1" applyBorder="1" applyAlignment="1">
      <alignment horizontal="center" vertical="center" wrapText="1"/>
    </xf>
    <xf numFmtId="44" fontId="2" fillId="3" borderId="0" xfId="0" applyNumberFormat="1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2" fontId="2" fillId="2" borderId="2" xfId="2" applyNumberFormat="1" applyFont="1" applyFill="1" applyBorder="1" applyAlignment="1">
      <alignment horizontal="center" vertical="center"/>
    </xf>
    <xf numFmtId="44" fontId="2" fillId="2" borderId="2" xfId="2" applyNumberFormat="1" applyFont="1" applyFill="1" applyBorder="1" applyAlignment="1">
      <alignment horizontal="center" vertical="center"/>
    </xf>
    <xf numFmtId="10" fontId="2" fillId="0" borderId="2" xfId="2" applyNumberFormat="1" applyFont="1" applyBorder="1" applyAlignment="1">
      <alignment horizontal="center" vertical="center" wrapText="1"/>
    </xf>
    <xf numFmtId="1" fontId="2" fillId="0" borderId="2" xfId="4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9" fontId="2" fillId="6" borderId="2" xfId="0" applyNumberFormat="1" applyFont="1" applyFill="1" applyBorder="1" applyAlignment="1">
      <alignment horizontal="center" vertical="center" wrapText="1"/>
    </xf>
    <xf numFmtId="44" fontId="2" fillId="0" borderId="2" xfId="1" applyFont="1" applyBorder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2" fillId="0" borderId="2" xfId="4" applyNumberFormat="1" applyFont="1" applyBorder="1" applyAlignment="1">
      <alignment horizontal="center" vertical="center" wrapText="1"/>
    </xf>
    <xf numFmtId="0" fontId="2" fillId="6" borderId="4" xfId="0" applyFont="1" applyFill="1" applyBorder="1" applyAlignment="1">
      <alignment horizontal="left" vertical="center"/>
    </xf>
    <xf numFmtId="166" fontId="2" fillId="6" borderId="2" xfId="0" applyNumberFormat="1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6" borderId="2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0" fontId="2" fillId="6" borderId="2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10" fontId="8" fillId="2" borderId="5" xfId="2" applyNumberFormat="1" applyFont="1" applyFill="1" applyBorder="1" applyAlignment="1">
      <alignment horizontal="center" vertical="center"/>
    </xf>
    <xf numFmtId="44" fontId="2" fillId="0" borderId="0" xfId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2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/>
    </xf>
    <xf numFmtId="2" fontId="2" fillId="0" borderId="2" xfId="4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7" borderId="4" xfId="0" applyFont="1" applyFill="1" applyBorder="1" applyAlignment="1">
      <alignment horizontal="center" vertical="center" wrapText="1"/>
    </xf>
    <xf numFmtId="164" fontId="2" fillId="2" borderId="2" xfId="2" applyNumberFormat="1" applyFont="1" applyFill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 wrapText="1"/>
    </xf>
    <xf numFmtId="164" fontId="2" fillId="0" borderId="2" xfId="2" applyNumberFormat="1" applyFont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</cellXfs>
  <cellStyles count="5">
    <cellStyle name="Hiperlink" xfId="3" builtinId="8"/>
    <cellStyle name="Moeda" xfId="1" builtinId="4"/>
    <cellStyle name="Normal" xfId="0" builtinId="0"/>
    <cellStyle name="Porcentagem" xfId="2" builtinId="5"/>
    <cellStyle name="Vírgula" xfId="4" builtinId="3"/>
  </cellStyles>
  <dxfs count="548">
    <dxf>
      <font>
        <b/>
        <i val="0"/>
      </font>
      <fill>
        <patternFill patternType="solid">
          <bgColor theme="0"/>
        </patternFill>
      </fill>
    </dxf>
    <dxf>
      <font>
        <b/>
        <i val="0"/>
        <color theme="1"/>
      </font>
      <fill>
        <patternFill patternType="solid">
          <bgColor theme="5" tint="0.39994506668294322"/>
        </patternFill>
      </fill>
    </dxf>
    <dxf>
      <font>
        <b/>
        <i val="0"/>
        <color theme="1"/>
      </font>
      <fill>
        <patternFill patternType="solid">
          <bgColor rgb="FFFFCC00"/>
        </patternFill>
      </fill>
    </dxf>
    <dxf>
      <font>
        <b/>
        <i val="0"/>
        <color theme="1"/>
      </font>
      <fill>
        <patternFill patternType="solid">
          <bgColor theme="9" tint="0.39994506668294322"/>
        </patternFill>
      </fill>
    </dxf>
    <dxf>
      <font>
        <b/>
        <i val="0"/>
        <color theme="1"/>
      </font>
      <fill>
        <patternFill patternType="solid">
          <bgColor theme="9" tint="0.39994506668294322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theme="5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2"/>
        <color theme="1"/>
        <family val="2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theme="1"/>
      </font>
      <fill>
        <patternFill patternType="none"/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theme="1"/>
        <family val="2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theme="1"/>
      </font>
      <fill>
        <patternFill patternType="none"/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theme="1"/>
        <family val="2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theme="1"/>
      </font>
      <fill>
        <patternFill patternType="none"/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theme="1"/>
        <family val="2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theme="1"/>
      </font>
      <fill>
        <patternFill patternType="none"/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theme="1"/>
        <family val="2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theme="1"/>
      </font>
      <fill>
        <patternFill patternType="none"/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theme="1"/>
        <family val="2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theme="1"/>
      </font>
      <fill>
        <patternFill patternType="none"/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theme="1"/>
        <family val="2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theme="1"/>
      </font>
      <fill>
        <patternFill patternType="none"/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theme="1"/>
        <family val="2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theme="1"/>
      </font>
      <fill>
        <patternFill patternType="none"/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theme="1"/>
        <family val="2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colors>
    <mruColors>
      <color rgb="FFFFCC00"/>
      <color rgb="FFEE2516"/>
      <color rgb="FFF3AC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LOJA 13 SHOP S'!A1"/><Relationship Id="rId2" Type="http://schemas.openxmlformats.org/officeDocument/2006/relationships/hyperlink" Target="#'LOJA 12 SHOP S'!A1"/><Relationship Id="rId1" Type="http://schemas.openxmlformats.org/officeDocument/2006/relationships/hyperlink" Target="#'LOJA 05 SHOP S'!A1"/><Relationship Id="rId6" Type="http://schemas.openxmlformats.org/officeDocument/2006/relationships/hyperlink" Target="#'PAINEL LOJA SHOPPING'!A1"/><Relationship Id="rId5" Type="http://schemas.openxmlformats.org/officeDocument/2006/relationships/hyperlink" Target="#'LOJA QDB SHOP S'!A1"/><Relationship Id="rId4" Type="http://schemas.openxmlformats.org/officeDocument/2006/relationships/hyperlink" Target="#'LOJA 18 SHOP S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PAINEL LOJAS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PAINEL LOJAS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PAINEL LOJAS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PAINEL LOJAS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PAINEL LOJAS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PAINEL LOJAS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PAINEL LOJAS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PAINEL LOJAS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PAINEL LOJA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7</xdr:row>
      <xdr:rowOff>114300</xdr:rowOff>
    </xdr:from>
    <xdr:to>
      <xdr:col>3</xdr:col>
      <xdr:colOff>581025</xdr:colOff>
      <xdr:row>10</xdr:row>
      <xdr:rowOff>114300</xdr:rowOff>
    </xdr:to>
    <xdr:sp macro="" textlink="">
      <xdr:nvSpPr>
        <xdr:cNvPr id="9" name="Retângulo com Canto Diagonal Arredondado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21F0BA-931B-4567-9FA1-A624578A2628}"/>
            </a:ext>
            <a:ext uri="{147F2762-F138-4A5C-976F-8EAC2B608ADB}">
              <a16:predDERef xmlns:a16="http://schemas.microsoft.com/office/drawing/2014/main" pred="{AFF66217-BA9C-49AE-A82B-F3013573B171}"/>
            </a:ext>
          </a:extLst>
        </xdr:cNvPr>
        <xdr:cNvSpPr/>
      </xdr:nvSpPr>
      <xdr:spPr>
        <a:xfrm>
          <a:off x="942975" y="1685925"/>
          <a:ext cx="1466850" cy="571500"/>
        </a:xfrm>
        <a:prstGeom prst="round2Diag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LOJA 05</a:t>
          </a:r>
        </a:p>
      </xdr:txBody>
    </xdr:sp>
    <xdr:clientData/>
  </xdr:twoCellAnchor>
  <xdr:twoCellAnchor>
    <xdr:from>
      <xdr:col>4</xdr:col>
      <xdr:colOff>-1</xdr:colOff>
      <xdr:row>8</xdr:row>
      <xdr:rowOff>4483</xdr:rowOff>
    </xdr:from>
    <xdr:to>
      <xdr:col>5</xdr:col>
      <xdr:colOff>579344</xdr:colOff>
      <xdr:row>11</xdr:row>
      <xdr:rowOff>4483</xdr:rowOff>
    </xdr:to>
    <xdr:sp macro="" textlink="">
      <xdr:nvSpPr>
        <xdr:cNvPr id="11" name="Retângulo com Canto Diagonal Arredondado 10">
          <a:extLst>
            <a:ext uri="{FF2B5EF4-FFF2-40B4-BE49-F238E27FC236}">
              <a16:creationId xmlns:a16="http://schemas.microsoft.com/office/drawing/2014/main" id="{4ECD2643-D7AA-47EE-8DA3-93E410D7B8BB}"/>
            </a:ext>
            <a:ext uri="{147F2762-F138-4A5C-976F-8EAC2B608ADB}">
              <a16:predDERef xmlns:a16="http://schemas.microsoft.com/office/drawing/2014/main" pred="{031265B7-833D-4DDC-B1FB-BAEED0F11C02}"/>
            </a:ext>
          </a:extLst>
        </xdr:cNvPr>
        <xdr:cNvSpPr/>
      </xdr:nvSpPr>
      <xdr:spPr>
        <a:xfrm>
          <a:off x="2877670" y="1698812"/>
          <a:ext cx="1502709" cy="537883"/>
        </a:xfrm>
        <a:prstGeom prst="round2Diag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LOJA 07</a:t>
          </a:r>
        </a:p>
      </xdr:txBody>
    </xdr:sp>
    <xdr:clientData/>
  </xdr:twoCellAnchor>
  <xdr:twoCellAnchor>
    <xdr:from>
      <xdr:col>5</xdr:col>
      <xdr:colOff>1057275</xdr:colOff>
      <xdr:row>7</xdr:row>
      <xdr:rowOff>168649</xdr:rowOff>
    </xdr:from>
    <xdr:to>
      <xdr:col>8</xdr:col>
      <xdr:colOff>229160</xdr:colOff>
      <xdr:row>10</xdr:row>
      <xdr:rowOff>168648</xdr:rowOff>
    </xdr:to>
    <xdr:sp macro="" textlink="">
      <xdr:nvSpPr>
        <xdr:cNvPr id="14" name="Retângulo com Canto Diagonal Arredondado 13">
          <a:extLst>
            <a:ext uri="{FF2B5EF4-FFF2-40B4-BE49-F238E27FC236}">
              <a16:creationId xmlns:a16="http://schemas.microsoft.com/office/drawing/2014/main" id="{B34DDDC3-759A-480C-9B20-0538B23625C2}"/>
            </a:ext>
            <a:ext uri="{147F2762-F138-4A5C-976F-8EAC2B608ADB}">
              <a16:predDERef xmlns:a16="http://schemas.microsoft.com/office/drawing/2014/main" pred="{CDA2722F-DB62-49A9-AB40-C1D8CB6E0FD5}"/>
            </a:ext>
          </a:extLst>
        </xdr:cNvPr>
        <xdr:cNvSpPr/>
      </xdr:nvSpPr>
      <xdr:spPr>
        <a:xfrm>
          <a:off x="4858310" y="1683684"/>
          <a:ext cx="1502709" cy="537882"/>
        </a:xfrm>
        <a:prstGeom prst="round2Diag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LOJA 09</a:t>
          </a:r>
        </a:p>
      </xdr:txBody>
    </xdr:sp>
    <xdr:clientData/>
  </xdr:twoCellAnchor>
  <xdr:twoCellAnchor>
    <xdr:from>
      <xdr:col>8</xdr:col>
      <xdr:colOff>465604</xdr:colOff>
      <xdr:row>7</xdr:row>
      <xdr:rowOff>135592</xdr:rowOff>
    </xdr:from>
    <xdr:to>
      <xdr:col>11</xdr:col>
      <xdr:colOff>524995</xdr:colOff>
      <xdr:row>10</xdr:row>
      <xdr:rowOff>135591</xdr:rowOff>
    </xdr:to>
    <xdr:sp macro="" textlink="">
      <xdr:nvSpPr>
        <xdr:cNvPr id="15" name="Retângulo com Canto Diagonal Arredondado 14">
          <a:extLst>
            <a:ext uri="{FF2B5EF4-FFF2-40B4-BE49-F238E27FC236}">
              <a16:creationId xmlns:a16="http://schemas.microsoft.com/office/drawing/2014/main" id="{7FC81FC6-FC5F-42F6-81B5-E441410B730D}"/>
            </a:ext>
            <a:ext uri="{147F2762-F138-4A5C-976F-8EAC2B608ADB}">
              <a16:predDERef xmlns:a16="http://schemas.microsoft.com/office/drawing/2014/main" pred="{B34DDDC3-759A-480C-9B20-0538B23625C2}"/>
            </a:ext>
          </a:extLst>
        </xdr:cNvPr>
        <xdr:cNvSpPr/>
      </xdr:nvSpPr>
      <xdr:spPr>
        <a:xfrm>
          <a:off x="6597463" y="1650627"/>
          <a:ext cx="2246779" cy="537882"/>
        </a:xfrm>
        <a:prstGeom prst="round2Diag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LOJA 10</a:t>
          </a:r>
        </a:p>
      </xdr:txBody>
    </xdr:sp>
    <xdr:clientData/>
  </xdr:twoCellAnchor>
  <xdr:twoCellAnchor>
    <xdr:from>
      <xdr:col>1</xdr:col>
      <xdr:colOff>360271</xdr:colOff>
      <xdr:row>13</xdr:row>
      <xdr:rowOff>89648</xdr:rowOff>
    </xdr:from>
    <xdr:to>
      <xdr:col>3</xdr:col>
      <xdr:colOff>607920</xdr:colOff>
      <xdr:row>16</xdr:row>
      <xdr:rowOff>89648</xdr:rowOff>
    </xdr:to>
    <xdr:sp macro="" textlink="">
      <xdr:nvSpPr>
        <xdr:cNvPr id="17" name="Retângulo com Canto Diagonal Arredondad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3BD4F72-0403-47C4-AF9C-EAB825840627}"/>
            </a:ext>
            <a:ext uri="{147F2762-F138-4A5C-976F-8EAC2B608ADB}">
              <a16:predDERef xmlns:a16="http://schemas.microsoft.com/office/drawing/2014/main" pred="{6B199450-34F9-4D3B-9CCE-E3CBC458576A}"/>
            </a:ext>
          </a:extLst>
        </xdr:cNvPr>
        <xdr:cNvSpPr/>
      </xdr:nvSpPr>
      <xdr:spPr>
        <a:xfrm>
          <a:off x="987800" y="2680448"/>
          <a:ext cx="1502708" cy="537882"/>
        </a:xfrm>
        <a:prstGeom prst="round2Diag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LOJA 12</a:t>
          </a:r>
        </a:p>
      </xdr:txBody>
    </xdr:sp>
    <xdr:clientData/>
  </xdr:twoCellAnchor>
  <xdr:twoCellAnchor>
    <xdr:from>
      <xdr:col>4</xdr:col>
      <xdr:colOff>151839</xdr:colOff>
      <xdr:row>12</xdr:row>
      <xdr:rowOff>164726</xdr:rowOff>
    </xdr:from>
    <xdr:to>
      <xdr:col>5</xdr:col>
      <xdr:colOff>731184</xdr:colOff>
      <xdr:row>15</xdr:row>
      <xdr:rowOff>164727</xdr:rowOff>
    </xdr:to>
    <xdr:sp macro="" textlink="">
      <xdr:nvSpPr>
        <xdr:cNvPr id="18" name="Retângulo com Canto Diagonal Arredondad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ADC6A7E-E394-44C2-AE0C-6C4EEB62153E}"/>
            </a:ext>
            <a:ext uri="{147F2762-F138-4A5C-976F-8EAC2B608ADB}">
              <a16:predDERef xmlns:a16="http://schemas.microsoft.com/office/drawing/2014/main" pred="{13BD4F72-0403-47C4-AF9C-EAB825840627}"/>
            </a:ext>
          </a:extLst>
        </xdr:cNvPr>
        <xdr:cNvSpPr/>
      </xdr:nvSpPr>
      <xdr:spPr>
        <a:xfrm>
          <a:off x="3029510" y="2576232"/>
          <a:ext cx="1502709" cy="537883"/>
        </a:xfrm>
        <a:prstGeom prst="round2Diag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LOJA 13</a:t>
          </a:r>
        </a:p>
      </xdr:txBody>
    </xdr:sp>
    <xdr:clientData/>
  </xdr:twoCellAnchor>
  <xdr:twoCellAnchor>
    <xdr:from>
      <xdr:col>6</xdr:col>
      <xdr:colOff>196663</xdr:colOff>
      <xdr:row>12</xdr:row>
      <xdr:rowOff>143996</xdr:rowOff>
    </xdr:from>
    <xdr:to>
      <xdr:col>9</xdr:col>
      <xdr:colOff>560854</xdr:colOff>
      <xdr:row>15</xdr:row>
      <xdr:rowOff>143996</xdr:rowOff>
    </xdr:to>
    <xdr:sp macro="" textlink="">
      <xdr:nvSpPr>
        <xdr:cNvPr id="23" name="Retângulo com Canto Diagonal Arredondado 2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B2B5E9-3291-43D6-B00E-E71B6FAF7151}"/>
            </a:ext>
            <a:ext uri="{147F2762-F138-4A5C-976F-8EAC2B608ADB}">
              <a16:predDERef xmlns:a16="http://schemas.microsoft.com/office/drawing/2014/main" pred="{41022AA8-8966-4AFC-8882-E1B2620B3A15}"/>
            </a:ext>
          </a:extLst>
        </xdr:cNvPr>
        <xdr:cNvSpPr/>
      </xdr:nvSpPr>
      <xdr:spPr>
        <a:xfrm>
          <a:off x="5073463" y="2555502"/>
          <a:ext cx="2246779" cy="537882"/>
        </a:xfrm>
        <a:prstGeom prst="round2Diag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LOJA 18</a:t>
          </a:r>
        </a:p>
      </xdr:txBody>
    </xdr:sp>
    <xdr:clientData/>
  </xdr:twoCellAnchor>
  <xdr:twoCellAnchor>
    <xdr:from>
      <xdr:col>9</xdr:col>
      <xdr:colOff>931770</xdr:colOff>
      <xdr:row>13</xdr:row>
      <xdr:rowOff>19610</xdr:rowOff>
    </xdr:from>
    <xdr:to>
      <xdr:col>13</xdr:col>
      <xdr:colOff>363631</xdr:colOff>
      <xdr:row>16</xdr:row>
      <xdr:rowOff>19611</xdr:rowOff>
    </xdr:to>
    <xdr:sp macro="" textlink="">
      <xdr:nvSpPr>
        <xdr:cNvPr id="26" name="Retângulo com Canto Diagonal Arredondado 2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C76EF7D-3A4A-46E4-B897-CF76C204B69B}"/>
            </a:ext>
            <a:ext uri="{147F2762-F138-4A5C-976F-8EAC2B608ADB}">
              <a16:predDERef xmlns:a16="http://schemas.microsoft.com/office/drawing/2014/main" pred="{F016F7B3-5DE6-47A9-966E-0A48F63DD46D}"/>
            </a:ext>
          </a:extLst>
        </xdr:cNvPr>
        <xdr:cNvSpPr/>
      </xdr:nvSpPr>
      <xdr:spPr>
        <a:xfrm>
          <a:off x="7691158" y="2610410"/>
          <a:ext cx="2246779" cy="537883"/>
        </a:xfrm>
        <a:prstGeom prst="round2Diag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LOJA QDB</a:t>
          </a:r>
        </a:p>
      </xdr:txBody>
    </xdr:sp>
    <xdr:clientData/>
  </xdr:twoCellAnchor>
  <xdr:twoCellAnchor>
    <xdr:from>
      <xdr:col>5</xdr:col>
      <xdr:colOff>1047750</xdr:colOff>
      <xdr:row>23</xdr:row>
      <xdr:rowOff>96931</xdr:rowOff>
    </xdr:from>
    <xdr:to>
      <xdr:col>8</xdr:col>
      <xdr:colOff>219635</xdr:colOff>
      <xdr:row>27</xdr:row>
      <xdr:rowOff>20730</xdr:rowOff>
    </xdr:to>
    <xdr:sp macro="" textlink="">
      <xdr:nvSpPr>
        <xdr:cNvPr id="32" name="Retângulo com Canto Diagonal Arredondado 2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13A7370-DCF3-487C-81DB-0E5A910D5917}"/>
            </a:ext>
            <a:ext uri="{147F2762-F138-4A5C-976F-8EAC2B608ADB}">
              <a16:predDERef xmlns:a16="http://schemas.microsoft.com/office/drawing/2014/main" pred="{1479F9C5-99D6-47C4-9BFA-DD30919A7481}"/>
            </a:ext>
          </a:extLst>
        </xdr:cNvPr>
        <xdr:cNvSpPr/>
      </xdr:nvSpPr>
      <xdr:spPr>
        <a:xfrm>
          <a:off x="4848785" y="4480672"/>
          <a:ext cx="1502709" cy="640976"/>
        </a:xfrm>
        <a:prstGeom prst="round2Diag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PAINEL</a:t>
          </a:r>
        </a:p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DESEMPENHO LOJA SHOPPING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38100</xdr:colOff>
      <xdr:row>1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363E03-34A6-4986-8929-E045F3699DA4}"/>
            </a:ext>
          </a:extLst>
        </xdr:cNvPr>
        <xdr:cNvSpPr/>
      </xdr:nvSpPr>
      <xdr:spPr>
        <a:xfrm>
          <a:off x="0" y="0"/>
          <a:ext cx="1295400" cy="190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1657</xdr:rowOff>
    </xdr:from>
    <xdr:to>
      <xdr:col>0</xdr:col>
      <xdr:colOff>1152525</xdr:colOff>
      <xdr:row>0</xdr:row>
      <xdr:rowOff>174349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8B6DF7-AC5C-A4B6-8EA9-B6E929AB14D7}"/>
            </a:ext>
          </a:extLst>
        </xdr:cNvPr>
        <xdr:cNvSpPr/>
      </xdr:nvSpPr>
      <xdr:spPr>
        <a:xfrm>
          <a:off x="19050" y="1657"/>
          <a:ext cx="1133475" cy="172692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1657</xdr:rowOff>
    </xdr:from>
    <xdr:to>
      <xdr:col>0</xdr:col>
      <xdr:colOff>1152525</xdr:colOff>
      <xdr:row>0</xdr:row>
      <xdr:rowOff>174349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AF9D31-26D8-439F-92CD-93FD14934C12}"/>
            </a:ext>
          </a:extLst>
        </xdr:cNvPr>
        <xdr:cNvSpPr/>
      </xdr:nvSpPr>
      <xdr:spPr>
        <a:xfrm>
          <a:off x="19050" y="1657"/>
          <a:ext cx="1133475" cy="172692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1657</xdr:rowOff>
    </xdr:from>
    <xdr:to>
      <xdr:col>0</xdr:col>
      <xdr:colOff>1152525</xdr:colOff>
      <xdr:row>0</xdr:row>
      <xdr:rowOff>174349</xdr:rowOff>
    </xdr:to>
    <xdr:sp macro="" textlink="">
      <xdr:nvSpPr>
        <xdr:cNvPr id="3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1EB3F-E825-4049-8C08-084F08966E4A}"/>
            </a:ext>
            <a:ext uri="{147F2762-F138-4A5C-976F-8EAC2B608ADB}">
              <a16:predDERef xmlns:a16="http://schemas.microsoft.com/office/drawing/2014/main" pred="{488A4FED-7549-4623-8C39-8EF0C12DADF9}"/>
            </a:ext>
          </a:extLst>
        </xdr:cNvPr>
        <xdr:cNvSpPr/>
      </xdr:nvSpPr>
      <xdr:spPr>
        <a:xfrm>
          <a:off x="19050" y="1657"/>
          <a:ext cx="1133475" cy="172692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0</xdr:col>
      <xdr:colOff>1190625</xdr:colOff>
      <xdr:row>0</xdr:row>
      <xdr:rowOff>171450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29C4BE-08B2-4955-A62D-49878F08087B}"/>
            </a:ext>
          </a:extLst>
        </xdr:cNvPr>
        <xdr:cNvSpPr/>
      </xdr:nvSpPr>
      <xdr:spPr>
        <a:xfrm>
          <a:off x="9525" y="0"/>
          <a:ext cx="1181100" cy="1714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0</xdr:col>
      <xdr:colOff>1190625</xdr:colOff>
      <xdr:row>0</xdr:row>
      <xdr:rowOff>161925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EA29C6-B6ED-499F-BFB2-2056E3FD3BFA}"/>
            </a:ext>
          </a:extLst>
        </xdr:cNvPr>
        <xdr:cNvSpPr/>
      </xdr:nvSpPr>
      <xdr:spPr>
        <a:xfrm>
          <a:off x="9525" y="0"/>
          <a:ext cx="1181100" cy="1619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MENU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0</xdr:col>
      <xdr:colOff>1190625</xdr:colOff>
      <xdr:row>0</xdr:row>
      <xdr:rowOff>180975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CAEBB2-36AD-4B7F-8E47-EF74A952ECA0}"/>
            </a:ext>
          </a:extLst>
        </xdr:cNvPr>
        <xdr:cNvSpPr/>
      </xdr:nvSpPr>
      <xdr:spPr>
        <a:xfrm>
          <a:off x="9525" y="0"/>
          <a:ext cx="1181100" cy="180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0</xdr:col>
      <xdr:colOff>1190625</xdr:colOff>
      <xdr:row>0</xdr:row>
      <xdr:rowOff>180975</xdr:rowOff>
    </xdr:to>
    <xdr:sp macro="" textlink="">
      <xdr:nvSpPr>
        <xdr:cNvPr id="3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8406D4-3B6E-446D-8482-ACBD33FAAE8D}"/>
            </a:ext>
            <a:ext uri="{147F2762-F138-4A5C-976F-8EAC2B608ADB}">
              <a16:predDERef xmlns:a16="http://schemas.microsoft.com/office/drawing/2014/main" pred="{503E5189-E3C9-43FF-B9A0-E60FA6B5A904}"/>
            </a:ext>
          </a:extLst>
        </xdr:cNvPr>
        <xdr:cNvSpPr/>
      </xdr:nvSpPr>
      <xdr:spPr>
        <a:xfrm>
          <a:off x="9525" y="0"/>
          <a:ext cx="1181100" cy="180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0</xdr:col>
      <xdr:colOff>1190625</xdr:colOff>
      <xdr:row>0</xdr:row>
      <xdr:rowOff>171450</xdr:rowOff>
    </xdr:to>
    <xdr:sp macro="" textlink="">
      <xdr:nvSpPr>
        <xdr:cNvPr id="3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E7DEA0-7854-48E6-A579-EA0CC82692FD}"/>
            </a:ext>
            <a:ext uri="{147F2762-F138-4A5C-976F-8EAC2B608ADB}">
              <a16:predDERef xmlns:a16="http://schemas.microsoft.com/office/drawing/2014/main" pred="{229AB794-4C31-40A2-8551-AEB6FFBF3A3F}"/>
            </a:ext>
          </a:extLst>
        </xdr:cNvPr>
        <xdr:cNvSpPr/>
      </xdr:nvSpPr>
      <xdr:spPr>
        <a:xfrm>
          <a:off x="9525" y="0"/>
          <a:ext cx="1181100" cy="1714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MENU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oticariocuiaba.sharepoint.com/sites/grupomatoscba/ADM/CCH/FUNCIONARIOS/SUELEN%20APARECIDA/DADOS%20E%20PERFORMANCE/PLANILHAS%20DE%20ACOMPANHAMENTO%20SEMANAL/11%20-%20NOVEMBRO/INDICADORES%20GERAL.xlsx" TargetMode="External"/><Relationship Id="rId1" Type="http://schemas.openxmlformats.org/officeDocument/2006/relationships/externalLinkPath" Target="https://boticariocuiaba.sharepoint.com/sites/grupomatoscba/ADM/CCH/FUNCIONARIOS/SUELEN%20APARECIDA/DADOS%20E%20PERFORMANCE/PLANILHAS%20DE%20ACOMPANHAMENTO%20SEMANAL/11%20-%20NOVEMBRO/INDICADORES%20G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h0-nJ-SNK0m4ybLIEWTdw1SckP9qCqlIvKmcHgxXEqL2S4pMMl9jRYqZlrEPoqoa" itemId="01367O6OC2VSG4BKZS4FD3VRJSNP4VV367">
      <xxl21:absoluteUrl r:id="rId2"/>
    </xxl21:alternateUrls>
    <sheetNames>
      <sheetName val="PAINEL INDICADORES"/>
      <sheetName val="RECEITA"/>
      <sheetName val="VENDA MÉDIA"/>
      <sheetName val="ITENS POR BOLETO"/>
      <sheetName val="PREÇO MÉDIO"/>
      <sheetName val="BOLETOS"/>
      <sheetName val="ITENS"/>
      <sheetName val="TAXA DE CONVERSÃO"/>
      <sheetName val="PENETRAÇÃO D BOLETOS FIDELIDADE"/>
      <sheetName val="RESGATE FIDELIDADE"/>
      <sheetName val="GESTÃO CATEGORIAS LOJAS (SKIN)"/>
      <sheetName val="PENETRAÇÃO BP"/>
      <sheetName val="PENETRAÇÃO BT"/>
      <sheetName val="ID DO CLIENTE"/>
      <sheetName val="SEPARAÇÃO NO PRAZO C&amp;R"/>
      <sheetName val="Q° DE SERVIÇOS"/>
      <sheetName val="CONVERSÃO AÇÃO DE FLUXO"/>
      <sheetName val="NPS"/>
      <sheetName val="LOJA DIGITAL ATIVO (BEXD)"/>
      <sheetName val="TREINAMENTOS FV (UB)"/>
      <sheetName val="PROGRAMA DE LOGÍSTICA REVERSA"/>
      <sheetName val="INVENTARIO LOJAS"/>
      <sheetName val="RUPTURA LOJAS"/>
    </sheetNames>
    <sheetDataSet>
      <sheetData sheetId="0"/>
      <sheetData sheetId="1">
        <row r="6">
          <cell r="B6">
            <v>25360.5</v>
          </cell>
        </row>
        <row r="10">
          <cell r="B10">
            <v>18200.437687296922</v>
          </cell>
          <cell r="D10">
            <v>9618.4500000000007</v>
          </cell>
          <cell r="H10">
            <v>45609.962395825431</v>
          </cell>
          <cell r="J10">
            <v>55369.5</v>
          </cell>
          <cell r="N10">
            <v>44906.706896841242</v>
          </cell>
          <cell r="P10">
            <v>48614.28</v>
          </cell>
          <cell r="T10">
            <v>62405.119735157714</v>
          </cell>
          <cell r="V10">
            <v>44240.03</v>
          </cell>
          <cell r="Z10">
            <v>63350.813284878721</v>
          </cell>
          <cell r="AB10">
            <v>60958.69</v>
          </cell>
          <cell r="AF10">
            <v>234473.04</v>
          </cell>
        </row>
        <row r="12">
          <cell r="B12">
            <v>27372.092721831839</v>
          </cell>
          <cell r="D12">
            <v>14818.59</v>
          </cell>
          <cell r="H12">
            <v>86088.448645482844</v>
          </cell>
          <cell r="J12">
            <v>88579.56</v>
          </cell>
          <cell r="N12">
            <v>87818.64087097744</v>
          </cell>
          <cell r="P12">
            <v>78788.899999999994</v>
          </cell>
          <cell r="T12">
            <v>89094.268726348193</v>
          </cell>
          <cell r="V12">
            <v>70821.36</v>
          </cell>
          <cell r="Z12">
            <v>85637.239035359657</v>
          </cell>
          <cell r="AB12">
            <v>86005.98</v>
          </cell>
          <cell r="AF12">
            <v>376010.68999999994</v>
          </cell>
        </row>
        <row r="14">
          <cell r="B14">
            <v>71755.035424878413</v>
          </cell>
          <cell r="D14">
            <v>22516.75</v>
          </cell>
          <cell r="H14">
            <v>146374.82494278901</v>
          </cell>
          <cell r="J14">
            <v>168284.23</v>
          </cell>
          <cell r="N14">
            <v>178139.01950199166</v>
          </cell>
          <cell r="P14">
            <v>153262.47</v>
          </cell>
          <cell r="T14">
            <v>209587.93600109877</v>
          </cell>
          <cell r="V14">
            <v>150816.39000000001</v>
          </cell>
          <cell r="Z14">
            <v>165216.32412924228</v>
          </cell>
          <cell r="AB14">
            <v>184509.03</v>
          </cell>
          <cell r="AF14">
            <v>771073.14000000013</v>
          </cell>
        </row>
        <row r="15">
          <cell r="B15">
            <v>20483.114772158398</v>
          </cell>
          <cell r="D15">
            <v>7090.61</v>
          </cell>
          <cell r="H15">
            <v>59384.475930072935</v>
          </cell>
          <cell r="J15">
            <v>70096.28</v>
          </cell>
          <cell r="N15">
            <v>61593.56520930893</v>
          </cell>
          <cell r="P15">
            <v>58236.959999999999</v>
          </cell>
          <cell r="T15">
            <v>62930.33726758902</v>
          </cell>
          <cell r="V15">
            <v>53022.32</v>
          </cell>
          <cell r="Z15">
            <v>58445.516820870704</v>
          </cell>
          <cell r="AB15">
            <v>66113.100000000006</v>
          </cell>
          <cell r="AF15">
            <v>262837.00999999995</v>
          </cell>
        </row>
        <row r="17">
          <cell r="B17">
            <v>69324.972782204452</v>
          </cell>
          <cell r="D17">
            <v>27961.58</v>
          </cell>
          <cell r="H17">
            <v>168054.66080029085</v>
          </cell>
          <cell r="J17">
            <v>220403.62</v>
          </cell>
          <cell r="N17">
            <v>182346.18534177018</v>
          </cell>
          <cell r="P17">
            <v>201690.12</v>
          </cell>
          <cell r="T17">
            <v>204377.45626551344</v>
          </cell>
          <cell r="V17">
            <v>183722.34</v>
          </cell>
          <cell r="Z17">
            <v>184448.3148102212</v>
          </cell>
          <cell r="AB17">
            <v>260895.67</v>
          </cell>
          <cell r="AF17">
            <v>808551.59000000008</v>
          </cell>
        </row>
        <row r="18">
          <cell r="B18">
            <v>40008.848588089117</v>
          </cell>
          <cell r="D18">
            <v>32634.28</v>
          </cell>
          <cell r="H18">
            <v>125030.26068974889</v>
          </cell>
          <cell r="J18">
            <v>133888.92000000001</v>
          </cell>
          <cell r="N18">
            <v>131120.14820227932</v>
          </cell>
          <cell r="P18">
            <v>122619.5</v>
          </cell>
          <cell r="T18">
            <v>116279.04944982876</v>
          </cell>
          <cell r="V18">
            <v>120308.71</v>
          </cell>
          <cell r="Z18">
            <v>112925.81307005389</v>
          </cell>
          <cell r="AB18">
            <v>136623.74</v>
          </cell>
          <cell r="AF18">
            <v>525364.12</v>
          </cell>
        </row>
        <row r="23">
          <cell r="B23">
            <v>21294.008393360324</v>
          </cell>
          <cell r="D23">
            <v>8614.9599999999991</v>
          </cell>
          <cell r="H23">
            <v>58492.784343809166</v>
          </cell>
          <cell r="J23">
            <v>69968.429999999993</v>
          </cell>
          <cell r="N23">
            <v>62845.37444094348</v>
          </cell>
          <cell r="P23">
            <v>57806.720000000001</v>
          </cell>
          <cell r="T23">
            <v>66689.360781002673</v>
          </cell>
          <cell r="V23">
            <v>47165.53</v>
          </cell>
          <cell r="Z23">
            <v>61578.862040884407</v>
          </cell>
          <cell r="AB23">
            <v>72634.42</v>
          </cell>
          <cell r="AF23">
            <v>270900.39</v>
          </cell>
        </row>
        <row r="27">
          <cell r="B27">
            <v>15023.688172010245</v>
          </cell>
          <cell r="D27">
            <v>6724.13</v>
          </cell>
          <cell r="H27">
            <v>36408.046678940547</v>
          </cell>
          <cell r="J27">
            <v>32115.05</v>
          </cell>
          <cell r="N27">
            <v>41882.056081831499</v>
          </cell>
          <cell r="P27">
            <v>35723.879999999997</v>
          </cell>
          <cell r="T27">
            <v>46357.616858745547</v>
          </cell>
          <cell r="V27">
            <v>31925.7</v>
          </cell>
          <cell r="Z27">
            <v>40814.512208472152</v>
          </cell>
          <cell r="AB27">
            <v>33698.65</v>
          </cell>
          <cell r="AF27">
            <v>180485.91999999998</v>
          </cell>
        </row>
      </sheetData>
      <sheetData sheetId="2">
        <row r="6">
          <cell r="D6">
            <v>163.80236363636362</v>
          </cell>
        </row>
        <row r="10">
          <cell r="D10">
            <v>160.3075</v>
          </cell>
          <cell r="I10">
            <v>165.2820895522388</v>
          </cell>
          <cell r="N10">
            <v>156.82025806451614</v>
          </cell>
          <cell r="S10">
            <v>149.45956081081081</v>
          </cell>
          <cell r="X10">
            <v>165.64861413043479</v>
          </cell>
        </row>
        <row r="12">
          <cell r="D12">
            <v>192.44922077922078</v>
          </cell>
          <cell r="I12">
            <v>178.94860606060607</v>
          </cell>
          <cell r="N12">
            <v>177.05370786516852</v>
          </cell>
          <cell r="S12">
            <v>169.42909090909092</v>
          </cell>
          <cell r="X12">
            <v>167.98042968749999</v>
          </cell>
        </row>
        <row r="14">
          <cell r="D14">
            <v>169.29887218045113</v>
          </cell>
          <cell r="I14">
            <v>164.34006835937501</v>
          </cell>
          <cell r="N14">
            <v>161.66927215189872</v>
          </cell>
          <cell r="S14">
            <v>174.75827346465817</v>
          </cell>
          <cell r="X14">
            <v>172.76126404494383</v>
          </cell>
        </row>
        <row r="15">
          <cell r="D15">
            <v>116.2395081967213</v>
          </cell>
          <cell r="I15">
            <v>148.50906779661017</v>
          </cell>
          <cell r="N15">
            <v>158.68381471389645</v>
          </cell>
          <cell r="S15">
            <v>155.94800000000001</v>
          </cell>
          <cell r="X15">
            <v>156.29574468085107</v>
          </cell>
        </row>
        <row r="17">
          <cell r="D17">
            <v>157.08752808988766</v>
          </cell>
          <cell r="I17">
            <v>168.50429663608563</v>
          </cell>
          <cell r="N17">
            <v>165.59123152709358</v>
          </cell>
          <cell r="S17">
            <v>169.01779208831647</v>
          </cell>
          <cell r="X17">
            <v>169.96460586319219</v>
          </cell>
        </row>
        <row r="18">
          <cell r="D18">
            <v>182.31441340782123</v>
          </cell>
          <cell r="I18">
            <v>166.73589041095892</v>
          </cell>
          <cell r="N18">
            <v>176.43093525179856</v>
          </cell>
          <cell r="S18">
            <v>175.37712827988338</v>
          </cell>
          <cell r="X18">
            <v>171.42250941028857</v>
          </cell>
        </row>
        <row r="23">
          <cell r="D23">
            <v>151.13964912280701</v>
          </cell>
          <cell r="I23">
            <v>153.77676923076922</v>
          </cell>
          <cell r="N23">
            <v>151.32649214659685</v>
          </cell>
          <cell r="S23">
            <v>142.49404833836857</v>
          </cell>
          <cell r="X23">
            <v>154.54131914893617</v>
          </cell>
        </row>
        <row r="27">
          <cell r="D27">
            <v>105.06453125</v>
          </cell>
          <cell r="I27">
            <v>104.26964285714286</v>
          </cell>
          <cell r="N27">
            <v>123.61204152249134</v>
          </cell>
          <cell r="S27">
            <v>99.767812500000005</v>
          </cell>
          <cell r="X27">
            <v>93.868105849582179</v>
          </cell>
        </row>
      </sheetData>
      <sheetData sheetId="3">
        <row r="5">
          <cell r="A5">
            <v>2.72</v>
          </cell>
        </row>
        <row r="9">
          <cell r="A9">
            <v>3.01</v>
          </cell>
          <cell r="D9">
            <v>2.8333333333333335</v>
          </cell>
          <cell r="I9">
            <v>3.1432835820895524</v>
          </cell>
          <cell r="N9">
            <v>2.9774193548387098</v>
          </cell>
          <cell r="S9">
            <v>3.2060810810810811</v>
          </cell>
          <cell r="X9">
            <v>3.4701086956521738</v>
          </cell>
          <cell r="AC9">
            <v>3.1935719503287072</v>
          </cell>
        </row>
        <row r="11">
          <cell r="A11">
            <v>2.91</v>
          </cell>
          <cell r="D11">
            <v>3.0129870129870131</v>
          </cell>
          <cell r="I11">
            <v>3.0707070707070705</v>
          </cell>
          <cell r="N11">
            <v>2.9505617977528091</v>
          </cell>
          <cell r="S11">
            <v>3.0933014354066986</v>
          </cell>
          <cell r="X11">
            <v>2.810546875</v>
          </cell>
          <cell r="AC11">
            <v>2.977401129943503</v>
          </cell>
        </row>
        <row r="13">
          <cell r="A13">
            <v>3.39</v>
          </cell>
          <cell r="D13">
            <v>2.7218045112781954</v>
          </cell>
          <cell r="I13">
            <v>2.7587890625</v>
          </cell>
          <cell r="N13">
            <v>2.602320675105485</v>
          </cell>
          <cell r="S13">
            <v>2.9409038238702201</v>
          </cell>
          <cell r="X13">
            <v>2.7397003745318353</v>
          </cell>
          <cell r="AC13">
            <v>2.7547076313181367</v>
          </cell>
        </row>
        <row r="14">
          <cell r="A14">
            <v>2.77</v>
          </cell>
          <cell r="D14">
            <v>2.3934426229508197</v>
          </cell>
          <cell r="I14">
            <v>2.6334745762711864</v>
          </cell>
          <cell r="N14">
            <v>2.8228882833787465</v>
          </cell>
          <cell r="S14">
            <v>2.9352941176470586</v>
          </cell>
          <cell r="X14">
            <v>2.7825059101654848</v>
          </cell>
          <cell r="AC14">
            <v>2.7660853878532774</v>
          </cell>
        </row>
        <row r="16">
          <cell r="A16">
            <v>2.76</v>
          </cell>
          <cell r="D16">
            <v>2.7471910112359552</v>
          </cell>
          <cell r="I16">
            <v>2.8310397553516822</v>
          </cell>
          <cell r="N16">
            <v>2.7192118226600983</v>
          </cell>
          <cell r="S16">
            <v>2.7065317387304506</v>
          </cell>
          <cell r="X16">
            <v>2.6592833876221498</v>
          </cell>
          <cell r="AC16">
            <v>2.7277506571535861</v>
          </cell>
        </row>
        <row r="17">
          <cell r="A17">
            <v>3.11</v>
          </cell>
          <cell r="D17">
            <v>2.7932960893854748</v>
          </cell>
          <cell r="I17">
            <v>2.9265255292652554</v>
          </cell>
          <cell r="N17">
            <v>3.0172661870503599</v>
          </cell>
          <cell r="S17">
            <v>3.0029154518950438</v>
          </cell>
          <cell r="X17">
            <v>2.8030112923462984</v>
          </cell>
          <cell r="AC17">
            <v>2.9243670886075948</v>
          </cell>
        </row>
        <row r="22">
          <cell r="A22">
            <v>2.25</v>
          </cell>
          <cell r="D22">
            <v>2.3157894736842106</v>
          </cell>
          <cell r="I22">
            <v>2.7252747252747254</v>
          </cell>
          <cell r="N22">
            <v>2.8455497382198951</v>
          </cell>
          <cell r="S22">
            <v>2.7794561933534743</v>
          </cell>
          <cell r="X22">
            <v>2.8170212765957445</v>
          </cell>
          <cell r="AC22">
            <v>2.7746312684365781</v>
          </cell>
        </row>
        <row r="26">
          <cell r="A26">
            <v>2.85</v>
          </cell>
          <cell r="D26">
            <v>2.34375</v>
          </cell>
          <cell r="I26">
            <v>2.4123376623376624</v>
          </cell>
          <cell r="N26">
            <v>2.9031141868512109</v>
          </cell>
          <cell r="S26">
            <v>2.6812499999999999</v>
          </cell>
          <cell r="X26">
            <v>2.7103064066852367</v>
          </cell>
          <cell r="AC26">
            <v>2.6589552238805969</v>
          </cell>
        </row>
      </sheetData>
      <sheetData sheetId="4">
        <row r="5">
          <cell r="A5">
            <v>51.934558823529407</v>
          </cell>
        </row>
        <row r="9">
          <cell r="A9">
            <v>48.268438538205999</v>
          </cell>
          <cell r="D9">
            <v>56.57911764705883</v>
          </cell>
          <cell r="I9">
            <v>52.582621082621081</v>
          </cell>
          <cell r="N9">
            <v>52.669859154929576</v>
          </cell>
          <cell r="S9">
            <v>46.617523709167543</v>
          </cell>
          <cell r="X9">
            <v>47.735857478465157</v>
          </cell>
          <cell r="AC9">
            <v>50.045962946020133</v>
          </cell>
        </row>
        <row r="11">
          <cell r="A11">
            <v>56.876804123711338</v>
          </cell>
          <cell r="D11">
            <v>63.873232758620688</v>
          </cell>
          <cell r="I11">
            <v>58.276026315789473</v>
          </cell>
          <cell r="N11">
            <v>60.006778370144701</v>
          </cell>
          <cell r="S11">
            <v>54.772900232018564</v>
          </cell>
          <cell r="X11">
            <v>59.767880472550381</v>
          </cell>
          <cell r="AC11">
            <v>58.481005692599624</v>
          </cell>
        </row>
        <row r="13">
          <cell r="A13">
            <v>53.500442477876099</v>
          </cell>
          <cell r="D13">
            <v>62.200966850828728</v>
          </cell>
          <cell r="I13">
            <v>59.569638938053103</v>
          </cell>
          <cell r="N13">
            <v>62.125038508309686</v>
          </cell>
          <cell r="S13">
            <v>59.423321513002371</v>
          </cell>
          <cell r="X13">
            <v>63.058451811346551</v>
          </cell>
          <cell r="AC13">
            <v>61.107111890627813</v>
          </cell>
        </row>
        <row r="14">
          <cell r="A14">
            <v>51.60162454873646</v>
          </cell>
          <cell r="D14">
            <v>48.565821917808215</v>
          </cell>
          <cell r="I14">
            <v>56.392823813354788</v>
          </cell>
          <cell r="N14">
            <v>56.213281853281849</v>
          </cell>
          <cell r="S14">
            <v>53.128577154308616</v>
          </cell>
          <cell r="X14">
            <v>56.170858113848773</v>
          </cell>
          <cell r="AC14">
            <v>55.338971739130436</v>
          </cell>
        </row>
        <row r="16">
          <cell r="A16">
            <v>60.458695652173915</v>
          </cell>
          <cell r="D16">
            <v>57.181145194274031</v>
          </cell>
          <cell r="I16">
            <v>59.520286254388331</v>
          </cell>
          <cell r="N16">
            <v>60.896775362318841</v>
          </cell>
          <cell r="S16">
            <v>62.44811012916383</v>
          </cell>
          <cell r="X16">
            <v>63.913686918177369</v>
          </cell>
          <cell r="AC16">
            <v>61.582690666299555</v>
          </cell>
        </row>
        <row r="17">
          <cell r="A17">
            <v>53.323794212218658</v>
          </cell>
          <cell r="D17">
            <v>65.268559999999994</v>
          </cell>
          <cell r="I17">
            <v>56.974008510638306</v>
          </cell>
          <cell r="N17">
            <v>58.47377205531712</v>
          </cell>
          <cell r="S17">
            <v>58.402286407766994</v>
          </cell>
          <cell r="X17">
            <v>61.156553267681282</v>
          </cell>
          <cell r="AC17">
            <v>59.092646899686187</v>
          </cell>
        </row>
        <row r="22">
          <cell r="A22">
            <v>56.667333333333325</v>
          </cell>
          <cell r="D22">
            <v>65.264848484848471</v>
          </cell>
          <cell r="I22">
            <v>56.426153225806445</v>
          </cell>
          <cell r="N22">
            <v>53.180055197792086</v>
          </cell>
          <cell r="S22">
            <v>51.266880434782607</v>
          </cell>
          <cell r="X22">
            <v>54.859833836858002</v>
          </cell>
          <cell r="AC22">
            <v>54.473752923665735</v>
          </cell>
        </row>
        <row r="26">
          <cell r="A26">
            <v>32.332631578947371</v>
          </cell>
          <cell r="D26">
            <v>44.827533333333335</v>
          </cell>
          <cell r="I26">
            <v>43.223485868102287</v>
          </cell>
          <cell r="N26">
            <v>42.579117997616208</v>
          </cell>
          <cell r="S26">
            <v>37.209440559440559</v>
          </cell>
          <cell r="X26">
            <v>34.633761562178833</v>
          </cell>
          <cell r="AC26">
            <v>39.345329778276735</v>
          </cell>
        </row>
      </sheetData>
      <sheetData sheetId="5">
        <row r="5">
          <cell r="C5">
            <v>156.66101694915255</v>
          </cell>
        </row>
        <row r="9">
          <cell r="C9">
            <v>110.09403973509933</v>
          </cell>
          <cell r="D9">
            <v>60</v>
          </cell>
          <cell r="H9">
            <v>418.99867549668875</v>
          </cell>
          <cell r="I9">
            <v>335</v>
          </cell>
          <cell r="M9">
            <v>402.96556291390726</v>
          </cell>
          <cell r="N9">
            <v>310</v>
          </cell>
          <cell r="R9">
            <v>339.90198675496686</v>
          </cell>
          <cell r="S9">
            <v>296</v>
          </cell>
          <cell r="W9">
            <v>342.03973509933775</v>
          </cell>
          <cell r="X9">
            <v>368</v>
          </cell>
          <cell r="AB9">
            <v>1614</v>
          </cell>
        </row>
        <row r="11">
          <cell r="C11">
            <v>169.05402843601894</v>
          </cell>
          <cell r="D11">
            <v>77</v>
          </cell>
          <cell r="H11">
            <v>528.69763033175343</v>
          </cell>
          <cell r="I11">
            <v>495</v>
          </cell>
          <cell r="M11">
            <v>567.46161137440743</v>
          </cell>
          <cell r="N11">
            <v>445</v>
          </cell>
          <cell r="R11">
            <v>529.77440758293824</v>
          </cell>
          <cell r="S11">
            <v>418</v>
          </cell>
          <cell r="W11">
            <v>477.0123222748814</v>
          </cell>
          <cell r="X11">
            <v>512</v>
          </cell>
          <cell r="AB11">
            <v>2271.9999999999995</v>
          </cell>
        </row>
        <row r="13">
          <cell r="C13">
            <v>374.17332218273054</v>
          </cell>
          <cell r="D13">
            <v>133</v>
          </cell>
          <cell r="H13">
            <v>943.87664645619907</v>
          </cell>
          <cell r="I13">
            <v>1024</v>
          </cell>
          <cell r="M13">
            <v>1026.5325109763749</v>
          </cell>
          <cell r="N13">
            <v>948</v>
          </cell>
          <cell r="R13">
            <v>1044.3079657118965</v>
          </cell>
          <cell r="S13">
            <v>863</v>
          </cell>
          <cell r="W13">
            <v>862.1095546727995</v>
          </cell>
          <cell r="X13">
            <v>1068</v>
          </cell>
          <cell r="AB13">
            <v>4251</v>
          </cell>
        </row>
        <row r="14">
          <cell r="C14">
            <v>129.12570781426953</v>
          </cell>
          <cell r="D14">
            <v>61</v>
          </cell>
          <cell r="H14">
            <v>458.18799546998866</v>
          </cell>
          <cell r="I14">
            <v>472</v>
          </cell>
          <cell r="M14">
            <v>471.72536806342015</v>
          </cell>
          <cell r="N14">
            <v>367</v>
          </cell>
          <cell r="R14">
            <v>398.83182332955829</v>
          </cell>
          <cell r="S14">
            <v>340</v>
          </cell>
          <cell r="W14">
            <v>381.12910532276334</v>
          </cell>
          <cell r="X14">
            <v>423</v>
          </cell>
          <cell r="AB14">
            <v>1839</v>
          </cell>
        </row>
        <row r="16">
          <cell r="C16">
            <v>402.4736251402918</v>
          </cell>
          <cell r="D16">
            <v>178</v>
          </cell>
          <cell r="H16">
            <v>1137.6225215114105</v>
          </cell>
          <cell r="I16">
            <v>1308</v>
          </cell>
          <cell r="M16">
            <v>1094.1118593340816</v>
          </cell>
          <cell r="N16">
            <v>1218</v>
          </cell>
          <cell r="R16">
            <v>1144.8742985409654</v>
          </cell>
          <cell r="S16">
            <v>1087</v>
          </cell>
          <cell r="W16">
            <v>1066.9176954732511</v>
          </cell>
          <cell r="X16">
            <v>1535</v>
          </cell>
          <cell r="AB16">
            <v>4846</v>
          </cell>
        </row>
        <row r="17">
          <cell r="C17">
            <v>223.55539305301647</v>
          </cell>
          <cell r="D17">
            <v>179</v>
          </cell>
          <cell r="H17">
            <v>799.239488117002</v>
          </cell>
          <cell r="I17">
            <v>803</v>
          </cell>
          <cell r="M17">
            <v>770.28153564899458</v>
          </cell>
          <cell r="N17">
            <v>695</v>
          </cell>
          <cell r="R17">
            <v>710.04899451553933</v>
          </cell>
          <cell r="S17">
            <v>686</v>
          </cell>
          <cell r="W17">
            <v>664.87458866544796</v>
          </cell>
          <cell r="X17">
            <v>797</v>
          </cell>
          <cell r="AB17">
            <v>3168.0000000000005</v>
          </cell>
        </row>
        <row r="22">
          <cell r="C22">
            <v>153.00805305542397</v>
          </cell>
          <cell r="D22">
            <v>57</v>
          </cell>
          <cell r="H22">
            <v>531.50165798199907</v>
          </cell>
          <cell r="I22">
            <v>455</v>
          </cell>
          <cell r="M22">
            <v>518.41544291804826</v>
          </cell>
          <cell r="N22">
            <v>382</v>
          </cell>
          <cell r="R22">
            <v>490.22974893415437</v>
          </cell>
          <cell r="S22">
            <v>331</v>
          </cell>
          <cell r="W22">
            <v>431.84509711037418</v>
          </cell>
          <cell r="X22">
            <v>470</v>
          </cell>
          <cell r="AB22">
            <v>2125</v>
          </cell>
        </row>
        <row r="26">
          <cell r="C26">
            <v>145.25457241720218</v>
          </cell>
          <cell r="D26">
            <v>64</v>
          </cell>
          <cell r="H26">
            <v>674.94957983193274</v>
          </cell>
          <cell r="I26">
            <v>308</v>
          </cell>
          <cell r="M26">
            <v>386.37716262975778</v>
          </cell>
          <cell r="N26">
            <v>289</v>
          </cell>
          <cell r="R26">
            <v>421.2382600098864</v>
          </cell>
          <cell r="S26">
            <v>320</v>
          </cell>
          <cell r="W26">
            <v>331.18042511122098</v>
          </cell>
          <cell r="X26">
            <v>359</v>
          </cell>
          <cell r="AB26">
            <v>1958.9999999999998</v>
          </cell>
        </row>
      </sheetData>
      <sheetData sheetId="6"/>
      <sheetData sheetId="7">
        <row r="5">
          <cell r="D5">
            <v>0.47399999999999998</v>
          </cell>
        </row>
        <row r="9">
          <cell r="D9">
            <v>0.76900000000000002</v>
          </cell>
          <cell r="I9">
            <v>0.63400000000000001</v>
          </cell>
          <cell r="N9">
            <v>0.60199999999999998</v>
          </cell>
          <cell r="S9">
            <v>0.58299999999999996</v>
          </cell>
          <cell r="X9">
            <v>0.56599999999999995</v>
          </cell>
        </row>
        <row r="11">
          <cell r="D11">
            <v>0</v>
          </cell>
          <cell r="I11">
            <v>0.41399999999999998</v>
          </cell>
          <cell r="N11">
            <v>0.40699999999999997</v>
          </cell>
          <cell r="S11">
            <v>0.40200000000000002</v>
          </cell>
          <cell r="X11">
            <v>0.43099999999999999</v>
          </cell>
        </row>
        <row r="13">
          <cell r="D13">
            <v>0.56399999999999995</v>
          </cell>
          <cell r="I13">
            <v>0.629</v>
          </cell>
          <cell r="N13">
            <v>0.6</v>
          </cell>
          <cell r="S13">
            <v>0.59099999999999997</v>
          </cell>
          <cell r="X13">
            <v>0.57199999999999995</v>
          </cell>
        </row>
        <row r="14">
          <cell r="D14">
            <v>0.379</v>
          </cell>
          <cell r="I14">
            <v>0.41699999999999998</v>
          </cell>
          <cell r="N14">
            <v>0.40600000000000003</v>
          </cell>
          <cell r="S14">
            <v>0.4</v>
          </cell>
          <cell r="X14">
            <v>0.40600000000000003</v>
          </cell>
        </row>
        <row r="16">
          <cell r="D16">
            <v>0.28100000000000003</v>
          </cell>
          <cell r="I16">
            <v>0.29699999999999999</v>
          </cell>
          <cell r="N16">
            <v>0.29399999999999998</v>
          </cell>
          <cell r="S16">
            <v>0.28399999999999997</v>
          </cell>
          <cell r="X16">
            <v>0.29099999999999998</v>
          </cell>
        </row>
        <row r="17">
          <cell r="D17">
            <v>0.35099999999999998</v>
          </cell>
          <cell r="I17">
            <v>0.378</v>
          </cell>
          <cell r="N17">
            <v>0.34200000000000003</v>
          </cell>
          <cell r="S17">
            <v>0.32700000000000001</v>
          </cell>
          <cell r="X17">
            <v>0.32300000000000001</v>
          </cell>
        </row>
        <row r="22">
          <cell r="D22">
            <v>0.34100000000000003</v>
          </cell>
          <cell r="I22">
            <v>0.33500000000000002</v>
          </cell>
          <cell r="N22">
            <v>0.32</v>
          </cell>
          <cell r="S22">
            <v>0.309</v>
          </cell>
          <cell r="X22">
            <v>0.312</v>
          </cell>
        </row>
        <row r="26">
          <cell r="D26">
            <v>0.48099999999999998</v>
          </cell>
          <cell r="I26">
            <v>0.34599999999999997</v>
          </cell>
          <cell r="N26">
            <v>0.33600000000000002</v>
          </cell>
          <cell r="S26">
            <v>0.35199999999999998</v>
          </cell>
          <cell r="X26">
            <v>0.36299999999999999</v>
          </cell>
        </row>
      </sheetData>
      <sheetData sheetId="8">
        <row r="6">
          <cell r="D6">
            <v>0.9375</v>
          </cell>
        </row>
        <row r="10">
          <cell r="D10">
            <v>0.91379999999999995</v>
          </cell>
          <cell r="I10">
            <v>0.87839999999999996</v>
          </cell>
          <cell r="N10">
            <v>0.88649999999999995</v>
          </cell>
          <cell r="S10">
            <v>0.88449999999999995</v>
          </cell>
          <cell r="X10">
            <v>0.87050000000000005</v>
          </cell>
        </row>
        <row r="12">
          <cell r="D12">
            <v>0.92310000000000003</v>
          </cell>
          <cell r="I12">
            <v>0.93489999999999995</v>
          </cell>
          <cell r="N12">
            <v>0.93179999999999996</v>
          </cell>
          <cell r="S12">
            <v>0.93100000000000005</v>
          </cell>
          <cell r="X12">
            <v>0.91800000000000004</v>
          </cell>
        </row>
        <row r="14">
          <cell r="D14">
            <v>0.85709999999999997</v>
          </cell>
          <cell r="I14">
            <v>0.89770000000000005</v>
          </cell>
          <cell r="N14">
            <v>0.91069999999999995</v>
          </cell>
          <cell r="S14">
            <v>0.90749999999999997</v>
          </cell>
          <cell r="X14">
            <v>0.89949999999999997</v>
          </cell>
        </row>
        <row r="15">
          <cell r="D15">
            <v>0.96230000000000004</v>
          </cell>
          <cell r="I15">
            <v>0.91910000000000003</v>
          </cell>
          <cell r="N15">
            <v>0.93720000000000003</v>
          </cell>
          <cell r="S15">
            <v>0.94679999999999997</v>
          </cell>
          <cell r="X15">
            <v>0.93359999999999999</v>
          </cell>
        </row>
        <row r="17">
          <cell r="D17">
            <v>0.90400000000000003</v>
          </cell>
          <cell r="I17">
            <v>0.90890000000000004</v>
          </cell>
          <cell r="N17">
            <v>0.93059999999999998</v>
          </cell>
          <cell r="S17">
            <v>0.92859999999999998</v>
          </cell>
          <cell r="X17">
            <v>0.91869999999999996</v>
          </cell>
        </row>
        <row r="18">
          <cell r="D18">
            <v>0.9143</v>
          </cell>
          <cell r="I18">
            <v>0.91090000000000004</v>
          </cell>
          <cell r="N18">
            <v>0.92510000000000003</v>
          </cell>
          <cell r="S18">
            <v>0.91659999999999997</v>
          </cell>
          <cell r="X18">
            <v>0.90780000000000005</v>
          </cell>
        </row>
        <row r="23">
          <cell r="D23">
            <v>0.91069999999999995</v>
          </cell>
          <cell r="I23">
            <v>0.9103</v>
          </cell>
          <cell r="N23">
            <v>0.93289999999999995</v>
          </cell>
          <cell r="S23">
            <v>0.92689999999999995</v>
          </cell>
          <cell r="X23">
            <v>0.91220000000000001</v>
          </cell>
        </row>
        <row r="27">
          <cell r="D27">
            <v>0.47370000000000001</v>
          </cell>
          <cell r="I27">
            <v>0.55210000000000004</v>
          </cell>
          <cell r="N27">
            <v>0.58750000000000002</v>
          </cell>
          <cell r="S27">
            <v>0.63270000000000004</v>
          </cell>
          <cell r="X27">
            <v>0.65549999999999997</v>
          </cell>
        </row>
      </sheetData>
      <sheetData sheetId="9">
        <row r="5">
          <cell r="D5">
            <v>0.68879999999999997</v>
          </cell>
        </row>
        <row r="9">
          <cell r="D9">
            <v>0.56599999999999995</v>
          </cell>
          <cell r="I9">
            <v>0.4632</v>
          </cell>
          <cell r="N9">
            <v>0.45440000000000003</v>
          </cell>
          <cell r="S9">
            <v>0.4617</v>
          </cell>
          <cell r="X9">
            <v>0.48039999999999999</v>
          </cell>
        </row>
        <row r="11">
          <cell r="D11">
            <v>0.79159999999999997</v>
          </cell>
          <cell r="I11">
            <v>0.65569999999999995</v>
          </cell>
          <cell r="N11">
            <v>0.63600000000000001</v>
          </cell>
          <cell r="S11">
            <v>0.62270000000000003</v>
          </cell>
          <cell r="X11">
            <v>0.60499999999999998</v>
          </cell>
        </row>
        <row r="13">
          <cell r="D13">
            <v>0.65</v>
          </cell>
          <cell r="I13">
            <v>0.60589999999999999</v>
          </cell>
          <cell r="N13">
            <v>0.60289999999999999</v>
          </cell>
          <cell r="S13">
            <v>0.59640000000000004</v>
          </cell>
          <cell r="X13">
            <v>0.5776</v>
          </cell>
        </row>
        <row r="14">
          <cell r="D14">
            <v>0.7843</v>
          </cell>
          <cell r="I14">
            <v>0.66520000000000001</v>
          </cell>
          <cell r="N14">
            <v>0.65610000000000002</v>
          </cell>
          <cell r="S14">
            <v>0.65280000000000005</v>
          </cell>
          <cell r="X14">
            <v>0.63560000000000005</v>
          </cell>
        </row>
        <row r="16">
          <cell r="D16">
            <v>0.89439999999999997</v>
          </cell>
          <cell r="I16">
            <v>0.58169999999999999</v>
          </cell>
          <cell r="N16">
            <v>0.55859999999999999</v>
          </cell>
          <cell r="S16">
            <v>0.54190000000000005</v>
          </cell>
          <cell r="X16">
            <v>0.52810000000000001</v>
          </cell>
        </row>
        <row r="17">
          <cell r="D17">
            <v>0.52500000000000002</v>
          </cell>
          <cell r="I17">
            <v>0.50639999999999996</v>
          </cell>
          <cell r="N17">
            <v>0.52890000000000004</v>
          </cell>
          <cell r="S17">
            <v>0.51749999999999996</v>
          </cell>
          <cell r="X17">
            <v>0.51219999999999999</v>
          </cell>
        </row>
        <row r="22">
          <cell r="D22">
            <v>0.58819999999999995</v>
          </cell>
          <cell r="I22">
            <v>0.61260000000000003</v>
          </cell>
          <cell r="N22">
            <v>0.60780000000000001</v>
          </cell>
          <cell r="S22">
            <v>0.60740000000000005</v>
          </cell>
          <cell r="X22">
            <v>0.59860000000000002</v>
          </cell>
        </row>
        <row r="26">
          <cell r="D26">
            <v>0.22220000000000001</v>
          </cell>
          <cell r="I26">
            <v>0.2326</v>
          </cell>
          <cell r="N26">
            <v>0.25380000000000003</v>
          </cell>
          <cell r="S26">
            <v>0.25</v>
          </cell>
          <cell r="X26">
            <v>0.26050000000000001</v>
          </cell>
        </row>
      </sheetData>
      <sheetData sheetId="10">
        <row r="5">
          <cell r="D5">
            <v>7.0000000000000001E-3</v>
          </cell>
        </row>
        <row r="9">
          <cell r="D9">
            <v>2.0400000000000001E-2</v>
          </cell>
          <cell r="I9">
            <v>4.02E-2</v>
          </cell>
          <cell r="N9">
            <v>3.8699999999999998E-2</v>
          </cell>
          <cell r="S9">
            <v>4.02E-2</v>
          </cell>
          <cell r="X9">
            <v>3.8899999999999997E-2</v>
          </cell>
        </row>
        <row r="11">
          <cell r="D11">
            <v>4.0000000000000001E-3</v>
          </cell>
          <cell r="I11">
            <v>4.53E-2</v>
          </cell>
          <cell r="N11">
            <v>4.0300000000000002E-2</v>
          </cell>
          <cell r="S11">
            <v>3.4200000000000001E-2</v>
          </cell>
          <cell r="X11">
            <v>2.8299999999999999E-2</v>
          </cell>
        </row>
        <row r="13">
          <cell r="D13">
            <v>8.9999999999999993E-3</v>
          </cell>
          <cell r="I13">
            <v>2.58E-2</v>
          </cell>
          <cell r="N13">
            <v>2.4299999999999999E-2</v>
          </cell>
          <cell r="S13">
            <v>2.5100000000000001E-2</v>
          </cell>
          <cell r="X13">
            <v>2.6499999999999999E-2</v>
          </cell>
        </row>
        <row r="14">
          <cell r="D14">
            <v>2.35E-2</v>
          </cell>
          <cell r="I14">
            <v>2.1299999999999999E-2</v>
          </cell>
          <cell r="N14">
            <v>2.4E-2</v>
          </cell>
          <cell r="S14">
            <v>2.2800000000000001E-2</v>
          </cell>
          <cell r="X14">
            <v>2.29E-2</v>
          </cell>
        </row>
        <row r="16">
          <cell r="D16">
            <v>1.4E-2</v>
          </cell>
          <cell r="I16">
            <v>0.03</v>
          </cell>
          <cell r="N16">
            <v>3.0599999999999999E-2</v>
          </cell>
          <cell r="S16">
            <v>2.7099999999999999E-2</v>
          </cell>
          <cell r="X16">
            <v>2.75E-2</v>
          </cell>
        </row>
        <row r="17">
          <cell r="D17">
            <v>1.4500000000000001E-2</v>
          </cell>
          <cell r="I17">
            <v>2.4799999999999999E-2</v>
          </cell>
          <cell r="N17">
            <v>2.5600000000000001E-2</v>
          </cell>
          <cell r="S17">
            <v>2.46E-2</v>
          </cell>
          <cell r="X17">
            <v>2.24E-2</v>
          </cell>
        </row>
        <row r="22">
          <cell r="D22">
            <v>3.2000000000000002E-3</v>
          </cell>
          <cell r="I22">
            <v>2.3400000000000001E-2</v>
          </cell>
          <cell r="N22">
            <v>2.01E-2</v>
          </cell>
          <cell r="S22">
            <v>2.0199999999999999E-2</v>
          </cell>
          <cell r="X22">
            <v>2.8000000000000001E-2</v>
          </cell>
        </row>
        <row r="26">
          <cell r="D26">
            <v>5.9900000000000002E-2</v>
          </cell>
          <cell r="I26">
            <v>3.9E-2</v>
          </cell>
          <cell r="N26">
            <v>4.1099999999999998E-2</v>
          </cell>
          <cell r="S26">
            <v>3.73E-2</v>
          </cell>
          <cell r="X26">
            <v>3.1099999999999999E-2</v>
          </cell>
        </row>
      </sheetData>
      <sheetData sheetId="11">
        <row r="5">
          <cell r="D5">
            <v>0.35709999999999997</v>
          </cell>
        </row>
        <row r="9">
          <cell r="D9">
            <v>0.27500000000000002</v>
          </cell>
          <cell r="I9">
            <v>0.2717</v>
          </cell>
          <cell r="N9">
            <v>0.2671</v>
          </cell>
          <cell r="S9">
            <v>0.2606</v>
          </cell>
          <cell r="X9">
            <v>0.27939999999999998</v>
          </cell>
        </row>
        <row r="11">
          <cell r="D11">
            <v>0.41510000000000002</v>
          </cell>
          <cell r="I11">
            <v>0.35820000000000002</v>
          </cell>
          <cell r="N11">
            <v>0.33239999999999997</v>
          </cell>
          <cell r="S11">
            <v>0.34150000000000003</v>
          </cell>
          <cell r="X11">
            <v>0.3211</v>
          </cell>
        </row>
        <row r="13">
          <cell r="D13">
            <v>0.44209999999999999</v>
          </cell>
          <cell r="I13">
            <v>0.35510000000000003</v>
          </cell>
          <cell r="N13">
            <v>0.34289999999999998</v>
          </cell>
          <cell r="S13">
            <v>0.32529999999999998</v>
          </cell>
          <cell r="X13">
            <v>0.29549999999999998</v>
          </cell>
        </row>
        <row r="14">
          <cell r="D14">
            <v>0.26669999999999999</v>
          </cell>
          <cell r="I14">
            <v>0.24779999999999999</v>
          </cell>
          <cell r="N14">
            <v>0.2792</v>
          </cell>
          <cell r="S14">
            <v>0.2888</v>
          </cell>
          <cell r="X14">
            <v>0.2722</v>
          </cell>
        </row>
        <row r="16">
          <cell r="D16">
            <v>0.28789999999999999</v>
          </cell>
          <cell r="I16">
            <v>0.32079999999999997</v>
          </cell>
          <cell r="N16">
            <v>0.31240000000000001</v>
          </cell>
          <cell r="S16">
            <v>0.2903</v>
          </cell>
          <cell r="X16">
            <v>0.27139999999999997</v>
          </cell>
        </row>
        <row r="17">
          <cell r="D17">
            <v>0.3</v>
          </cell>
          <cell r="I17">
            <v>0.19620000000000001</v>
          </cell>
          <cell r="N17">
            <v>0.23269999999999999</v>
          </cell>
          <cell r="S17">
            <v>0.24210000000000001</v>
          </cell>
          <cell r="X17">
            <v>0.24759999999999999</v>
          </cell>
        </row>
        <row r="22">
          <cell r="D22">
            <v>0.2432</v>
          </cell>
          <cell r="I22">
            <v>0.23680000000000001</v>
          </cell>
          <cell r="N22">
            <v>0.31640000000000001</v>
          </cell>
          <cell r="S22">
            <v>0.35049999999999998</v>
          </cell>
          <cell r="X22">
            <v>0.3619</v>
          </cell>
        </row>
        <row r="26">
          <cell r="D26">
            <v>6.9800000000000001E-2</v>
          </cell>
          <cell r="I26">
            <v>5.4300000000000001E-2</v>
          </cell>
          <cell r="N26">
            <v>9.1600000000000001E-2</v>
          </cell>
          <cell r="S26">
            <v>0.12620000000000001</v>
          </cell>
          <cell r="X26">
            <v>0.12520000000000001</v>
          </cell>
        </row>
      </sheetData>
      <sheetData sheetId="12">
        <row r="5">
          <cell r="D5">
            <v>0.28849999999999998</v>
          </cell>
        </row>
        <row r="9">
          <cell r="D9">
            <v>0.25419999999999998</v>
          </cell>
          <cell r="I9">
            <v>0.30120000000000002</v>
          </cell>
          <cell r="N9">
            <v>0.32599999999999996</v>
          </cell>
          <cell r="S9">
            <v>0.3075</v>
          </cell>
          <cell r="X9">
            <v>0.29480000000000001</v>
          </cell>
        </row>
        <row r="11">
          <cell r="D11">
            <v>0.39739999999999998</v>
          </cell>
          <cell r="I11">
            <v>0.35309999999999997</v>
          </cell>
          <cell r="N11">
            <v>0.32980000000000004</v>
          </cell>
          <cell r="S11">
            <v>0.31859999999999999</v>
          </cell>
          <cell r="X11">
            <v>0.28970000000000001</v>
          </cell>
        </row>
        <row r="13">
          <cell r="D13">
            <v>0.27460000000000001</v>
          </cell>
          <cell r="I13">
            <v>0.30610000000000004</v>
          </cell>
          <cell r="N13">
            <v>0.30769999999999997</v>
          </cell>
          <cell r="S13">
            <v>0.29199999999999998</v>
          </cell>
          <cell r="X13">
            <v>0.26889999999999997</v>
          </cell>
        </row>
        <row r="14">
          <cell r="D14">
            <v>0.25</v>
          </cell>
          <cell r="I14">
            <v>0.29530000000000001</v>
          </cell>
          <cell r="N14">
            <v>0.32269999999999999</v>
          </cell>
          <cell r="S14">
            <v>0.32669999999999999</v>
          </cell>
          <cell r="X14">
            <v>0.30739999999999995</v>
          </cell>
        </row>
        <row r="16">
          <cell r="D16">
            <v>0.25269999999999998</v>
          </cell>
          <cell r="I16">
            <v>0.26850000000000002</v>
          </cell>
          <cell r="N16">
            <v>0.27489999999999998</v>
          </cell>
          <cell r="S16">
            <v>0.26619999999999999</v>
          </cell>
          <cell r="X16">
            <v>0.23959999999999998</v>
          </cell>
        </row>
        <row r="17">
          <cell r="D17">
            <v>0.2291</v>
          </cell>
          <cell r="I17">
            <v>0.24399999999999999</v>
          </cell>
          <cell r="N17">
            <v>0.27160000000000001</v>
          </cell>
          <cell r="S17">
            <v>0.27460000000000001</v>
          </cell>
          <cell r="X17">
            <v>0.26200000000000001</v>
          </cell>
        </row>
        <row r="22">
          <cell r="D22">
            <v>0.2203</v>
          </cell>
          <cell r="I22">
            <v>0.2505</v>
          </cell>
          <cell r="N22">
            <v>0.30520000000000003</v>
          </cell>
          <cell r="S22">
            <v>0.29389999999999999</v>
          </cell>
          <cell r="X22">
            <v>0.27900000000000003</v>
          </cell>
        </row>
        <row r="26">
          <cell r="D26">
            <v>0.1053</v>
          </cell>
          <cell r="I26">
            <v>0.12529999999999999</v>
          </cell>
          <cell r="N26">
            <v>0.18309999999999998</v>
          </cell>
          <cell r="S26">
            <v>0.21659999999999999</v>
          </cell>
          <cell r="X26">
            <v>0.23279999999999998</v>
          </cell>
        </row>
      </sheetData>
      <sheetData sheetId="13">
        <row r="5">
          <cell r="D5">
            <v>0.94550000000000001</v>
          </cell>
        </row>
        <row r="9">
          <cell r="D9">
            <v>0.80330000000000001</v>
          </cell>
          <cell r="I9">
            <v>0.73919999999999997</v>
          </cell>
          <cell r="N9">
            <v>0.7118000000000001</v>
          </cell>
          <cell r="S9">
            <v>0.71040000000000003</v>
          </cell>
          <cell r="X9">
            <v>0.6987000000000001</v>
          </cell>
        </row>
        <row r="11">
          <cell r="D11">
            <v>0.78209999999999991</v>
          </cell>
          <cell r="I11">
            <v>0.81279999999999997</v>
          </cell>
          <cell r="N11">
            <v>0.79339999999999999</v>
          </cell>
          <cell r="S11">
            <v>0.79769999999999996</v>
          </cell>
          <cell r="X11">
            <v>0.80959999999999999</v>
          </cell>
        </row>
        <row r="13">
          <cell r="D13">
            <v>0.83920000000000006</v>
          </cell>
          <cell r="I13">
            <v>0.83629999999999993</v>
          </cell>
          <cell r="N13">
            <v>0.83069999999999988</v>
          </cell>
          <cell r="S13">
            <v>0.82090000000000007</v>
          </cell>
          <cell r="X13">
            <v>0.80659999999999998</v>
          </cell>
        </row>
        <row r="14">
          <cell r="D14">
            <v>0.8548</v>
          </cell>
          <cell r="I14">
            <v>0.84409999999999996</v>
          </cell>
          <cell r="N14">
            <v>0.85780000000000001</v>
          </cell>
          <cell r="S14">
            <v>0.8599</v>
          </cell>
          <cell r="X14">
            <v>0.85120000000000007</v>
          </cell>
        </row>
        <row r="16">
          <cell r="D16">
            <v>0.8306</v>
          </cell>
          <cell r="I16">
            <v>0.83050000000000002</v>
          </cell>
          <cell r="N16">
            <v>0.83239999999999992</v>
          </cell>
          <cell r="S16">
            <v>0.83849999999999991</v>
          </cell>
          <cell r="X16">
            <v>0.83569999999999989</v>
          </cell>
        </row>
        <row r="17">
          <cell r="D17">
            <v>0.79780000000000006</v>
          </cell>
          <cell r="I17">
            <v>0.72150000000000003</v>
          </cell>
          <cell r="N17">
            <v>0.71709999999999996</v>
          </cell>
          <cell r="S17">
            <v>0.69019999999999992</v>
          </cell>
          <cell r="X17">
            <v>0.6825</v>
          </cell>
        </row>
        <row r="22">
          <cell r="D22">
            <v>0.55930000000000002</v>
          </cell>
          <cell r="I22">
            <v>0.5595</v>
          </cell>
          <cell r="N22">
            <v>0.58619999999999994</v>
          </cell>
          <cell r="S22">
            <v>0.61159999999999992</v>
          </cell>
          <cell r="X22">
            <v>0.62970000000000004</v>
          </cell>
        </row>
        <row r="26">
          <cell r="D26">
            <v>0.34380000000000005</v>
          </cell>
          <cell r="I26">
            <v>0.37430000000000002</v>
          </cell>
          <cell r="N26">
            <v>0.39179999999999998</v>
          </cell>
          <cell r="S26">
            <v>0.45380000000000004</v>
          </cell>
          <cell r="X26">
            <v>0.49640000000000001</v>
          </cell>
        </row>
      </sheetData>
      <sheetData sheetId="14">
        <row r="5">
          <cell r="D5">
            <v>1</v>
          </cell>
        </row>
        <row r="9">
          <cell r="D9">
            <v>1</v>
          </cell>
          <cell r="I9">
            <v>1</v>
          </cell>
          <cell r="N9">
            <v>1</v>
          </cell>
          <cell r="S9">
            <v>1</v>
          </cell>
          <cell r="X9">
            <v>1</v>
          </cell>
        </row>
        <row r="11">
          <cell r="D11">
            <v>1</v>
          </cell>
          <cell r="I11">
            <v>1</v>
          </cell>
          <cell r="N11">
            <v>1</v>
          </cell>
          <cell r="S11">
            <v>1</v>
          </cell>
          <cell r="X11">
            <v>1</v>
          </cell>
        </row>
        <row r="14">
          <cell r="D14">
            <v>1</v>
          </cell>
          <cell r="I14">
            <v>1</v>
          </cell>
          <cell r="N14">
            <v>1</v>
          </cell>
          <cell r="S14">
            <v>1</v>
          </cell>
          <cell r="X14">
            <v>1</v>
          </cell>
        </row>
        <row r="16">
          <cell r="D16">
            <v>1</v>
          </cell>
          <cell r="I16">
            <v>1</v>
          </cell>
          <cell r="N16">
            <v>1</v>
          </cell>
          <cell r="S16">
            <v>1</v>
          </cell>
          <cell r="X16">
            <v>1</v>
          </cell>
        </row>
        <row r="17">
          <cell r="D17">
            <v>1</v>
          </cell>
          <cell r="I17">
            <v>1</v>
          </cell>
          <cell r="N17">
            <v>1</v>
          </cell>
          <cell r="S17">
            <v>1</v>
          </cell>
          <cell r="X17">
            <v>1</v>
          </cell>
        </row>
        <row r="22">
          <cell r="D22">
            <v>1</v>
          </cell>
          <cell r="I22">
            <v>1</v>
          </cell>
          <cell r="N22">
            <v>1</v>
          </cell>
          <cell r="S22">
            <v>1</v>
          </cell>
          <cell r="X22">
            <v>0.99378881987577639</v>
          </cell>
        </row>
        <row r="26">
          <cell r="D26">
            <v>1</v>
          </cell>
          <cell r="I26">
            <v>1</v>
          </cell>
          <cell r="N26">
            <v>1</v>
          </cell>
          <cell r="S26">
            <v>1</v>
          </cell>
          <cell r="X26">
            <v>1</v>
          </cell>
        </row>
      </sheetData>
      <sheetData sheetId="15">
        <row r="5">
          <cell r="D5">
            <v>0</v>
          </cell>
        </row>
        <row r="7">
          <cell r="D7">
            <v>1</v>
          </cell>
          <cell r="I7">
            <v>6</v>
          </cell>
          <cell r="N7">
            <v>6</v>
          </cell>
          <cell r="S7">
            <v>14</v>
          </cell>
          <cell r="X7">
            <v>11</v>
          </cell>
        </row>
        <row r="9">
          <cell r="D9">
            <v>0</v>
          </cell>
          <cell r="I9">
            <v>9</v>
          </cell>
          <cell r="N9">
            <v>10</v>
          </cell>
          <cell r="S9">
            <v>14</v>
          </cell>
          <cell r="X9">
            <v>10</v>
          </cell>
        </row>
        <row r="11">
          <cell r="D11">
            <v>1</v>
          </cell>
          <cell r="I11">
            <v>4</v>
          </cell>
          <cell r="N11">
            <v>6</v>
          </cell>
          <cell r="S11">
            <v>7</v>
          </cell>
          <cell r="X11">
            <v>11</v>
          </cell>
        </row>
        <row r="12">
          <cell r="D12">
            <v>0</v>
          </cell>
          <cell r="I12">
            <v>7</v>
          </cell>
          <cell r="N12">
            <v>5</v>
          </cell>
          <cell r="S12">
            <v>10</v>
          </cell>
          <cell r="X12">
            <v>8</v>
          </cell>
        </row>
        <row r="14">
          <cell r="D14">
            <v>2</v>
          </cell>
          <cell r="I14">
            <v>5</v>
          </cell>
          <cell r="N14">
            <v>8</v>
          </cell>
          <cell r="S14">
            <v>25</v>
          </cell>
          <cell r="X14">
            <v>32</v>
          </cell>
        </row>
        <row r="15">
          <cell r="D15">
            <v>1</v>
          </cell>
          <cell r="I15">
            <v>0</v>
          </cell>
          <cell r="N15">
            <v>1</v>
          </cell>
          <cell r="S15">
            <v>9</v>
          </cell>
          <cell r="X15">
            <v>19</v>
          </cell>
        </row>
        <row r="18">
          <cell r="D18">
            <v>0</v>
          </cell>
          <cell r="I18">
            <v>3</v>
          </cell>
          <cell r="N18">
            <v>8</v>
          </cell>
          <cell r="S18">
            <v>4</v>
          </cell>
          <cell r="X18">
            <v>9</v>
          </cell>
        </row>
        <row r="21">
          <cell r="D21">
            <v>3</v>
          </cell>
          <cell r="I21">
            <v>2</v>
          </cell>
          <cell r="N21">
            <v>5</v>
          </cell>
          <cell r="S21">
            <v>4</v>
          </cell>
          <cell r="X21">
            <v>4</v>
          </cell>
        </row>
      </sheetData>
      <sheetData sheetId="16">
        <row r="5">
          <cell r="D5"/>
        </row>
        <row r="9">
          <cell r="D9"/>
          <cell r="I9"/>
          <cell r="N9"/>
          <cell r="S9"/>
          <cell r="X9"/>
        </row>
        <row r="11">
          <cell r="D11"/>
          <cell r="I11"/>
          <cell r="N11"/>
          <cell r="S11"/>
          <cell r="X11"/>
        </row>
        <row r="13">
          <cell r="D13"/>
          <cell r="I13"/>
          <cell r="N13"/>
          <cell r="S13"/>
          <cell r="X13"/>
        </row>
        <row r="14">
          <cell r="D14"/>
          <cell r="I14"/>
          <cell r="N14"/>
          <cell r="S14"/>
          <cell r="X14"/>
        </row>
        <row r="16">
          <cell r="D16"/>
          <cell r="I16"/>
          <cell r="N16"/>
          <cell r="S16"/>
          <cell r="X16"/>
        </row>
        <row r="17">
          <cell r="D17"/>
          <cell r="I17"/>
          <cell r="N17"/>
          <cell r="S17"/>
          <cell r="X17"/>
        </row>
        <row r="22">
          <cell r="D22"/>
          <cell r="I22"/>
          <cell r="N22"/>
          <cell r="S22"/>
          <cell r="X22"/>
        </row>
        <row r="26">
          <cell r="D26"/>
          <cell r="I26"/>
          <cell r="N26"/>
          <cell r="S26"/>
          <cell r="X26"/>
        </row>
      </sheetData>
      <sheetData sheetId="17">
        <row r="5">
          <cell r="D5">
            <v>0.66669999999999996</v>
          </cell>
        </row>
        <row r="9">
          <cell r="D9">
            <v>1</v>
          </cell>
          <cell r="I9">
            <v>0.85709999999999997</v>
          </cell>
          <cell r="N9">
            <v>0.91669999999999996</v>
          </cell>
          <cell r="S9">
            <v>0.94440000000000002</v>
          </cell>
          <cell r="X9">
            <v>0.96550000000000002</v>
          </cell>
        </row>
        <row r="11">
          <cell r="D11">
            <v>0.6</v>
          </cell>
          <cell r="I11">
            <v>0.77780000000000005</v>
          </cell>
          <cell r="N11">
            <v>0.84850000000000003</v>
          </cell>
          <cell r="S11">
            <v>0.88639999999999997</v>
          </cell>
          <cell r="X11">
            <v>0.90569999999999995</v>
          </cell>
        </row>
        <row r="13">
          <cell r="D13">
            <v>0.75</v>
          </cell>
          <cell r="I13">
            <v>0.75</v>
          </cell>
          <cell r="N13">
            <v>0.85289999999999999</v>
          </cell>
          <cell r="S13">
            <v>0.9123</v>
          </cell>
          <cell r="X13">
            <v>0.92859999999999998</v>
          </cell>
        </row>
        <row r="14">
          <cell r="D14">
            <v>0.66669999999999996</v>
          </cell>
          <cell r="I14">
            <v>0.92859999999999998</v>
          </cell>
          <cell r="N14">
            <v>0.95</v>
          </cell>
          <cell r="S14">
            <v>0.94920000000000004</v>
          </cell>
          <cell r="X14">
            <v>0.95520000000000005</v>
          </cell>
        </row>
        <row r="16">
          <cell r="D16">
            <v>1</v>
          </cell>
          <cell r="I16">
            <v>0.875</v>
          </cell>
          <cell r="N16">
            <v>0.82809999999999995</v>
          </cell>
          <cell r="S16">
            <v>0.8427</v>
          </cell>
          <cell r="X16">
            <v>0.83899999999999997</v>
          </cell>
        </row>
        <row r="17">
          <cell r="D17">
            <v>0.33329999999999999</v>
          </cell>
          <cell r="I17">
            <v>0.88890000000000002</v>
          </cell>
          <cell r="N17">
            <v>0.91890000000000005</v>
          </cell>
          <cell r="S17">
            <v>0.88239999999999996</v>
          </cell>
          <cell r="X17">
            <v>0.89190000000000003</v>
          </cell>
        </row>
        <row r="22">
          <cell r="D22">
            <v>1</v>
          </cell>
          <cell r="I22">
            <v>0.92310000000000003</v>
          </cell>
          <cell r="N22">
            <v>0.9</v>
          </cell>
          <cell r="S22">
            <v>0.92110000000000003</v>
          </cell>
          <cell r="X22">
            <v>0.93879999999999997</v>
          </cell>
        </row>
        <row r="26">
          <cell r="D26">
            <v>0.75</v>
          </cell>
          <cell r="I26">
            <v>0.8125</v>
          </cell>
          <cell r="N26">
            <v>0.85709999999999997</v>
          </cell>
          <cell r="S26">
            <v>0.8</v>
          </cell>
          <cell r="X26">
            <v>0.75860000000000005</v>
          </cell>
        </row>
      </sheetData>
      <sheetData sheetId="18">
        <row r="5">
          <cell r="D5">
            <v>1</v>
          </cell>
        </row>
        <row r="9">
          <cell r="D9">
            <v>1</v>
          </cell>
          <cell r="I9">
            <v>1</v>
          </cell>
          <cell r="N9">
            <v>0.92620000000000002</v>
          </cell>
          <cell r="S9">
            <v>0.84799999999999998</v>
          </cell>
          <cell r="X9">
            <v>0.89569999999999994</v>
          </cell>
        </row>
        <row r="11">
          <cell r="D11">
            <v>1</v>
          </cell>
          <cell r="I11">
            <v>1</v>
          </cell>
          <cell r="N11">
            <v>0.96909999999999996</v>
          </cell>
          <cell r="S11">
            <v>0.85309999999999997</v>
          </cell>
        </row>
        <row r="13">
          <cell r="D13">
            <v>1</v>
          </cell>
          <cell r="I13">
            <v>1</v>
          </cell>
          <cell r="N13">
            <v>0.97089999999999999</v>
          </cell>
          <cell r="S13">
            <v>0.85239999999999994</v>
          </cell>
          <cell r="X13">
            <v>0.89400000000000002</v>
          </cell>
        </row>
        <row r="14">
          <cell r="D14">
            <v>1</v>
          </cell>
          <cell r="I14">
            <v>1</v>
          </cell>
          <cell r="N14">
            <v>0.91379999999999995</v>
          </cell>
          <cell r="S14">
            <v>0.85750000000000004</v>
          </cell>
          <cell r="X14">
            <v>0.89890000000000003</v>
          </cell>
        </row>
        <row r="16">
          <cell r="D16">
            <v>1</v>
          </cell>
          <cell r="I16">
            <v>1</v>
          </cell>
          <cell r="N16">
            <v>0.94700000000000006</v>
          </cell>
          <cell r="S16">
            <v>0.85030000000000006</v>
          </cell>
          <cell r="X16">
            <v>0.89230000000000009</v>
          </cell>
        </row>
        <row r="17">
          <cell r="D17">
            <v>1</v>
          </cell>
          <cell r="I17">
            <v>1</v>
          </cell>
          <cell r="N17">
            <v>0.88069999999999993</v>
          </cell>
          <cell r="S17">
            <v>0.85159999999999991</v>
          </cell>
          <cell r="X17">
            <v>0.89290000000000003</v>
          </cell>
        </row>
        <row r="22">
          <cell r="D22">
            <v>1</v>
          </cell>
          <cell r="I22">
            <v>1</v>
          </cell>
          <cell r="N22">
            <v>0.91269999999999996</v>
          </cell>
          <cell r="S22">
            <v>0.85499999999999998</v>
          </cell>
          <cell r="X22">
            <v>0.89700000000000002</v>
          </cell>
        </row>
        <row r="26">
          <cell r="D26">
            <v>1</v>
          </cell>
          <cell r="I26">
            <v>0.74199999999999999</v>
          </cell>
          <cell r="N26">
            <v>0.94850000000000001</v>
          </cell>
          <cell r="S26">
            <v>0.87069999999999992</v>
          </cell>
          <cell r="X26">
            <v>0.90150000000000008</v>
          </cell>
        </row>
      </sheetData>
      <sheetData sheetId="19">
        <row r="5">
          <cell r="D5">
            <v>0.95041322314049592</v>
          </cell>
        </row>
        <row r="9">
          <cell r="D9">
            <v>0.9107142857142857</v>
          </cell>
          <cell r="I9">
            <v>0.9196428571428571</v>
          </cell>
          <cell r="N9">
            <v>0.9196428571428571</v>
          </cell>
          <cell r="S9">
            <v>0.9196428571428571</v>
          </cell>
          <cell r="X9">
            <v>0.9330357142857143</v>
          </cell>
        </row>
        <row r="11">
          <cell r="D11">
            <v>0.9196428571428571</v>
          </cell>
          <cell r="I11">
            <v>0.88432835820895539</v>
          </cell>
          <cell r="N11">
            <v>0.88432835820895539</v>
          </cell>
          <cell r="S11">
            <v>0.88805970149253743</v>
          </cell>
          <cell r="X11">
            <v>0.90298507462686572</v>
          </cell>
        </row>
        <row r="13">
          <cell r="D13">
            <v>0.96992481203007519</v>
          </cell>
          <cell r="I13">
            <v>0.97950819672131151</v>
          </cell>
          <cell r="N13">
            <v>0.97950819672131151</v>
          </cell>
          <cell r="S13">
            <v>0.97950819672131151</v>
          </cell>
          <cell r="X13">
            <v>0.97950819672131151</v>
          </cell>
        </row>
        <row r="14">
          <cell r="D14">
            <v>0.96794871794871795</v>
          </cell>
          <cell r="I14">
            <v>0.97115384615384615</v>
          </cell>
          <cell r="N14">
            <v>0.97435897435897434</v>
          </cell>
          <cell r="S14">
            <v>0.97435897435897434</v>
          </cell>
          <cell r="X14">
            <v>0.97435897435897434</v>
          </cell>
        </row>
        <row r="16">
          <cell r="D16">
            <v>0.88548387096774195</v>
          </cell>
          <cell r="I16">
            <v>0.89457831325301218</v>
          </cell>
          <cell r="N16">
            <v>0.9006024096385542</v>
          </cell>
          <cell r="S16">
            <v>0.9156626506024097</v>
          </cell>
          <cell r="X16">
            <v>0.8665730337078652</v>
          </cell>
        </row>
        <row r="17">
          <cell r="D17">
            <v>0.8764044943820225</v>
          </cell>
          <cell r="I17">
            <v>0.8764044943820225</v>
          </cell>
          <cell r="N17">
            <v>0.8764044943820225</v>
          </cell>
          <cell r="S17">
            <v>0.87921348314606751</v>
          </cell>
          <cell r="X17">
            <v>0.90064102564102566</v>
          </cell>
        </row>
        <row r="22">
          <cell r="D22">
            <v>0.95588235294117652</v>
          </cell>
          <cell r="I22">
            <v>0.95588235294117652</v>
          </cell>
          <cell r="N22">
            <v>0.96666666666666667</v>
          </cell>
          <cell r="S22">
            <v>0.9732142857142857</v>
          </cell>
          <cell r="X22">
            <v>0.9732142857142857</v>
          </cell>
        </row>
        <row r="26">
          <cell r="D26">
            <v>0.97840000000000005</v>
          </cell>
          <cell r="I26">
            <v>0.97840000000000005</v>
          </cell>
          <cell r="N26">
            <v>0.97840000000000005</v>
          </cell>
          <cell r="S26">
            <v>0.97840000000000005</v>
          </cell>
          <cell r="X26">
            <v>0.97840000000000005</v>
          </cell>
        </row>
      </sheetData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9830F6-577F-46E6-9226-6BFE600480B5}" name="Tabela1" displayName="Tabela1" ref="A2:S24" totalsRowShown="0" headerRowDxfId="547" dataDxfId="545" headerRowBorderDxfId="546" tableBorderDxfId="544" totalsRowBorderDxfId="543">
  <tableColumns count="19">
    <tableColumn id="1" xr3:uid="{F27E3BD5-A63E-4F01-9242-9921006AA909}" name="LOJA 05" dataDxfId="542"/>
    <tableColumn id="2" xr3:uid="{23E5DDD9-DE6E-4B66-B484-C36F14832B88}" name="1° SEMANA " dataDxfId="541"/>
    <tableColumn id="3" xr3:uid="{F1B0D0F4-4652-4912-91E2-AB9E4DA6D5F9}" name="1° SEMANA" dataDxfId="540"/>
    <tableColumn id="4" xr3:uid="{5D3CB552-A757-4104-B26E-86725430169C}" name="1° SEMANA2" dataDxfId="539" dataCellStyle="Porcentagem">
      <calculatedColumnFormula>C3/B3</calculatedColumnFormula>
    </tableColumn>
    <tableColumn id="5" xr3:uid="{4726DF79-AA6E-490A-AB09-844431009B87}" name="2° SEMANA " dataDxfId="538">
      <calculatedColumnFormula>B3</calculatedColumnFormula>
    </tableColumn>
    <tableColumn id="6" xr3:uid="{91B5F27D-A1EA-4FBF-8D24-9BA02F6C0A1E}" name="2° SEMANA" dataDxfId="537"/>
    <tableColumn id="7" xr3:uid="{E8A7121A-CAB9-4CED-B31B-4D09B9D8DCF4}" name="2° SEMANA2" dataDxfId="536" dataCellStyle="Porcentagem">
      <calculatedColumnFormula>F3/E3</calculatedColumnFormula>
    </tableColumn>
    <tableColumn id="8" xr3:uid="{917A883B-7C60-421A-B765-8F44E36F49DF}" name="3° SEMANA " dataDxfId="535">
      <calculatedColumnFormula>E3</calculatedColumnFormula>
    </tableColumn>
    <tableColumn id="9" xr3:uid="{AD0C1539-44AE-4D35-9705-5EA121BF96F4}" name="3° SEMANA" dataDxfId="534"/>
    <tableColumn id="10" xr3:uid="{C3A28238-E0DC-4D4B-AC83-79038E33D109}" name="3° SEMANA2" dataDxfId="533" dataCellStyle="Porcentagem">
      <calculatedColumnFormula>I3/H3</calculatedColumnFormula>
    </tableColumn>
    <tableColumn id="11" xr3:uid="{EF9E4D48-742C-4F5A-BA82-BE1958D1914F}" name="4° SEMANA " dataDxfId="532">
      <calculatedColumnFormula>H3</calculatedColumnFormula>
    </tableColumn>
    <tableColumn id="12" xr3:uid="{4A9871BB-CA5F-4E14-A3D2-D10384948F1B}" name="4° SEMANA" dataDxfId="531"/>
    <tableColumn id="13" xr3:uid="{13A6BF45-C707-44C6-BDA9-FE0490C9AC3D}" name="4° SEMANA2" dataDxfId="530" dataCellStyle="Porcentagem">
      <calculatedColumnFormula>L3/K3</calculatedColumnFormula>
    </tableColumn>
    <tableColumn id="14" xr3:uid="{688B5542-4B1A-4F27-9AED-646719E81B82}" name="5° SEMANA " dataDxfId="529">
      <calculatedColumnFormula>K3</calculatedColumnFormula>
    </tableColumn>
    <tableColumn id="15" xr3:uid="{2F929438-27FD-4F81-8F89-B5DA8F73FCF0}" name="5° SEMANA" dataDxfId="528"/>
    <tableColumn id="16" xr3:uid="{448AD46F-E717-495D-BC26-3AC3C832AAEC}" name="5° SEMANA2" dataDxfId="527" dataCellStyle="Porcentagem">
      <calculatedColumnFormula>O3/N3</calculatedColumnFormula>
    </tableColumn>
    <tableColumn id="17" xr3:uid="{42443842-9AC9-43FC-84EC-698542B9ECE7}" name="ACUMULADO" dataDxfId="526"/>
    <tableColumn id="18" xr3:uid="{8066D923-13C0-4DF9-AA05-2C4D1560CCAA}" name="ACUMULADO2" dataDxfId="525"/>
    <tableColumn id="19" xr3:uid="{21F1C7B6-2263-47A6-846C-467598EC755B}" name="ACUMULADO3" dataDxfId="524" dataCellStyle="Porcentage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B38822-C754-482F-B492-F88EAC60895F}" name="Tabela13" displayName="Tabela13" ref="A2:S24" totalsRowShown="0" headerRowDxfId="523" dataDxfId="521" headerRowBorderDxfId="522" tableBorderDxfId="520" totalsRowBorderDxfId="519">
  <autoFilter ref="A2:S24" xr:uid="{01B38822-C754-482F-B492-F88EAC60895F}"/>
  <tableColumns count="19">
    <tableColumn id="1" xr3:uid="{56915E42-F128-46B3-A2BD-8293D8A799CB}" name="LOJA 07" dataDxfId="518"/>
    <tableColumn id="2" xr3:uid="{849B45F9-3BB2-4203-9DF0-20A239170C1B}" name="1° SEMANA " dataDxfId="517"/>
    <tableColumn id="3" xr3:uid="{714C3802-81EC-491E-BF9C-8EB5C0DB4D0A}" name="1° SEMANA" dataDxfId="516"/>
    <tableColumn id="4" xr3:uid="{22C8644C-F3A7-4C64-A733-BE56D3C21A9B}" name="1° SEMANA2" dataDxfId="515" dataCellStyle="Porcentagem">
      <calculatedColumnFormula>C3/B3</calculatedColumnFormula>
    </tableColumn>
    <tableColumn id="5" xr3:uid="{8682B230-AD75-4CB0-85A8-04FDBB5FC020}" name="2° SEMANA " dataDxfId="514">
      <calculatedColumnFormula>B3</calculatedColumnFormula>
    </tableColumn>
    <tableColumn id="6" xr3:uid="{375B47B4-58CF-44A1-9B42-0CB447E2E4DF}" name="2° SEMANA" dataDxfId="513"/>
    <tableColumn id="7" xr3:uid="{7F01809D-7BEA-4303-A847-A178F030AD8F}" name="2° SEMANA2" dataDxfId="512" dataCellStyle="Porcentagem">
      <calculatedColumnFormula>F3/E3</calculatedColumnFormula>
    </tableColumn>
    <tableColumn id="8" xr3:uid="{D33FA167-9C2B-4F8A-B8E9-6E1B681B439A}" name="3° SEMANA " dataDxfId="511">
      <calculatedColumnFormula>E3</calculatedColumnFormula>
    </tableColumn>
    <tableColumn id="9" xr3:uid="{6402BAA6-A460-42A7-A8FA-7349F2D61E60}" name="3° SEMANA" dataDxfId="510"/>
    <tableColumn id="10" xr3:uid="{15ED896F-D770-4226-91E5-D115FACFDCE1}" name="3° SEMANA2" dataDxfId="509" dataCellStyle="Porcentagem">
      <calculatedColumnFormula>I3/H3</calculatedColumnFormula>
    </tableColumn>
    <tableColumn id="11" xr3:uid="{1E432B33-26FB-4AC3-80DD-79C40D1E824B}" name="4° SEMANA " dataDxfId="508">
      <calculatedColumnFormula>H3</calculatedColumnFormula>
    </tableColumn>
    <tableColumn id="12" xr3:uid="{2649D671-61AA-4C89-900E-3AC5AAFE571B}" name="4° SEMANA" dataDxfId="507"/>
    <tableColumn id="13" xr3:uid="{76176744-5FCC-4AD5-AAF8-6DBE0532D4DC}" name="4° SEMANA2" dataDxfId="506" dataCellStyle="Porcentagem">
      <calculatedColumnFormula>L3/K3</calculatedColumnFormula>
    </tableColumn>
    <tableColumn id="14" xr3:uid="{813960A4-6664-4348-9BF6-137B78AF23F5}" name="5° SEMANA " dataDxfId="505">
      <calculatedColumnFormula>K3</calculatedColumnFormula>
    </tableColumn>
    <tableColumn id="15" xr3:uid="{C44E66D7-F15B-46F2-ADBD-4F26E577B099}" name="5° SEMANA" dataDxfId="504"/>
    <tableColumn id="16" xr3:uid="{FE384516-199C-4E3A-8230-C21D3E171BC4}" name="5° SEMANA2" dataDxfId="503" dataCellStyle="Porcentagem">
      <calculatedColumnFormula>O3/N3</calculatedColumnFormula>
    </tableColumn>
    <tableColumn id="17" xr3:uid="{51105C57-AD7C-4852-BDCA-2AC82BD98700}" name="ACUMULADO" dataDxfId="502"/>
    <tableColumn id="18" xr3:uid="{2843E411-1E3B-419D-B6BA-2E60640E292E}" name="ACUMULADO2" dataDxfId="501"/>
    <tableColumn id="19" xr3:uid="{902F6305-9A71-4631-AB2E-8F8501C63640}" name="ACUMULADO3" dataDxfId="500" dataCellStyle="Porcentagem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9EC166C-E07D-4FAB-939E-3D9AB975EC3B}" name="Tabela124" displayName="Tabela124" ref="A2:S24" totalsRowShown="0" headerRowDxfId="499" dataDxfId="497" headerRowBorderDxfId="498" tableBorderDxfId="496" totalsRowBorderDxfId="495">
  <autoFilter ref="A2:S24" xr:uid="{29EC166C-E07D-4FAB-939E-3D9AB975EC3B}"/>
  <tableColumns count="19">
    <tableColumn id="1" xr3:uid="{725E8FBA-E7FA-439F-932B-A64DAFCFB18A}" name="LOJA 09" dataDxfId="494"/>
    <tableColumn id="2" xr3:uid="{2BF1B671-4CEE-416A-88CB-40A22B64FE76}" name="1° SEMANA " dataDxfId="493"/>
    <tableColumn id="3" xr3:uid="{98429901-7259-46D6-93DF-76CEC137E764}" name="1° SEMANA" dataDxfId="492"/>
    <tableColumn id="4" xr3:uid="{51DFB587-C4CC-4673-A92E-8425E01A7CDF}" name="1° SEMANA2" dataDxfId="491" dataCellStyle="Porcentagem">
      <calculatedColumnFormula>C3/B3</calculatedColumnFormula>
    </tableColumn>
    <tableColumn id="5" xr3:uid="{EAE07144-6E48-4E05-9844-15BC236CF465}" name="2° SEMANA " dataDxfId="490">
      <calculatedColumnFormula>B3</calculatedColumnFormula>
    </tableColumn>
    <tableColumn id="6" xr3:uid="{CD40D438-659B-455B-9968-DA3919C06C53}" name="2° SEMANA" dataDxfId="489"/>
    <tableColumn id="7" xr3:uid="{189206BA-C440-48DF-A5BE-5079F07E4142}" name="2° SEMANA2" dataDxfId="488" dataCellStyle="Porcentagem">
      <calculatedColumnFormula>F3/E3</calculatedColumnFormula>
    </tableColumn>
    <tableColumn id="8" xr3:uid="{A7C2B683-3267-4B3C-8ECC-1A37828C8B92}" name="3° SEMANA " dataDxfId="487">
      <calculatedColumnFormula>E3</calculatedColumnFormula>
    </tableColumn>
    <tableColumn id="9" xr3:uid="{D91E0129-DA2E-4854-A7B9-9D557FDD1D46}" name="3° SEMANA" dataDxfId="486"/>
    <tableColumn id="10" xr3:uid="{FF718569-2CA8-496C-9A28-A2FA246428B9}" name="3° SEMANA2" dataDxfId="485" dataCellStyle="Porcentagem">
      <calculatedColumnFormula>I3/H3</calculatedColumnFormula>
    </tableColumn>
    <tableColumn id="11" xr3:uid="{682E68D6-2C81-44B3-A941-A44A8CE37137}" name="4° SEMANA " dataDxfId="484">
      <calculatedColumnFormula>H3</calculatedColumnFormula>
    </tableColumn>
    <tableColumn id="12" xr3:uid="{418D6760-AF93-4276-9019-59ECA922BE87}" name="4° SEMANA" dataDxfId="483"/>
    <tableColumn id="13" xr3:uid="{D98A1719-822A-4780-8289-FC76478E3952}" name="4° SEMANA2" dataDxfId="482" dataCellStyle="Porcentagem">
      <calculatedColumnFormula>L3/K3</calculatedColumnFormula>
    </tableColumn>
    <tableColumn id="14" xr3:uid="{BE9A570B-4764-4402-9371-3CA0BD60A01A}" name="5° SEMANA " dataDxfId="481">
      <calculatedColumnFormula>K3</calculatedColumnFormula>
    </tableColumn>
    <tableColumn id="15" xr3:uid="{49382AA2-358A-44FF-8288-3EC2AC625F43}" name="5° SEMANA" dataDxfId="480"/>
    <tableColumn id="16" xr3:uid="{E642206E-B50D-4395-9BAA-B645A6231823}" name="5° SEMANA2" dataDxfId="479" dataCellStyle="Porcentagem">
      <calculatedColumnFormula>O3/N3</calculatedColumnFormula>
    </tableColumn>
    <tableColumn id="17" xr3:uid="{59508732-75ED-4D60-8299-64480CF08EA5}" name="ACUMULADO" dataDxfId="478"/>
    <tableColumn id="18" xr3:uid="{8ADC2816-4155-4AAB-A233-347BDB76B588}" name="ACUMULADO2" dataDxfId="477"/>
    <tableColumn id="19" xr3:uid="{13302BA4-DCF8-43AA-9DE8-17EDECD549DA}" name="ACUMULADO3" dataDxfId="476" dataCellStyle="Porcentagem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889EF76-2C11-42E6-91DB-5C3401B84B7E}" name="Tabela12425" displayName="Tabela12425" ref="A2:S24" totalsRowShown="0" headerRowDxfId="475" dataDxfId="473" headerRowBorderDxfId="474" tableBorderDxfId="472" totalsRowBorderDxfId="471">
  <autoFilter ref="A2:S24" xr:uid="{C889EF76-2C11-42E6-91DB-5C3401B84B7E}"/>
  <tableColumns count="19">
    <tableColumn id="1" xr3:uid="{C68D80F5-2595-4D9F-A11D-4EDF7B6C746D}" name="LOJA 10" dataDxfId="470"/>
    <tableColumn id="2" xr3:uid="{E162918B-C042-49F7-99DA-9BBBC799117F}" name="1° SEMANA " dataDxfId="469"/>
    <tableColumn id="3" xr3:uid="{4C474934-D612-4798-9E2A-45C21BE10314}" name="1° SEMANA" dataDxfId="468"/>
    <tableColumn id="4" xr3:uid="{DD29CF48-5E26-453D-90C7-99114275AAA0}" name="1° SEMANA2" dataDxfId="467" dataCellStyle="Porcentagem">
      <calculatedColumnFormula>C3/B3</calculatedColumnFormula>
    </tableColumn>
    <tableColumn id="5" xr3:uid="{D08E8F21-F64E-4FE4-85D5-3B7ACE71E5AF}" name="2° SEMANA " dataDxfId="466">
      <calculatedColumnFormula>B3</calculatedColumnFormula>
    </tableColumn>
    <tableColumn id="6" xr3:uid="{060CB211-837F-4075-8FA6-4FE1B2F7A96E}" name="2° SEMANA" dataDxfId="465"/>
    <tableColumn id="7" xr3:uid="{559D8FD5-AD01-4B89-9979-4A63B1CD75A7}" name="2° SEMANA2" dataDxfId="464" dataCellStyle="Porcentagem">
      <calculatedColumnFormula>F3/E3</calculatedColumnFormula>
    </tableColumn>
    <tableColumn id="8" xr3:uid="{25EEE713-723C-4F24-8759-135800935AEA}" name="3° SEMANA " dataDxfId="463">
      <calculatedColumnFormula>E3</calculatedColumnFormula>
    </tableColumn>
    <tableColumn id="9" xr3:uid="{F41A6CBB-B14F-4ABC-81B5-B4555910832A}" name="3° SEMANA" dataDxfId="462"/>
    <tableColumn id="10" xr3:uid="{4D4E8B7F-9A41-4DCD-8AA8-114EEB3FBEF4}" name="3° SEMANA2" dataDxfId="461" dataCellStyle="Porcentagem">
      <calculatedColumnFormula>I3/H3</calculatedColumnFormula>
    </tableColumn>
    <tableColumn id="11" xr3:uid="{667CE2AB-F9EF-4E4E-BE72-61D8FF4D5750}" name="4° SEMANA " dataDxfId="460">
      <calculatedColumnFormula>H3</calculatedColumnFormula>
    </tableColumn>
    <tableColumn id="12" xr3:uid="{FEBD419E-4587-451F-B1F2-BC05FECBAA91}" name="4° SEMANA" dataDxfId="459"/>
    <tableColumn id="13" xr3:uid="{41ECAA6D-D85C-461E-9F0F-068A4D6DC7A5}" name="4° SEMANA2" dataDxfId="458" dataCellStyle="Porcentagem">
      <calculatedColumnFormula>L3/K3</calculatedColumnFormula>
    </tableColumn>
    <tableColumn id="14" xr3:uid="{BBB5D3F4-EDB6-4BB5-913E-C501785006D3}" name="5° SEMANA " dataDxfId="457">
      <calculatedColumnFormula>K3</calculatedColumnFormula>
    </tableColumn>
    <tableColumn id="15" xr3:uid="{776B363F-529A-45F9-855E-D2E0518F4BAE}" name="5° SEMANA" dataDxfId="456"/>
    <tableColumn id="16" xr3:uid="{EF73C185-84CC-4E5A-9808-1FF091F7A1B5}" name="5° SEMANA2" dataDxfId="455" dataCellStyle="Porcentagem">
      <calculatedColumnFormula>O3/N3</calculatedColumnFormula>
    </tableColumn>
    <tableColumn id="17" xr3:uid="{B07F8E87-897F-4BA7-AB2A-819934106743}" name="ACUMULADO" dataDxfId="454"/>
    <tableColumn id="18" xr3:uid="{D530F930-2D25-4D23-8A86-C239D184147B}" name="ACUMULADO2" dataDxfId="453"/>
    <tableColumn id="19" xr3:uid="{ABFFB284-0357-4842-A628-E2BFDC666700}" name="ACUMULADO3" dataDxfId="452" dataCellStyle="Porcentagem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5F7560E-7700-42E9-925F-3FBD308124C8}" name="Tabela1242526" displayName="Tabela1242526" ref="A2:S24" totalsRowShown="0" headerRowDxfId="451" dataDxfId="449" headerRowBorderDxfId="450" tableBorderDxfId="448" totalsRowBorderDxfId="447">
  <autoFilter ref="A2:S24" xr:uid="{75F7560E-7700-42E9-925F-3FBD308124C8}"/>
  <tableColumns count="19">
    <tableColumn id="1" xr3:uid="{2FC596A6-EDEE-4163-A975-FCF95A623403}" name="LOJA 12" dataDxfId="446"/>
    <tableColumn id="2" xr3:uid="{93E9AEC6-4CC6-4886-B542-0A91B54CF042}" name="1° SEMANA " dataDxfId="445"/>
    <tableColumn id="3" xr3:uid="{D5F9704F-BE57-44AB-A5E3-F2F018AECEFF}" name="1° SEMANA" dataDxfId="444"/>
    <tableColumn id="4" xr3:uid="{0B0FB128-679A-4F0B-8149-3641244825BC}" name="1° SEMANA2" dataDxfId="443" dataCellStyle="Porcentagem">
      <calculatedColumnFormula>C3/B3</calculatedColumnFormula>
    </tableColumn>
    <tableColumn id="5" xr3:uid="{47A60097-8FE7-4CFB-BA38-93C1C78875FB}" name="2° SEMANA " dataDxfId="442">
      <calculatedColumnFormula>B3</calculatedColumnFormula>
    </tableColumn>
    <tableColumn id="6" xr3:uid="{96CCA26B-DDB6-4859-BB90-3C0F8D31F527}" name="2° SEMANA" dataDxfId="441"/>
    <tableColumn id="7" xr3:uid="{FA5D5888-91C6-4856-B107-F8548F992165}" name="2° SEMANA2" dataDxfId="440" dataCellStyle="Porcentagem">
      <calculatedColumnFormula>F3/E3</calculatedColumnFormula>
    </tableColumn>
    <tableColumn id="8" xr3:uid="{751FABA6-BF11-457B-9247-73B070005C02}" name="3° SEMANA " dataDxfId="439">
      <calculatedColumnFormula>E3</calculatedColumnFormula>
    </tableColumn>
    <tableColumn id="9" xr3:uid="{0BAA2785-FB20-4502-AB06-F17D69BC3682}" name="3° SEMANA" dataDxfId="438"/>
    <tableColumn id="10" xr3:uid="{42FD689E-D7AA-44A9-B21C-5962E80AD726}" name="3° SEMANA2" dataDxfId="437" dataCellStyle="Porcentagem">
      <calculatedColumnFormula>I3/H3</calculatedColumnFormula>
    </tableColumn>
    <tableColumn id="11" xr3:uid="{698A0628-C92C-44C1-AF79-670B1A2C1F1A}" name="4° SEMANA " dataDxfId="436">
      <calculatedColumnFormula>H3</calculatedColumnFormula>
    </tableColumn>
    <tableColumn id="12" xr3:uid="{65BFDC7A-013A-48C1-B80D-0B5A1636EF71}" name="4° SEMANA" dataDxfId="435"/>
    <tableColumn id="13" xr3:uid="{6765AB95-0336-44ED-B8C8-85796C003ACD}" name="4° SEMANA2" dataDxfId="434" dataCellStyle="Porcentagem">
      <calculatedColumnFormula>L3/K3</calculatedColumnFormula>
    </tableColumn>
    <tableColumn id="14" xr3:uid="{609F6DFA-1442-4597-8AA2-8E03A126F328}" name="5° SEMANA " dataDxfId="433">
      <calculatedColumnFormula>K3</calculatedColumnFormula>
    </tableColumn>
    <tableColumn id="15" xr3:uid="{7A73EBAC-F500-4955-B45B-623BC35F224A}" name="5° SEMANA" dataDxfId="432"/>
    <tableColumn id="16" xr3:uid="{F4C91299-D81B-4B97-A22F-7B08C4B9CC9E}" name="5° SEMANA2" dataDxfId="431" dataCellStyle="Porcentagem">
      <calculatedColumnFormula>O3/N3</calculatedColumnFormula>
    </tableColumn>
    <tableColumn id="17" xr3:uid="{DE576496-18DC-4F17-A952-B114966D375E}" name="ACUMULADO" dataDxfId="430"/>
    <tableColumn id="18" xr3:uid="{470136C9-5703-433F-BF68-A27BC0B633EB}" name="ACUMULADO2" dataDxfId="429"/>
    <tableColumn id="19" xr3:uid="{E69293C3-5C4C-4B11-94AC-33252AD6FA7B}" name="ACUMULADO3" dataDxfId="428" dataCellStyle="Porcentagem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3E57309-B3D8-4493-86BB-966F4F253E47}" name="Tabela124252627" displayName="Tabela124252627" ref="A2:S24" totalsRowShown="0" headerRowDxfId="427" dataDxfId="425" headerRowBorderDxfId="426" tableBorderDxfId="424" totalsRowBorderDxfId="423">
  <autoFilter ref="A2:S24" xr:uid="{D3E57309-B3D8-4493-86BB-966F4F253E47}"/>
  <tableColumns count="19">
    <tableColumn id="1" xr3:uid="{D600AB11-F0A7-4992-BA32-52A87A00F756}" name="LOJA 13" dataDxfId="422"/>
    <tableColumn id="2" xr3:uid="{67BFB918-2BC6-481A-840B-5A273A8F6327}" name="1° SEMANA " dataDxfId="421"/>
    <tableColumn id="3" xr3:uid="{A117AFB0-2284-4072-94FA-6109E980AB90}" name="1° SEMANA" dataDxfId="420"/>
    <tableColumn id="4" xr3:uid="{835A6383-A4E1-4A7F-8622-A31EA60731FD}" name="1° SEMANA2" dataDxfId="419" dataCellStyle="Porcentagem">
      <calculatedColumnFormula>C3/B3</calculatedColumnFormula>
    </tableColumn>
    <tableColumn id="5" xr3:uid="{BF5CB0CC-417A-49D6-9DCB-3A715393BBF4}" name="2° SEMANA " dataDxfId="418">
      <calculatedColumnFormula>B3</calculatedColumnFormula>
    </tableColumn>
    <tableColumn id="6" xr3:uid="{837CA69B-20E1-4499-8880-23116977BEF7}" name="2° SEMANA" dataDxfId="417"/>
    <tableColumn id="7" xr3:uid="{71C189F6-21BF-48DD-89A6-8585C35E6529}" name="2° SEMANA2" dataDxfId="416" dataCellStyle="Porcentagem">
      <calculatedColumnFormula>F3/E3</calculatedColumnFormula>
    </tableColumn>
    <tableColumn id="8" xr3:uid="{D3C77BF1-F438-4BE5-899E-A388043BCCC9}" name="3° SEMANA " dataDxfId="415">
      <calculatedColumnFormula>E3</calculatedColumnFormula>
    </tableColumn>
    <tableColumn id="9" xr3:uid="{FD09EA3F-DFC9-4576-AA54-FB92568696D6}" name="3° SEMANA" dataDxfId="414"/>
    <tableColumn id="10" xr3:uid="{C5E2E9B3-7DE2-40F9-B583-D86EC362E763}" name="3° SEMANA2" dataDxfId="413" dataCellStyle="Porcentagem">
      <calculatedColumnFormula>I3/H3</calculatedColumnFormula>
    </tableColumn>
    <tableColumn id="11" xr3:uid="{4570D2D3-6F7C-44C8-9E62-20BCDD9D2311}" name="4° SEMANA " dataDxfId="412">
      <calculatedColumnFormula>H3</calculatedColumnFormula>
    </tableColumn>
    <tableColumn id="12" xr3:uid="{B860EE85-9D16-4AE5-8B7E-F34B595A575B}" name="4° SEMANA" dataDxfId="411"/>
    <tableColumn id="13" xr3:uid="{0C4DBDD3-1E1D-4AB5-9EDB-52D3EDC54851}" name="4° SEMANA2" dataDxfId="410" dataCellStyle="Porcentagem">
      <calculatedColumnFormula>L3/K3</calculatedColumnFormula>
    </tableColumn>
    <tableColumn id="14" xr3:uid="{3DBF40CA-8AA3-41BB-9635-5FF61E52983F}" name="5° SEMANA " dataDxfId="409">
      <calculatedColumnFormula>K3</calculatedColumnFormula>
    </tableColumn>
    <tableColumn id="15" xr3:uid="{CD58EF5B-D443-4112-A7AF-54836D7A133D}" name="5° SEMANA" dataDxfId="408"/>
    <tableColumn id="16" xr3:uid="{98408EB0-8E9E-42BC-A79F-E3C922BF62F3}" name="5° SEMANA2" dataDxfId="407" dataCellStyle="Porcentagem">
      <calculatedColumnFormula>O3/N3</calculatedColumnFormula>
    </tableColumn>
    <tableColumn id="17" xr3:uid="{5DECD694-F293-4F27-A30D-6E17B361245C}" name="ACUMULADO" dataDxfId="406"/>
    <tableColumn id="18" xr3:uid="{3C40B005-C89B-4FA1-902F-82AED1C23BFF}" name="ACUMULADO2" dataDxfId="405"/>
    <tableColumn id="19" xr3:uid="{A9253296-E884-4218-929E-F4A4E81268C1}" name="ACUMULADO3" dataDxfId="404" dataCellStyle="Porcentagem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46B21C9-ADD5-4824-961B-11F28DF799EF}" name="Tabela12425262728" displayName="Tabela12425262728" ref="A2:S24" totalsRowShown="0" headerRowDxfId="403" dataDxfId="401" headerRowBorderDxfId="402" tableBorderDxfId="400" totalsRowBorderDxfId="399">
  <autoFilter ref="A2:S24" xr:uid="{346B21C9-ADD5-4824-961B-11F28DF799EF}"/>
  <tableColumns count="19">
    <tableColumn id="1" xr3:uid="{E4C76766-1F65-4BFF-971A-8A4B56428BFE}" name="LOJA 18" dataDxfId="398"/>
    <tableColumn id="2" xr3:uid="{F0F238B5-16F7-429A-95C8-09079F25EEAB}" name="1° SEMANA " dataDxfId="397"/>
    <tableColumn id="3" xr3:uid="{3FAE452A-5A52-401B-88B3-97DA014852AD}" name="1° SEMANA" dataDxfId="396"/>
    <tableColumn id="4" xr3:uid="{19E1A403-A0E2-4913-AF92-2EC50E1C5109}" name="1° SEMANA2" dataDxfId="395" dataCellStyle="Porcentagem">
      <calculatedColumnFormula>C3/B3</calculatedColumnFormula>
    </tableColumn>
    <tableColumn id="5" xr3:uid="{DDA4DE58-4463-4EE1-BBEE-A0E258866EE9}" name="2° SEMANA " dataDxfId="394">
      <calculatedColumnFormula>B3</calculatedColumnFormula>
    </tableColumn>
    <tableColumn id="6" xr3:uid="{88615ED2-1341-4B88-B69A-25A08F41B8EE}" name="2° SEMANA" dataDxfId="393"/>
    <tableColumn id="7" xr3:uid="{AFB25440-ABB8-44CC-963A-639595E5EAB2}" name="2° SEMANA2" dataDxfId="392" dataCellStyle="Porcentagem">
      <calculatedColumnFormula>F3/E3</calculatedColumnFormula>
    </tableColumn>
    <tableColumn id="8" xr3:uid="{195A820F-3427-4123-A45C-95B250EDE23D}" name="3° SEMANA " dataDxfId="391">
      <calculatedColumnFormula>E3</calculatedColumnFormula>
    </tableColumn>
    <tableColumn id="9" xr3:uid="{F9B85200-9062-402B-AE3D-651F059CFDF1}" name="3° SEMANA" dataDxfId="390"/>
    <tableColumn id="10" xr3:uid="{491769EE-1A98-4F84-8C79-D35D9BD76210}" name="3° SEMANA2" dataDxfId="389" dataCellStyle="Porcentagem">
      <calculatedColumnFormula>I3/H3</calculatedColumnFormula>
    </tableColumn>
    <tableColumn id="11" xr3:uid="{97E60E34-4CD8-4EE0-AA33-6FD44E962515}" name="4° SEMANA " dataDxfId="388">
      <calculatedColumnFormula>H3</calculatedColumnFormula>
    </tableColumn>
    <tableColumn id="12" xr3:uid="{6C084570-7BD3-4C4D-B1B9-A0B5A5D54010}" name="4° SEMANA" dataDxfId="387"/>
    <tableColumn id="13" xr3:uid="{736E603F-9642-4175-98D2-0802821976E8}" name="4° SEMANA2" dataDxfId="386" dataCellStyle="Porcentagem">
      <calculatedColumnFormula>L3/K3</calculatedColumnFormula>
    </tableColumn>
    <tableColumn id="14" xr3:uid="{82930227-A248-4DB4-BE99-B625F7804196}" name="5° SEMANA " dataDxfId="385">
      <calculatedColumnFormula>K3</calculatedColumnFormula>
    </tableColumn>
    <tableColumn id="15" xr3:uid="{35CADF6B-CE70-4285-81E0-FADA594FAA91}" name="5° SEMANA" dataDxfId="384"/>
    <tableColumn id="16" xr3:uid="{95712591-6287-4951-9833-0EED72DFDBE2}" name="5° SEMANA2" dataDxfId="383" dataCellStyle="Porcentagem">
      <calculatedColumnFormula>O3/N3</calculatedColumnFormula>
    </tableColumn>
    <tableColumn id="17" xr3:uid="{39AF0662-B7A8-4895-A670-A8D3282013C3}" name="ACUMULADO" dataDxfId="382"/>
    <tableColumn id="18" xr3:uid="{4A023561-5F8D-4CFB-B04B-E61AFCDC6FCD}" name="ACUMULADO2" dataDxfId="381"/>
    <tableColumn id="19" xr3:uid="{1A3B4300-0865-40AE-8442-955E7526C889}" name="ACUMULADO3" dataDxfId="380" dataCellStyle="Porcentagem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E1EBA855-6F8A-4666-A946-6E315AC8AFDE}" name="Tabela124252627282933343546" displayName="Tabela124252627282933343546" ref="A2:S25" totalsRowShown="0" headerRowDxfId="379" dataDxfId="377" headerRowBorderDxfId="378" tableBorderDxfId="376" totalsRowBorderDxfId="375">
  <autoFilter ref="A2:S25" xr:uid="{E1EBA855-6F8A-4666-A946-6E315AC8AFDE}"/>
  <tableColumns count="19">
    <tableColumn id="1" xr3:uid="{B08880B7-88F4-42DD-8B84-D08F462719AF}" name="LOJA QDB" dataDxfId="374"/>
    <tableColumn id="2" xr3:uid="{81B0A92D-9EC0-41C6-B3F7-EC2FB98E42E5}" name="1° SEMANA " dataDxfId="373"/>
    <tableColumn id="3" xr3:uid="{3695BFF3-F5D0-4D11-B361-55A0BA99BD95}" name="1° SEMANA" dataDxfId="372"/>
    <tableColumn id="4" xr3:uid="{18E8F21A-4FEE-4213-BBFC-7BE71130A846}" name="1° SEMANA2" dataDxfId="371" dataCellStyle="Porcentagem">
      <calculatedColumnFormula>C3/B3</calculatedColumnFormula>
    </tableColumn>
    <tableColumn id="5" xr3:uid="{F41456E2-7AD4-4039-85AC-393EF75E33FA}" name="2° SEMANA " dataDxfId="370">
      <calculatedColumnFormula>B3</calculatedColumnFormula>
    </tableColumn>
    <tableColumn id="6" xr3:uid="{AB3B0BB4-AA12-4714-98C1-0D81F2B65B9E}" name="2° SEMANA" dataDxfId="369"/>
    <tableColumn id="7" xr3:uid="{DBA41F02-10AD-47A7-81A8-B87B7ABE3F9F}" name="2° SEMANA2" dataDxfId="368" dataCellStyle="Porcentagem">
      <calculatedColumnFormula>F3/E3</calculatedColumnFormula>
    </tableColumn>
    <tableColumn id="8" xr3:uid="{7313FDCD-2FF6-472C-B1EB-E910D487C430}" name="3° SEMANA " dataDxfId="367">
      <calculatedColumnFormula>E3</calculatedColumnFormula>
    </tableColumn>
    <tableColumn id="9" xr3:uid="{6FEE10A4-FAA1-4D63-A22A-2349EB5C7C3C}" name="3° SEMANA" dataDxfId="366"/>
    <tableColumn id="10" xr3:uid="{6733D6A8-1E1C-4D57-B5E2-B57E980E98F9}" name="3° SEMANA2" dataDxfId="365" dataCellStyle="Porcentagem">
      <calculatedColumnFormula>I3/H3</calculatedColumnFormula>
    </tableColumn>
    <tableColumn id="11" xr3:uid="{62A400BB-B8C7-4335-87B4-A537E154F1FC}" name="4° SEMANA " dataDxfId="364">
      <calculatedColumnFormula>H3</calculatedColumnFormula>
    </tableColumn>
    <tableColumn id="12" xr3:uid="{CE31DF61-282A-494E-BE27-A2C70DEDD71E}" name="4° SEMANA" dataDxfId="363"/>
    <tableColumn id="13" xr3:uid="{5D2A1CB9-E9CD-4004-8458-DF6FBF77FD0B}" name="4° SEMANA2" dataDxfId="362" dataCellStyle="Porcentagem">
      <calculatedColumnFormula>L3/K3</calculatedColumnFormula>
    </tableColumn>
    <tableColumn id="14" xr3:uid="{D5E11F6F-9743-45A0-80B3-E56C8611ADB0}" name="5° SEMANA " dataDxfId="361">
      <calculatedColumnFormula>K3</calculatedColumnFormula>
    </tableColumn>
    <tableColumn id="15" xr3:uid="{8278CB37-579A-4688-8E24-CCE385938D4D}" name="5° SEMANA" dataDxfId="360"/>
    <tableColumn id="16" xr3:uid="{37D70147-6059-4270-A160-8B351D83E20F}" name="5° SEMANA2" dataDxfId="359" dataCellStyle="Porcentagem">
      <calculatedColumnFormula>O3/N3</calculatedColumnFormula>
    </tableColumn>
    <tableColumn id="17" xr3:uid="{CEEFB79E-4CF4-4EC4-8D76-21F7182A762B}" name="ACUMULADO" dataDxfId="358"/>
    <tableColumn id="18" xr3:uid="{DF1844B6-FE22-46AB-911D-1F88674BEACA}" name="ACUMULADO2" dataDxfId="357"/>
    <tableColumn id="19" xr3:uid="{3896E91C-5B83-41ED-86F2-EE90EF390948}" name="ACUMULADO3" dataDxfId="356" dataCellStyle="Porcentagem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2B0CAB8-AF34-4A70-A8F4-91D4BE7ADBC0}" name="Tabela22" displayName="Tabela22" ref="A3:I25" totalsRowShown="0" headerRowDxfId="355" dataDxfId="353" headerRowBorderDxfId="354" tableBorderDxfId="352" totalsRowBorderDxfId="351">
  <tableColumns count="9">
    <tableColumn id="1" xr3:uid="{3BADE787-6C11-483D-8618-BD1E9D03D04B}" name="NOME INDICADOR" dataDxfId="350"/>
    <tableColumn id="2" xr3:uid="{6DCDE53F-4A1E-4F68-8055-5ED4439A9B3B}" name="LOJA 05 - DESEMPENHO" dataDxfId="349" dataCellStyle="Porcentagem">
      <calculatedColumnFormula>'LOJA 05 SHOP S'!S4</calculatedColumnFormula>
    </tableColumn>
    <tableColumn id="3" xr3:uid="{F5540EA0-8B99-433E-9DE9-00851558EAD8}" name="LOJA 07 - DESEMPENHO" dataDxfId="348">
      <calculatedColumnFormula>'LOJA 07 SHOP S'!S4</calculatedColumnFormula>
    </tableColumn>
    <tableColumn id="4" xr3:uid="{F625C8B0-92A9-4D64-AA2C-00F4FF4B679A}" name="LOJA 09 - DESEMPENHO" dataDxfId="347" dataCellStyle="Porcentagem">
      <calculatedColumnFormula>'LOJA 09 SHOP S'!S4</calculatedColumnFormula>
    </tableColumn>
    <tableColumn id="5" xr3:uid="{37980E43-D708-4A2D-8BD8-B7CD69C7F845}" name="LOJA 10 - DESEMPENHO" dataDxfId="346" dataCellStyle="Porcentagem">
      <calculatedColumnFormula>'LOJA 10 SHOP S'!S4</calculatedColumnFormula>
    </tableColumn>
    <tableColumn id="6" xr3:uid="{77BEAD89-DCDB-4AE3-9E1B-D75F3682FA9E}" name="LOJA 12 - DESEMPENHO" dataDxfId="345" dataCellStyle="Porcentagem">
      <calculatedColumnFormula>'LOJA 12 SHOP S'!S4</calculatedColumnFormula>
    </tableColumn>
    <tableColumn id="7" xr3:uid="{D67358CE-7D5E-472C-A90A-3CEB6709063A}" name="LOJA 13 - DESEMPENHO" dataDxfId="344" dataCellStyle="Porcentagem">
      <calculatedColumnFormula>'LOJA 13 SHOP S'!S4</calculatedColumnFormula>
    </tableColumn>
    <tableColumn id="8" xr3:uid="{77D99CF7-7075-4987-B953-B2AD4CE72952}" name="LOJA 18 - DESEMPENHO" dataDxfId="343" dataCellStyle="Porcentagem">
      <calculatedColumnFormula>'LOJA 18 SHOP S'!S4</calculatedColumnFormula>
    </tableColumn>
    <tableColumn id="9" xr3:uid="{F4F4780E-C7C4-4B84-8CD2-70895F15954C}" name="QDB - DESEMPENHO" dataDxfId="342">
      <calculatedColumnFormula>'LOJA QDB SHOP S'!S4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9F488-BD73-4031-A48B-7A0CB04182E4}">
  <dimension ref="A1:O38"/>
  <sheetViews>
    <sheetView showGridLines="0" zoomScale="85" zoomScaleNormal="85" workbookViewId="0">
      <selection activeCell="L32" sqref="L32"/>
    </sheetView>
  </sheetViews>
  <sheetFormatPr defaultColWidth="9.140625" defaultRowHeight="15" x14ac:dyDescent="0.25"/>
  <cols>
    <col min="1" max="1" width="9.140625" style="95" customWidth="1"/>
    <col min="2" max="3" width="9.140625" style="96" customWidth="1"/>
    <col min="4" max="4" width="14.42578125" style="96" customWidth="1"/>
    <col min="5" max="5" width="13.42578125" style="96" customWidth="1"/>
    <col min="6" max="6" width="15.7109375" style="96" customWidth="1"/>
    <col min="7" max="9" width="9.140625" style="96" customWidth="1"/>
    <col min="10" max="10" width="13.5703125" style="96" customWidth="1"/>
    <col min="11" max="16" width="9.140625" style="96" customWidth="1"/>
    <col min="17" max="17" width="9.140625" style="96"/>
    <col min="18" max="18" width="16.85546875" style="96" customWidth="1"/>
    <col min="19" max="19" width="9.140625" style="96"/>
    <col min="20" max="22" width="9.140625" style="96" customWidth="1"/>
    <col min="23" max="23" width="12.5703125" style="96" customWidth="1"/>
    <col min="24" max="25" width="9.140625" style="96"/>
    <col min="26" max="26" width="18.28515625" style="96" customWidth="1"/>
    <col min="27" max="27" width="9.140625" style="96"/>
    <col min="28" max="28" width="16.85546875" style="96" customWidth="1"/>
    <col min="29" max="16384" width="9.140625" style="96"/>
  </cols>
  <sheetData>
    <row r="1" spans="1:15" ht="15.75" thickBot="1" x14ac:dyDescent="0.3"/>
    <row r="2" spans="1:15" ht="34.5" thickBot="1" x14ac:dyDescent="0.3">
      <c r="A2" s="96"/>
      <c r="B2" s="106" t="s">
        <v>0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8"/>
    </row>
    <row r="3" spans="1:15" x14ac:dyDescent="0.25"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</row>
    <row r="4" spans="1:15" x14ac:dyDescent="0.25"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</row>
    <row r="5" spans="1:15" x14ac:dyDescent="0.25"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</row>
    <row r="6" spans="1:15" x14ac:dyDescent="0.25"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</row>
    <row r="7" spans="1:15" x14ac:dyDescent="0.25"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</row>
    <row r="8" spans="1:15" x14ac:dyDescent="0.25"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8"/>
    </row>
    <row r="9" spans="1:15" x14ac:dyDescent="0.25"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</row>
    <row r="10" spans="1:15" x14ac:dyDescent="0.25"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</row>
    <row r="11" spans="1:15" x14ac:dyDescent="0.25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</row>
    <row r="12" spans="1:15" x14ac:dyDescent="0.25"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</row>
    <row r="13" spans="1:15" x14ac:dyDescent="0.25"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</row>
    <row r="14" spans="1:15" x14ac:dyDescent="0.25"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</row>
    <row r="15" spans="1:15" x14ac:dyDescent="0.25"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</row>
    <row r="16" spans="1:15" x14ac:dyDescent="0.25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</row>
    <row r="17" spans="2:14" x14ac:dyDescent="0.25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</row>
    <row r="18" spans="2:14" x14ac:dyDescent="0.25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</row>
    <row r="19" spans="2:14" x14ac:dyDescent="0.25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</row>
    <row r="20" spans="2:14" x14ac:dyDescent="0.25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</row>
    <row r="21" spans="2:14" x14ac:dyDescent="0.25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</row>
    <row r="22" spans="2:14" x14ac:dyDescent="0.25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</row>
    <row r="23" spans="2:14" x14ac:dyDescent="0.25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</row>
    <row r="24" spans="2:14" x14ac:dyDescent="0.25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</row>
    <row r="25" spans="2:14" x14ac:dyDescent="0.25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</row>
    <row r="26" spans="2:14" x14ac:dyDescent="0.25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</row>
    <row r="27" spans="2:14" x14ac:dyDescent="0.25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</row>
    <row r="28" spans="2:14" x14ac:dyDescent="0.25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</row>
    <row r="29" spans="2:14" x14ac:dyDescent="0.25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</row>
    <row r="30" spans="2:14" x14ac:dyDescent="0.25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</row>
    <row r="31" spans="2:14" x14ac:dyDescent="0.25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</row>
    <row r="32" spans="2:14" x14ac:dyDescent="0.25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</row>
    <row r="33" spans="2:14" x14ac:dyDescent="0.25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</row>
    <row r="34" spans="2:14" x14ac:dyDescent="0.25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</row>
    <row r="35" spans="2:14" x14ac:dyDescent="0.25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</row>
    <row r="36" spans="2:14" x14ac:dyDescent="0.25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</row>
    <row r="37" spans="2:14" x14ac:dyDescent="0.25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</row>
    <row r="38" spans="2:14" x14ac:dyDescent="0.25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</row>
  </sheetData>
  <mergeCells count="1">
    <mergeCell ref="B2:N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529B-C45D-4F0F-A1D7-686E591D9FB2}">
  <sheetPr>
    <tabColor rgb="FF92D050"/>
  </sheetPr>
  <dimension ref="A1:AA25"/>
  <sheetViews>
    <sheetView zoomScale="85" zoomScaleNormal="85" workbookViewId="0">
      <selection activeCell="I21" sqref="I21"/>
    </sheetView>
  </sheetViews>
  <sheetFormatPr defaultColWidth="31.5703125" defaultRowHeight="15.75" x14ac:dyDescent="0.25"/>
  <cols>
    <col min="1" max="1" width="42.5703125" style="88" customWidth="1"/>
    <col min="2" max="2" width="19.5703125" style="33" customWidth="1"/>
    <col min="3" max="3" width="18.28515625" style="33" customWidth="1"/>
    <col min="4" max="4" width="14.42578125" style="33" customWidth="1"/>
    <col min="5" max="6" width="18.7109375" style="33" customWidth="1"/>
    <col min="7" max="7" width="19.28515625" style="33" customWidth="1"/>
    <col min="8" max="8" width="20" style="33" customWidth="1"/>
    <col min="9" max="9" width="15.28515625" style="33" customWidth="1"/>
    <col min="10" max="10" width="13.5703125" style="33" customWidth="1"/>
    <col min="11" max="17" width="25.140625" style="33" customWidth="1"/>
    <col min="18" max="18" width="16.85546875" style="33" customWidth="1"/>
    <col min="19" max="22" width="25.140625" style="33" customWidth="1"/>
    <col min="23" max="23" width="12.5703125" style="33" customWidth="1"/>
    <col min="24" max="16384" width="31.5703125" style="33"/>
  </cols>
  <sheetData>
    <row r="1" spans="1:27" s="80" customFormat="1" x14ac:dyDescent="0.25">
      <c r="A1" s="87"/>
    </row>
    <row r="2" spans="1:27" x14ac:dyDescent="0.25">
      <c r="A2" s="33"/>
    </row>
    <row r="3" spans="1:27" s="34" customFormat="1" ht="45.75" customHeight="1" x14ac:dyDescent="0.25">
      <c r="A3" s="102" t="s">
        <v>77</v>
      </c>
      <c r="B3" s="31" t="s">
        <v>78</v>
      </c>
      <c r="C3" s="31" t="s">
        <v>79</v>
      </c>
      <c r="D3" s="31" t="s">
        <v>80</v>
      </c>
      <c r="E3" s="31" t="s">
        <v>81</v>
      </c>
      <c r="F3" s="31" t="s">
        <v>82</v>
      </c>
      <c r="G3" s="31" t="s">
        <v>83</v>
      </c>
      <c r="H3" s="31" t="s">
        <v>84</v>
      </c>
      <c r="I3" s="32" t="s">
        <v>85</v>
      </c>
      <c r="K3" s="35" t="s">
        <v>86</v>
      </c>
      <c r="L3" s="94" t="s">
        <v>87</v>
      </c>
      <c r="M3" s="36" t="s">
        <v>88</v>
      </c>
      <c r="N3" s="37" t="s">
        <v>89</v>
      </c>
      <c r="O3" s="38" t="s">
        <v>90</v>
      </c>
      <c r="Z3" s="34">
        <f>[1]RECEITA!$AF$10</f>
        <v>234473.04</v>
      </c>
      <c r="AA3" s="34">
        <f>R4</f>
        <v>0</v>
      </c>
    </row>
    <row r="4" spans="1:27" x14ac:dyDescent="0.25">
      <c r="A4" s="30" t="s">
        <v>91</v>
      </c>
      <c r="B4" s="4">
        <f>'LOJA 05 SHOP S'!S4</f>
        <v>0.93316037528237783</v>
      </c>
      <c r="C4" s="81">
        <f>'LOJA 07 SHOP S'!S4</f>
        <v>0.90160838246380726</v>
      </c>
      <c r="D4" s="4">
        <f>'LOJA 09 SHOP S'!S4</f>
        <v>0.88109523566078296</v>
      </c>
      <c r="E4" s="3">
        <f>'LOJA 10 SHOP S'!S4</f>
        <v>0.96850618563953372</v>
      </c>
      <c r="F4" s="3">
        <f>'LOJA 12 SHOP S'!S4</f>
        <v>1.1065135992126363</v>
      </c>
      <c r="G4" s="4">
        <f>'LOJA 13 SHOP S'!S4</f>
        <v>1.0394222391890791</v>
      </c>
      <c r="H4" s="4">
        <f>'LOJA 18 SHOP S'!S4</f>
        <v>0.94569838013153085</v>
      </c>
      <c r="I4" s="4">
        <f>'LOJA QDB SHOP S'!S4</f>
        <v>0.77672213987661765</v>
      </c>
      <c r="Z4" s="33" t="e">
        <f>Z3/Z5</f>
        <v>#DIV/0!</v>
      </c>
    </row>
    <row r="5" spans="1:27" x14ac:dyDescent="0.25">
      <c r="A5" s="30" t="s">
        <v>92</v>
      </c>
      <c r="B5" s="4">
        <f>'LOJA 05 SHOP S'!S5</f>
        <v>1.1001613189961708</v>
      </c>
      <c r="C5" s="81">
        <f>'LOJA 07 SHOP S'!S5</f>
        <v>1.0521079840563787</v>
      </c>
      <c r="D5" s="4">
        <f>'LOJA 09 SHOP S'!S5</f>
        <v>0.9280316766090162</v>
      </c>
      <c r="E5" s="3">
        <f>'LOJA 10 SHOP S'!S5</f>
        <v>1.071005938298919</v>
      </c>
      <c r="F5" s="3">
        <f>'LOJA 12 SHOP S'!S5</f>
        <v>1.0067902556861501</v>
      </c>
      <c r="G5" s="4">
        <f>'LOJA 13 SHOP S'!S5</f>
        <v>1.0420536878958868</v>
      </c>
      <c r="H5" s="4">
        <f>'LOJA 18 SHOP S'!S5</f>
        <v>1.1856100635867275</v>
      </c>
      <c r="I5" s="4">
        <f>'LOJA QDB SHOP S'!S5</f>
        <v>1.1355213970285776</v>
      </c>
    </row>
    <row r="6" spans="1:27" x14ac:dyDescent="0.25">
      <c r="A6" s="30" t="s">
        <v>93</v>
      </c>
      <c r="B6" s="4">
        <f>'LOJA 05 SHOP S'!S6</f>
        <v>1.0609873589131917</v>
      </c>
      <c r="C6" s="81">
        <f>'LOJA 07 SHOP S'!S6</f>
        <v>1.0231619003242278</v>
      </c>
      <c r="D6" s="4">
        <f>'LOJA 09 SHOP S'!S6</f>
        <v>0.81259812133278364</v>
      </c>
      <c r="E6" s="3">
        <f>'LOJA 10 SHOP S'!S6</f>
        <v>0.99858678261851164</v>
      </c>
      <c r="F6" s="3">
        <f>'LOJA 12 SHOP S'!S6</f>
        <v>0.98831545549042987</v>
      </c>
      <c r="G6" s="4">
        <f>'LOJA 13 SHOP S'!S6</f>
        <v>0.94031096096707234</v>
      </c>
      <c r="H6" s="4">
        <f>'LOJA 18 SHOP S'!S6</f>
        <v>1.2331694526384791</v>
      </c>
      <c r="I6" s="4">
        <f>'LOJA QDB SHOP S'!S6</f>
        <v>0.93296674522126199</v>
      </c>
    </row>
    <row r="7" spans="1:27" x14ac:dyDescent="0.25">
      <c r="A7" s="30" t="s">
        <v>94</v>
      </c>
      <c r="B7" s="4">
        <f>'LOJA 05 SHOP S'!S7</f>
        <v>1.0368258112681057</v>
      </c>
      <c r="C7" s="81">
        <f>'LOJA 07 SHOP S'!S7</f>
        <v>1.028204847188654</v>
      </c>
      <c r="D7" s="4">
        <f>'LOJA 09 SHOP S'!S7</f>
        <v>1.1421795607746101</v>
      </c>
      <c r="E7" s="3">
        <f>'LOJA 10 SHOP S'!S7</f>
        <v>1.0724269288627559</v>
      </c>
      <c r="F7" s="3">
        <f>'LOJA 12 SHOP S'!S7</f>
        <v>1.0185911224514685</v>
      </c>
      <c r="G7" s="4">
        <f>'LOJA 13 SHOP S'!S7</f>
        <v>1.108185337759511</v>
      </c>
      <c r="H7" s="4">
        <f>'LOJA 18 SHOP S'!S7</f>
        <v>0.96129021288571448</v>
      </c>
      <c r="I7" s="4">
        <f>'LOJA QDB SHOP S'!S7</f>
        <v>1.2168922805496449</v>
      </c>
    </row>
    <row r="8" spans="1:27" x14ac:dyDescent="0.25">
      <c r="A8" s="30" t="s">
        <v>95</v>
      </c>
      <c r="B8" s="4">
        <f>'LOJA 05 SHOP S'!S8</f>
        <v>0.84820322180916974</v>
      </c>
      <c r="C8" s="81">
        <f>'LOJA 07 SHOP S'!S8</f>
        <v>0.85695422535211296</v>
      </c>
      <c r="D8" s="4">
        <f>'LOJA 09 SHOP S'!S8</f>
        <v>0.94942366501999509</v>
      </c>
      <c r="E8" s="3">
        <f>'LOJA 10 SHOP S'!S8</f>
        <v>0.90429581294181616</v>
      </c>
      <c r="F8" s="3">
        <f>'LOJA 12 SHOP S'!S8</f>
        <v>1.099050763516302</v>
      </c>
      <c r="G8" s="4">
        <f>'LOJA 13 SHOP S'!S8</f>
        <v>0.99747474747474751</v>
      </c>
      <c r="H8" s="4">
        <f>'LOJA 18 SHOP S'!S8</f>
        <v>0.79764705882352938</v>
      </c>
      <c r="I8" s="4">
        <f>'LOJA QDB SHOP S'!S8</f>
        <v>0.68402246043899939</v>
      </c>
    </row>
    <row r="9" spans="1:27" x14ac:dyDescent="0.25">
      <c r="A9" s="30" t="s">
        <v>96</v>
      </c>
      <c r="B9" s="4">
        <f>'LOJA 05 SHOP S'!S9</f>
        <v>1.6647058823529408</v>
      </c>
      <c r="C9" s="81">
        <f>'LOJA 07 SHOP S'!S9</f>
        <v>1.2676470588235293</v>
      </c>
      <c r="D9" s="4">
        <f>'LOJA 09 SHOP S'!S9</f>
        <v>1.6823529411764704</v>
      </c>
      <c r="E9" s="3">
        <f>'LOJA 10 SHOP S'!S9</f>
        <v>1.1941176470588235</v>
      </c>
      <c r="F9" s="3">
        <f>'LOJA 12 SHOP S'!S9</f>
        <v>0.85588235294117632</v>
      </c>
      <c r="G9" s="4">
        <f>'LOJA 13 SHOP S'!S9</f>
        <v>0.95</v>
      </c>
      <c r="H9" s="4">
        <f>'LOJA 18 SHOP S'!S9</f>
        <v>0.91764705882352937</v>
      </c>
      <c r="I9" s="82">
        <f>'LOJA QDB SHOP S'!S9</f>
        <v>1.0676470588235294</v>
      </c>
    </row>
    <row r="10" spans="1:27" x14ac:dyDescent="0.25">
      <c r="A10" s="30" t="s">
        <v>97</v>
      </c>
      <c r="B10" s="4">
        <f>'LOJA 05 SHOP S'!S10</f>
        <v>0.9892045454545455</v>
      </c>
      <c r="C10" s="81">
        <f>'LOJA 07 SHOP S'!S10</f>
        <v>1.0431818181818182</v>
      </c>
      <c r="D10" s="4">
        <f>'LOJA 09 SHOP S'!S10</f>
        <v>1.022159090909091</v>
      </c>
      <c r="E10" s="3">
        <f>'LOJA 10 SHOP S'!S10</f>
        <v>1.0609090909090908</v>
      </c>
      <c r="F10" s="3">
        <f>'LOJA 12 SHOP S'!S10</f>
        <v>1.0439772727272727</v>
      </c>
      <c r="G10" s="4">
        <f>'LOJA 13 SHOP S'!S10</f>
        <v>1.0315909090909092</v>
      </c>
      <c r="H10" s="4">
        <f>'LOJA 18 SHOP S'!S10</f>
        <v>1.0365909090909091</v>
      </c>
      <c r="I10" s="4">
        <f>'LOJA QDB SHOP S'!S10</f>
        <v>0.74488636363636362</v>
      </c>
    </row>
    <row r="11" spans="1:27" x14ac:dyDescent="0.25">
      <c r="A11" s="30" t="s">
        <v>98</v>
      </c>
      <c r="B11" s="4">
        <f>'LOJA 05 SHOP S'!S11</f>
        <v>1.0675555555555556</v>
      </c>
      <c r="C11" s="81">
        <f>'LOJA 07 SHOP S'!S11</f>
        <v>1.3444444444444443</v>
      </c>
      <c r="D11" s="4">
        <f>'LOJA 09 SHOP S'!S11</f>
        <v>1.2835555555555556</v>
      </c>
      <c r="E11" s="3">
        <f>'LOJA 10 SHOP S'!S11</f>
        <v>1.4124444444444446</v>
      </c>
      <c r="F11" s="3">
        <f>'LOJA 12 SHOP S'!S11</f>
        <v>1.1735555555555555</v>
      </c>
      <c r="G11" s="4">
        <f>'LOJA 13 SHOP S'!S11</f>
        <v>1.1382222222222222</v>
      </c>
      <c r="H11" s="4">
        <f>'LOJA 18 SHOP S'!S11</f>
        <v>1.3302222222222222</v>
      </c>
      <c r="I11" s="4">
        <f>'LOJA QDB SHOP S'!S11</f>
        <v>0.5788888888888889</v>
      </c>
    </row>
    <row r="12" spans="1:27" x14ac:dyDescent="0.25">
      <c r="A12" s="30" t="s">
        <v>99</v>
      </c>
      <c r="B12" s="4">
        <f>'LOJA 05 SHOP S'!S12</f>
        <v>2.2882352941176469</v>
      </c>
      <c r="C12" s="81">
        <f>'LOJA 07 SHOP S'!S12</f>
        <v>1.664705882352941</v>
      </c>
      <c r="D12" s="4">
        <f>'LOJA 09 SHOP S'!S12</f>
        <v>1.5588235294117645</v>
      </c>
      <c r="E12" s="3">
        <f>'LOJA 10 SHOP S'!S12</f>
        <v>1.3470588235294116</v>
      </c>
      <c r="F12" s="3">
        <f>'LOJA 12 SHOP S'!S12</f>
        <v>1.6176470588235292</v>
      </c>
      <c r="G12" s="4">
        <f>'LOJA 13 SHOP S'!S12</f>
        <v>1.3176470588235294</v>
      </c>
      <c r="H12" s="4">
        <f>'LOJA 18 SHOP S'!S12</f>
        <v>1.6470588235294117</v>
      </c>
      <c r="I12" s="4">
        <f>'LOJA QDB SHOP S'!S12</f>
        <v>1.8294117647058821</v>
      </c>
    </row>
    <row r="13" spans="1:27" x14ac:dyDescent="0.25">
      <c r="A13" s="30" t="s">
        <v>100</v>
      </c>
      <c r="B13" s="4">
        <f>'LOJA 05 SHOP S'!S13</f>
        <v>1.0348148148148146</v>
      </c>
      <c r="C13" s="81">
        <f>'LOJA 07 SHOP S'!S13</f>
        <v>1.1892592592592592</v>
      </c>
      <c r="D13" s="4">
        <f>'LOJA 09 SHOP S'!S13</f>
        <v>1.0944444444444443</v>
      </c>
      <c r="E13" s="3">
        <f>'LOJA 10 SHOP S'!S13</f>
        <v>1.008148148148148</v>
      </c>
      <c r="F13" s="3">
        <f>'LOJA 12 SHOP S'!S13</f>
        <v>1.005185185185185</v>
      </c>
      <c r="G13" s="4">
        <f>'LOJA 13 SHOP S'!S13</f>
        <v>0.91703703703703687</v>
      </c>
      <c r="H13" s="4">
        <f>'LOJA 18 SHOP S'!S13</f>
        <v>1.3403703703703702</v>
      </c>
      <c r="I13" s="4">
        <f>'LOJA QDB SHOP S'!S13</f>
        <v>1.252</v>
      </c>
      <c r="J13" s="39"/>
    </row>
    <row r="14" spans="1:27" x14ac:dyDescent="0.25">
      <c r="A14" s="30" t="s">
        <v>101</v>
      </c>
      <c r="B14" s="4">
        <f>'LOJA 05 SHOP S'!S14</f>
        <v>1.34</v>
      </c>
      <c r="C14" s="81">
        <f>'LOJA 07 SHOP S'!S14</f>
        <v>1.3168181818181819</v>
      </c>
      <c r="D14" s="4">
        <f>'LOJA 09 SHOP S'!S14</f>
        <v>1.2222727272727272</v>
      </c>
      <c r="E14" s="3">
        <f>'LOJA 10 SHOP S'!S14</f>
        <v>1.397272727272727</v>
      </c>
      <c r="F14" s="3">
        <f>'LOJA 12 SHOP S'!S14</f>
        <v>1.0890909090909089</v>
      </c>
      <c r="G14" s="4">
        <f>'LOJA 13 SHOP S'!S14</f>
        <v>1.1909090909090909</v>
      </c>
      <c r="H14" s="4">
        <f>'LOJA 18 SHOP S'!S14</f>
        <v>1.2681818181818183</v>
      </c>
      <c r="I14" s="4">
        <f>'LOJA QDB SHOP S'!S14</f>
        <v>1.0581818181818181</v>
      </c>
    </row>
    <row r="15" spans="1:27" x14ac:dyDescent="0.25">
      <c r="A15" s="30" t="s">
        <v>102</v>
      </c>
      <c r="B15" s="4">
        <f>'LOJA 05 SHOP S'!S15</f>
        <v>1.1645000000000003</v>
      </c>
      <c r="C15" s="81">
        <f>'LOJA 07 SHOP S'!S15</f>
        <v>1.3493333333333333</v>
      </c>
      <c r="D15" s="4">
        <f>'LOJA 09 SHOP S'!S15</f>
        <v>1.3443333333333334</v>
      </c>
      <c r="E15" s="3">
        <f>'LOJA 10 SHOP S'!S15</f>
        <v>1.4186666666666667</v>
      </c>
      <c r="F15" s="3">
        <f>'LOJA 12 SHOP S'!S15</f>
        <v>1.3928333333333331</v>
      </c>
      <c r="G15" s="4">
        <f>'LOJA 13 SHOP S'!S15</f>
        <v>1.1375</v>
      </c>
      <c r="H15" s="4">
        <f>'LOJA 18 SHOP S'!S15</f>
        <v>1.0495000000000001</v>
      </c>
      <c r="I15" s="4">
        <f>'LOJA QDB SHOP S'!S15</f>
        <v>0.82733333333333337</v>
      </c>
      <c r="J15" s="39"/>
    </row>
    <row r="16" spans="1:27" x14ac:dyDescent="0.25">
      <c r="A16" s="30" t="s">
        <v>103</v>
      </c>
      <c r="B16" s="4">
        <f>'LOJA 05 SHOP S'!S16</f>
        <v>1.0204081632653061</v>
      </c>
      <c r="C16" s="81">
        <f>'LOJA 07 SHOP S'!S16</f>
        <v>1.0204081632653061</v>
      </c>
      <c r="D16" s="4">
        <f>'LOJA 09 SHOP S'!S16</f>
        <v>1.0204081632653061</v>
      </c>
      <c r="E16" s="3">
        <f>'LOJA 10 SHOP S'!S16</f>
        <v>1.0204081632653061</v>
      </c>
      <c r="F16" s="3">
        <f>'LOJA 12 SHOP S'!S16</f>
        <v>1.0204081632653061</v>
      </c>
      <c r="G16" s="4">
        <f>'LOJA 13 SHOP S'!S16</f>
        <v>1.0204081632653061</v>
      </c>
      <c r="H16" s="4">
        <f>'LOJA 18 SHOP S'!S16</f>
        <v>1.0140702243630371</v>
      </c>
      <c r="I16" s="4">
        <f>'LOJA QDB SHOP S'!S16</f>
        <v>1.0204081632653061</v>
      </c>
    </row>
    <row r="17" spans="1:9" x14ac:dyDescent="0.25">
      <c r="A17" s="30" t="s">
        <v>104</v>
      </c>
      <c r="B17" s="4">
        <f>'LOJA 05 SHOP S'!S17</f>
        <v>2.9230769230769229</v>
      </c>
      <c r="C17" s="81">
        <f>'LOJA 07 SHOP S'!S17</f>
        <v>3.3076923076923075</v>
      </c>
      <c r="D17" s="4">
        <f>'LOJA 09 SHOP S'!S17</f>
        <v>2.2307692307692308</v>
      </c>
      <c r="E17" s="3">
        <f>'LOJA 10 SHOP S'!S17</f>
        <v>2.3076923076923075</v>
      </c>
      <c r="F17" s="3">
        <f>'LOJA 12 SHOP S'!S17</f>
        <v>5.5384615384615383</v>
      </c>
      <c r="G17" s="4">
        <f>'LOJA 13 SHOP S'!S17</f>
        <v>2.3076923076923075</v>
      </c>
      <c r="H17" s="4">
        <f>'LOJA 18 SHOP S'!S17</f>
        <v>1.8461538461538463</v>
      </c>
      <c r="I17" s="4">
        <f>'LOJA QDB SHOP S'!S17</f>
        <v>1.3846153846153846</v>
      </c>
    </row>
    <row r="18" spans="1:9" x14ac:dyDescent="0.25">
      <c r="A18" s="30" t="s">
        <v>105</v>
      </c>
      <c r="B18" s="4">
        <f>'LOJA 05 SHOP S'!S18</f>
        <v>0</v>
      </c>
      <c r="C18" s="81">
        <f>'LOJA 07 SHOP S'!S18</f>
        <v>0</v>
      </c>
      <c r="D18" s="4">
        <f>'LOJA 09 SHOP S'!S18</f>
        <v>0</v>
      </c>
      <c r="E18" s="3">
        <f>'LOJA 10 SHOP S'!S18</f>
        <v>0</v>
      </c>
      <c r="F18" s="3">
        <f>'LOJA 12 SHOP S'!S18</f>
        <v>0</v>
      </c>
      <c r="G18" s="4">
        <f>'LOJA 13 SHOP S'!S18</f>
        <v>0</v>
      </c>
      <c r="H18" s="4">
        <f>'LOJA 18 SHOP S'!S18</f>
        <v>0</v>
      </c>
      <c r="I18" s="4">
        <f>'LOJA QDB SHOP S'!S18</f>
        <v>0</v>
      </c>
    </row>
    <row r="19" spans="1:9" x14ac:dyDescent="0.25">
      <c r="A19" s="30" t="s">
        <v>106</v>
      </c>
      <c r="B19" s="4">
        <f>'LOJA 05 SHOP S'!S19</f>
        <v>1.1213704994192799</v>
      </c>
      <c r="C19" s="81">
        <f>'LOJA 07 SHOP S'!S19</f>
        <v>1.0519163763066202</v>
      </c>
      <c r="D19" s="4">
        <f>'LOJA 09 SHOP S'!S19</f>
        <v>1.078513356562137</v>
      </c>
      <c r="E19" s="3">
        <f>'LOJA 10 SHOP S'!S19</f>
        <v>1.1094076655052265</v>
      </c>
      <c r="F19" s="3">
        <f>'LOJA 12 SHOP S'!S19</f>
        <v>0.97444831591173053</v>
      </c>
      <c r="G19" s="4">
        <f>'LOJA 13 SHOP S'!S19</f>
        <v>1.0358885017421604</v>
      </c>
      <c r="H19" s="4">
        <f>'LOJA 18 SHOP S'!S19</f>
        <v>1.0903600464576073</v>
      </c>
      <c r="I19" s="4">
        <f>'LOJA QDB SHOP S'!S19</f>
        <v>0.88106852497096411</v>
      </c>
    </row>
    <row r="20" spans="1:9" x14ac:dyDescent="0.25">
      <c r="A20" s="30" t="s">
        <v>107</v>
      </c>
      <c r="B20" s="4">
        <f>'LOJA 05 SHOP S'!S20</f>
        <v>0.94284210526315793</v>
      </c>
      <c r="C20" s="81">
        <f>'LOJA 07 SHOP S'!S20</f>
        <v>0</v>
      </c>
      <c r="D20" s="4">
        <f>'LOJA 09 SHOP S'!S20</f>
        <v>0.94105263157894747</v>
      </c>
      <c r="E20" s="3">
        <f>'LOJA 10 SHOP S'!S20</f>
        <v>0.9462105263157895</v>
      </c>
      <c r="F20" s="3">
        <f>'LOJA 12 SHOP S'!S20</f>
        <v>0.93926315789473702</v>
      </c>
      <c r="G20" s="4">
        <f>'LOJA 13 SHOP S'!S20</f>
        <v>0.93989473684210534</v>
      </c>
      <c r="H20" s="4">
        <f>'LOJA 18 SHOP S'!S20</f>
        <v>0.9442105263157895</v>
      </c>
      <c r="I20" s="4">
        <f>'LOJA QDB SHOP S'!S20</f>
        <v>0.94894736842105276</v>
      </c>
    </row>
    <row r="21" spans="1:9" ht="31.5" x14ac:dyDescent="0.25">
      <c r="A21" s="30" t="s">
        <v>108</v>
      </c>
      <c r="B21" s="4" t="s">
        <v>109</v>
      </c>
      <c r="C21" s="81" t="s">
        <v>109</v>
      </c>
      <c r="D21" s="4" t="s">
        <v>109</v>
      </c>
      <c r="E21" s="4" t="s">
        <v>109</v>
      </c>
      <c r="F21" s="4" t="s">
        <v>109</v>
      </c>
      <c r="G21" s="4" t="s">
        <v>109</v>
      </c>
      <c r="H21" s="4" t="s">
        <v>109</v>
      </c>
      <c r="I21" s="4">
        <f>'LOJA QDB SHOP S'!S21</f>
        <v>1.0443864229765012</v>
      </c>
    </row>
    <row r="22" spans="1:9" x14ac:dyDescent="0.25">
      <c r="A22" s="30" t="s">
        <v>110</v>
      </c>
      <c r="B22" s="4">
        <f>'LOJA 05 SHOP S'!S21</f>
        <v>1.0976890756302522</v>
      </c>
      <c r="C22" s="81">
        <f>'LOJA 07 SHOP S'!S21</f>
        <v>1.0623353819139596</v>
      </c>
      <c r="D22" s="4">
        <f>'LOJA 09 SHOP S'!S21</f>
        <v>1.1523625843780136</v>
      </c>
      <c r="E22" s="3">
        <f>'LOJA 10 SHOP S'!S21</f>
        <v>1.1463046757164403</v>
      </c>
      <c r="F22" s="3">
        <f>'LOJA 12 SHOP S'!S21</f>
        <v>1.0194976867151355</v>
      </c>
      <c r="G22" s="4">
        <f>'LOJA 13 SHOP S'!S21</f>
        <v>1.0595776772247361</v>
      </c>
      <c r="H22" s="4">
        <f>'LOJA 18 SHOP S'!S21</f>
        <v>1.1449579831932772</v>
      </c>
      <c r="I22" s="4">
        <f>'LOJA QDB SHOP S'!S22</f>
        <v>1.1510588235294119</v>
      </c>
    </row>
    <row r="23" spans="1:9" hidden="1" x14ac:dyDescent="0.25">
      <c r="A23" s="30" t="s">
        <v>111</v>
      </c>
      <c r="B23" s="4" t="e">
        <f>'LOJA 05 SHOP S'!S22</f>
        <v>#DIV/0!</v>
      </c>
      <c r="C23" s="81" t="e">
        <f>'LOJA 07 SHOP S'!S22</f>
        <v>#DIV/0!</v>
      </c>
      <c r="D23" s="4" t="e">
        <f>'LOJA 09 SHOP S'!S22</f>
        <v>#DIV/0!</v>
      </c>
      <c r="E23" s="3" t="e">
        <f>'LOJA 10 SHOP S'!S22</f>
        <v>#DIV/0!</v>
      </c>
      <c r="F23" s="3" t="e">
        <f>'LOJA 12 SHOP S'!S22</f>
        <v>#DIV/0!</v>
      </c>
      <c r="G23" s="4" t="e">
        <f>'LOJA 13 SHOP S'!S22</f>
        <v>#DIV/0!</v>
      </c>
      <c r="H23" s="4" t="e">
        <f>'LOJA 18 SHOP S'!S22</f>
        <v>#DIV/0!</v>
      </c>
      <c r="I23" s="4" t="e">
        <f>'LOJA QDB SHOP S'!S23</f>
        <v>#DIV/0!</v>
      </c>
    </row>
    <row r="24" spans="1:9" hidden="1" x14ac:dyDescent="0.25">
      <c r="A24" s="30" t="s">
        <v>112</v>
      </c>
      <c r="B24" s="4" t="e">
        <f>'LOJA 05 SHOP S'!S23</f>
        <v>#DIV/0!</v>
      </c>
      <c r="C24" s="81" t="e">
        <f>'LOJA 07 SHOP S'!S23</f>
        <v>#DIV/0!</v>
      </c>
      <c r="D24" s="4" t="e">
        <f>'LOJA 09 SHOP S'!S23</f>
        <v>#DIV/0!</v>
      </c>
      <c r="E24" s="3" t="e">
        <f>'LOJA 10 SHOP S'!S23</f>
        <v>#DIV/0!</v>
      </c>
      <c r="F24" s="3" t="e">
        <f>'LOJA 12 SHOP S'!S23</f>
        <v>#DIV/0!</v>
      </c>
      <c r="G24" s="4" t="e">
        <f>'LOJA 13 SHOP S'!S23</f>
        <v>#DIV/0!</v>
      </c>
      <c r="H24" s="4" t="e">
        <f>'LOJA 18 SHOP S'!S23</f>
        <v>#DIV/0!</v>
      </c>
      <c r="I24" s="4" t="e">
        <f>'LOJA QDB SHOP S'!S24</f>
        <v>#DIV/0!</v>
      </c>
    </row>
    <row r="25" spans="1:9" hidden="1" x14ac:dyDescent="0.25">
      <c r="A25" s="30" t="s">
        <v>113</v>
      </c>
      <c r="B25" s="4" t="e">
        <f>'LOJA 05 SHOP S'!S24</f>
        <v>#DIV/0!</v>
      </c>
      <c r="C25" s="81" t="e">
        <f>'LOJA 07 SHOP S'!S24</f>
        <v>#DIV/0!</v>
      </c>
      <c r="D25" s="4" t="e">
        <f>'LOJA 09 SHOP S'!S24</f>
        <v>#DIV/0!</v>
      </c>
      <c r="E25" s="3" t="e">
        <f>'LOJA 10 SHOP S'!S24</f>
        <v>#DIV/0!</v>
      </c>
      <c r="F25" s="3" t="e">
        <f>'LOJA 12 SHOP S'!S24</f>
        <v>#DIV/0!</v>
      </c>
      <c r="G25" s="4" t="e">
        <f>'LOJA 13 SHOP S'!S24</f>
        <v>#DIV/0!</v>
      </c>
      <c r="H25" s="4" t="e">
        <f>'LOJA 18 SHOP S'!S24</f>
        <v>#DIV/0!</v>
      </c>
      <c r="I25" s="4" t="e">
        <f>'LOJA QDB SHOP S'!S25</f>
        <v>#DIV/0!</v>
      </c>
    </row>
  </sheetData>
  <conditionalFormatting sqref="B4:I25">
    <cfRule type="cellIs" dxfId="4" priority="3" operator="greaterThan">
      <formula>1.2</formula>
    </cfRule>
    <cfRule type="cellIs" dxfId="3" priority="4" operator="between">
      <formula>1</formula>
      <formula>1.1999</formula>
    </cfRule>
    <cfRule type="cellIs" dxfId="2" priority="5" operator="between">
      <formula>0.8</formula>
      <formula>0.9999</formula>
    </cfRule>
    <cfRule type="cellIs" dxfId="1" priority="6" operator="between">
      <formula>0</formula>
      <formula>0.7999</formula>
    </cfRule>
    <cfRule type="containsErrors" dxfId="0" priority="7">
      <formula>ISERROR(B4)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68B56774-4A76-414E-8D4F-D8252DA4C8B6}">
            <xm:f>NOT(ISERROR(SEARCH("-",B4)))</xm:f>
            <xm:f>"-"</xm:f>
            <x14:dxf>
              <font>
                <b/>
                <i val="0"/>
              </font>
              <fill>
                <patternFill patternType="solid">
                  <bgColor theme="0"/>
                </patternFill>
              </fill>
            </x14:dxf>
          </x14:cfRule>
          <xm:sqref>B4:I25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38FAC-D30C-43D6-B31A-FBEF56D67D65}">
  <sheetPr>
    <tabColor rgb="FF00B0F0"/>
  </sheetPr>
  <dimension ref="A1:AB25"/>
  <sheetViews>
    <sheetView tabSelected="1" zoomScale="85" zoomScaleNormal="85" workbookViewId="0">
      <pane xSplit="1" topLeftCell="B1" activePane="topRight" state="frozen"/>
      <selection activeCell="Z19" sqref="Z19"/>
      <selection pane="topRight" activeCell="L34" sqref="L34"/>
    </sheetView>
  </sheetViews>
  <sheetFormatPr defaultColWidth="9.140625" defaultRowHeight="15" x14ac:dyDescent="0.25"/>
  <cols>
    <col min="1" max="1" width="29.7109375" style="79" bestFit="1" customWidth="1"/>
    <col min="2" max="2" width="14" style="2" customWidth="1"/>
    <col min="3" max="3" width="14.28515625" style="2" customWidth="1"/>
    <col min="4" max="4" width="14.42578125" style="2" customWidth="1"/>
    <col min="5" max="5" width="13.42578125" style="2" customWidth="1"/>
    <col min="6" max="6" width="15.7109375" style="2" customWidth="1"/>
    <col min="7" max="7" width="12" style="2" customWidth="1"/>
    <col min="8" max="8" width="14.85546875" style="2" customWidth="1"/>
    <col min="9" max="9" width="16.140625" style="2" customWidth="1"/>
    <col min="10" max="10" width="13.5703125" style="2" customWidth="1"/>
    <col min="11" max="11" width="15.42578125" style="2" customWidth="1"/>
    <col min="12" max="12" width="16.140625" style="2" customWidth="1"/>
    <col min="13" max="13" width="12.28515625" style="2" customWidth="1"/>
    <col min="14" max="14" width="17.7109375" style="2" customWidth="1"/>
    <col min="15" max="15" width="12.85546875" style="2" bestFit="1" customWidth="1"/>
    <col min="16" max="16" width="12.42578125" style="2" customWidth="1"/>
    <col min="17" max="17" width="16.140625" style="2" customWidth="1"/>
    <col min="18" max="18" width="16.85546875" style="2" customWidth="1"/>
    <col min="19" max="19" width="11.5703125" style="2" customWidth="1"/>
    <col min="20" max="20" width="14.42578125" style="2" customWidth="1"/>
    <col min="21" max="21" width="15" style="2" customWidth="1"/>
    <col min="22" max="22" width="3.7109375" style="2" customWidth="1"/>
    <col min="23" max="23" width="14.42578125" style="2" customWidth="1"/>
    <col min="24" max="24" width="3.42578125" style="2" customWidth="1"/>
    <col min="25" max="25" width="17.7109375" style="2" bestFit="1" customWidth="1"/>
    <col min="26" max="26" width="14.42578125" style="2" bestFit="1" customWidth="1"/>
    <col min="27" max="27" width="15" style="2" customWidth="1"/>
    <col min="28" max="28" width="18.140625" style="2" customWidth="1"/>
    <col min="29" max="16384" width="9.140625" style="2"/>
  </cols>
  <sheetData>
    <row r="1" spans="1:28" ht="26.25" customHeight="1" x14ac:dyDescent="0.25">
      <c r="B1" s="113" t="s">
        <v>114</v>
      </c>
      <c r="C1" s="113"/>
      <c r="D1" s="113"/>
      <c r="E1" s="113" t="s">
        <v>115</v>
      </c>
      <c r="F1" s="113"/>
      <c r="G1" s="113"/>
      <c r="H1" s="113" t="s">
        <v>116</v>
      </c>
      <c r="I1" s="113"/>
      <c r="J1" s="113"/>
      <c r="K1" s="113" t="s">
        <v>117</v>
      </c>
      <c r="L1" s="113"/>
      <c r="M1" s="113"/>
      <c r="N1" s="113" t="s">
        <v>118</v>
      </c>
      <c r="O1" s="113"/>
      <c r="P1" s="113"/>
      <c r="Q1" s="110" t="s">
        <v>1</v>
      </c>
      <c r="R1" s="111"/>
      <c r="S1" s="112"/>
      <c r="Y1" s="109" t="s">
        <v>2</v>
      </c>
      <c r="Z1" s="109"/>
      <c r="AA1" s="109"/>
      <c r="AB1" s="109"/>
    </row>
    <row r="2" spans="1:28" ht="30" x14ac:dyDescent="0.25">
      <c r="A2" s="15" t="s">
        <v>3</v>
      </c>
      <c r="B2" s="16" t="s">
        <v>4</v>
      </c>
      <c r="C2" s="16" t="s">
        <v>5</v>
      </c>
      <c r="D2" s="16" t="s">
        <v>6</v>
      </c>
      <c r="E2" s="16" t="s">
        <v>7</v>
      </c>
      <c r="F2" s="16" t="s">
        <v>8</v>
      </c>
      <c r="G2" s="16" t="s">
        <v>9</v>
      </c>
      <c r="H2" s="16" t="s">
        <v>10</v>
      </c>
      <c r="I2" s="16" t="s">
        <v>11</v>
      </c>
      <c r="J2" s="16" t="s">
        <v>12</v>
      </c>
      <c r="K2" s="16" t="s">
        <v>13</v>
      </c>
      <c r="L2" s="16" t="s">
        <v>14</v>
      </c>
      <c r="M2" s="16" t="s">
        <v>15</v>
      </c>
      <c r="N2" s="16" t="s">
        <v>16</v>
      </c>
      <c r="O2" s="16" t="s">
        <v>17</v>
      </c>
      <c r="P2" s="16" t="s">
        <v>18</v>
      </c>
      <c r="Q2" s="16" t="s">
        <v>19</v>
      </c>
      <c r="R2" s="16" t="s">
        <v>20</v>
      </c>
      <c r="S2" s="16" t="s">
        <v>21</v>
      </c>
      <c r="Y2" s="92" t="s">
        <v>22</v>
      </c>
      <c r="Z2" s="92" t="s">
        <v>23</v>
      </c>
      <c r="AA2" s="92" t="s">
        <v>24</v>
      </c>
      <c r="AB2" s="92" t="s">
        <v>25</v>
      </c>
    </row>
    <row r="3" spans="1:28" x14ac:dyDescent="0.25">
      <c r="A3" s="73"/>
      <c r="B3" s="17" t="s">
        <v>26</v>
      </c>
      <c r="C3" s="10" t="s">
        <v>27</v>
      </c>
      <c r="D3" s="17" t="s">
        <v>28</v>
      </c>
      <c r="E3" s="17" t="s">
        <v>26</v>
      </c>
      <c r="F3" s="10" t="s">
        <v>27</v>
      </c>
      <c r="G3" s="17" t="s">
        <v>28</v>
      </c>
      <c r="H3" s="17" t="s">
        <v>26</v>
      </c>
      <c r="I3" s="10" t="s">
        <v>27</v>
      </c>
      <c r="J3" s="17" t="s">
        <v>28</v>
      </c>
      <c r="K3" s="17" t="s">
        <v>26</v>
      </c>
      <c r="L3" s="10" t="s">
        <v>27</v>
      </c>
      <c r="M3" s="17" t="s">
        <v>28</v>
      </c>
      <c r="N3" s="17" t="s">
        <v>26</v>
      </c>
      <c r="O3" s="10" t="s">
        <v>27</v>
      </c>
      <c r="P3" s="17" t="s">
        <v>28</v>
      </c>
      <c r="Q3" s="17" t="s">
        <v>26</v>
      </c>
      <c r="R3" s="10" t="s">
        <v>27</v>
      </c>
      <c r="S3" s="26" t="s">
        <v>28</v>
      </c>
      <c r="Y3" s="93" t="s">
        <v>29</v>
      </c>
      <c r="Z3" s="89">
        <f>[1]RECEITA!$AF$10</f>
        <v>234473.04</v>
      </c>
      <c r="AA3" s="90">
        <f>R4</f>
        <v>218800.95</v>
      </c>
      <c r="AB3" s="99">
        <f>AA3/Z3</f>
        <v>0.93316037528237794</v>
      </c>
    </row>
    <row r="4" spans="1:28" ht="30" x14ac:dyDescent="0.25">
      <c r="A4" s="28" t="s">
        <v>30</v>
      </c>
      <c r="B4" s="20">
        <f>[1]RECEITA!$B$10</f>
        <v>18200.437687296922</v>
      </c>
      <c r="C4" s="40">
        <f>[1]RECEITA!$D$10</f>
        <v>9618.4500000000007</v>
      </c>
      <c r="D4" s="6">
        <f>C4/B4</f>
        <v>0.52847355460650491</v>
      </c>
      <c r="E4" s="20">
        <f>[1]RECEITA!$H$10</f>
        <v>45609.962395825431</v>
      </c>
      <c r="F4" s="12">
        <f>[1]RECEITA!$J$10</f>
        <v>55369.5</v>
      </c>
      <c r="G4" s="6">
        <f>F4/E4</f>
        <v>1.213978198874109</v>
      </c>
      <c r="H4" s="20">
        <f>[1]RECEITA!$N$10</f>
        <v>44906.706896841242</v>
      </c>
      <c r="I4" s="12">
        <f>[1]RECEITA!$P$10</f>
        <v>48614.28</v>
      </c>
      <c r="J4" s="6">
        <f>I4/H4</f>
        <v>1.0825616786302259</v>
      </c>
      <c r="K4" s="20">
        <f>[1]RECEITA!$T$10</f>
        <v>62405.119735157714</v>
      </c>
      <c r="L4" s="12">
        <f>[1]RECEITA!$V$10</f>
        <v>44240.03</v>
      </c>
      <c r="M4" s="6">
        <f>L4/K4</f>
        <v>0.70891667523035151</v>
      </c>
      <c r="N4" s="20">
        <f>[1]RECEITA!$Z$10</f>
        <v>63350.813284878721</v>
      </c>
      <c r="O4" s="12">
        <f>[1]RECEITA!$AB$10</f>
        <v>60958.69</v>
      </c>
      <c r="P4" s="6">
        <f>O4/N4</f>
        <v>0.96224005406021051</v>
      </c>
      <c r="Q4" s="20">
        <f>IF(O4 = 0, IF(L4 = 0, IF(I4 = 0, IF(F4 = 0, B4, SUM(B4, E4)), SUM(B4, E4, H4)), SUM(B4, E4, H4, K4)), SUM(B4, E4, H4, K4, N4))</f>
        <v>234473.04000000004</v>
      </c>
      <c r="R4" s="52">
        <f>O4+L4+I4+F4+C4</f>
        <v>218800.95</v>
      </c>
      <c r="S4" s="6">
        <f>R4/Q4</f>
        <v>0.93316037528237783</v>
      </c>
      <c r="U4" s="86"/>
      <c r="V4" s="47"/>
      <c r="W4" s="61">
        <f>N4+K4+H4+E4+B4</f>
        <v>234473.04</v>
      </c>
      <c r="Y4" s="93" t="s">
        <v>31</v>
      </c>
      <c r="Z4" s="89">
        <f>Z3/Z5</f>
        <v>145.27449814126393</v>
      </c>
      <c r="AA4" s="90">
        <f>R5</f>
        <v>159.82538349159972</v>
      </c>
      <c r="AB4" s="99">
        <f t="shared" ref="AB4:AB6" si="0">AA4/Z4</f>
        <v>1.100161318996171</v>
      </c>
    </row>
    <row r="5" spans="1:28" x14ac:dyDescent="0.25">
      <c r="A5" s="28" t="s">
        <v>32</v>
      </c>
      <c r="B5" s="50">
        <f>B4/B8</f>
        <v>165.31719365634649</v>
      </c>
      <c r="C5" s="7">
        <f>'[1]VENDA MÉDIA'!$D$10</f>
        <v>160.3075</v>
      </c>
      <c r="D5" s="6">
        <f t="shared" ref="D5:D24" si="1">C5/B5</f>
        <v>0.96969647532996239</v>
      </c>
      <c r="E5" s="53">
        <f>E4/E8</f>
        <v>108.85466962815227</v>
      </c>
      <c r="F5" s="7">
        <f>'[1]VENDA MÉDIA'!$I$10</f>
        <v>165.2820895522388</v>
      </c>
      <c r="G5" s="6">
        <f t="shared" ref="G5:G24" si="2">F5/E5</f>
        <v>1.5183739027167387</v>
      </c>
      <c r="H5" s="53">
        <f>H4/H8</f>
        <v>111.44055728264667</v>
      </c>
      <c r="I5" s="7">
        <f>'[1]VENDA MÉDIA'!$N$10</f>
        <v>156.82025806451614</v>
      </c>
      <c r="J5" s="6">
        <f t="shared" ref="J5:J24" si="3">I5/H5</f>
        <v>1.4072099232846884</v>
      </c>
      <c r="K5" s="53">
        <f>K4/K8</f>
        <v>183.59739621099996</v>
      </c>
      <c r="L5" s="7">
        <f>'[1]VENDA MÉDIA'!$S$10</f>
        <v>149.45956081081081</v>
      </c>
      <c r="M5" s="6">
        <f t="shared" ref="M5:M24" si="4">L5/K5</f>
        <v>0.81406144038689898</v>
      </c>
      <c r="N5" s="53">
        <f>N4/N8</f>
        <v>185.21477706816697</v>
      </c>
      <c r="O5" s="7">
        <f>'[1]VENDA MÉDIA'!$X$10</f>
        <v>165.64861413043479</v>
      </c>
      <c r="P5" s="6">
        <f t="shared" ref="P5:P24" si="5">O5/N5</f>
        <v>0.89435960106719248</v>
      </c>
      <c r="Q5" s="60">
        <f>Q4/Q8</f>
        <v>145.27449814126396</v>
      </c>
      <c r="R5" s="8">
        <f>R4/R8</f>
        <v>159.82538349159972</v>
      </c>
      <c r="S5" s="6">
        <f t="shared" ref="S5:S24" si="6">R5/Q5</f>
        <v>1.1001613189961708</v>
      </c>
      <c r="Y5" s="93" t="s">
        <v>33</v>
      </c>
      <c r="Z5" s="93">
        <f>[1]BOLETOS!$AB$9</f>
        <v>1614</v>
      </c>
      <c r="AA5" s="91">
        <f>R8</f>
        <v>1369</v>
      </c>
      <c r="AB5" s="99">
        <f t="shared" si="0"/>
        <v>0.84820322180916974</v>
      </c>
    </row>
    <row r="6" spans="1:28" x14ac:dyDescent="0.25">
      <c r="A6" s="28" t="s">
        <v>34</v>
      </c>
      <c r="B6" s="41">
        <f>'[1]ITENS POR BOLETO'!$A$9</f>
        <v>3.01</v>
      </c>
      <c r="C6" s="11">
        <f>'[1]ITENS POR BOLETO'!$D$9</f>
        <v>2.8333333333333335</v>
      </c>
      <c r="D6" s="6">
        <f t="shared" si="1"/>
        <v>0.94130675526024377</v>
      </c>
      <c r="E6" s="17">
        <f t="shared" ref="E6:E21" si="7">B6</f>
        <v>3.01</v>
      </c>
      <c r="F6" s="11">
        <f>'[1]ITENS POR BOLETO'!$I$9</f>
        <v>3.1432835820895524</v>
      </c>
      <c r="G6" s="6">
        <f t="shared" si="2"/>
        <v>1.0442802598304162</v>
      </c>
      <c r="H6" s="17">
        <f t="shared" ref="H6:H21" si="8">E6</f>
        <v>3.01</v>
      </c>
      <c r="I6" s="11">
        <f>'[1]ITENS POR BOLETO'!N$9</f>
        <v>2.9774193548387098</v>
      </c>
      <c r="J6" s="6">
        <f t="shared" si="3"/>
        <v>0.98917586539492031</v>
      </c>
      <c r="K6" s="17">
        <f t="shared" ref="K6:K21" si="9">H6</f>
        <v>3.01</v>
      </c>
      <c r="L6" s="11">
        <f>'[1]ITENS POR BOLETO'!S$9</f>
        <v>3.2060810810810811</v>
      </c>
      <c r="M6" s="6">
        <f t="shared" si="4"/>
        <v>1.0651432163060071</v>
      </c>
      <c r="N6" s="17">
        <f>K6</f>
        <v>3.01</v>
      </c>
      <c r="O6" s="11">
        <f>'[1]ITENS POR BOLETO'!X$9</f>
        <v>3.4701086956521738</v>
      </c>
      <c r="P6" s="6">
        <f t="shared" si="5"/>
        <v>1.152860031778131</v>
      </c>
      <c r="Q6" s="17">
        <f>B6</f>
        <v>3.01</v>
      </c>
      <c r="R6" s="11">
        <f>'[1]ITENS POR BOLETO'!AC$9</f>
        <v>3.1935719503287072</v>
      </c>
      <c r="S6" s="6">
        <f t="shared" si="6"/>
        <v>1.0609873589131917</v>
      </c>
      <c r="Y6" s="93" t="s">
        <v>35</v>
      </c>
      <c r="Z6" s="93">
        <v>13</v>
      </c>
      <c r="AA6" s="93">
        <f>R17</f>
        <v>38</v>
      </c>
      <c r="AB6" s="99">
        <f t="shared" si="0"/>
        <v>2.9230769230769229</v>
      </c>
    </row>
    <row r="7" spans="1:28" x14ac:dyDescent="0.25">
      <c r="A7" s="29" t="s">
        <v>36</v>
      </c>
      <c r="B7" s="27">
        <f>'[1]PREÇO MÉDIO'!$A$9</f>
        <v>48.268438538205999</v>
      </c>
      <c r="C7" s="12">
        <f>'[1]PREÇO MÉDIO'!$D$9</f>
        <v>56.57911764705883</v>
      </c>
      <c r="D7" s="6">
        <f t="shared" si="1"/>
        <v>1.1721762576238024</v>
      </c>
      <c r="E7" s="27">
        <f t="shared" si="7"/>
        <v>48.268438538205999</v>
      </c>
      <c r="F7" s="12">
        <f>'[1]PREÇO MÉDIO'!$I$9</f>
        <v>52.582621082621081</v>
      </c>
      <c r="G7" s="6">
        <f t="shared" si="2"/>
        <v>1.0893789539307404</v>
      </c>
      <c r="H7" s="27">
        <f t="shared" si="8"/>
        <v>48.268438538205999</v>
      </c>
      <c r="I7" s="12">
        <f>'[1]PREÇO MÉDIO'!$N$9</f>
        <v>52.669859154929576</v>
      </c>
      <c r="J7" s="6">
        <f t="shared" si="3"/>
        <v>1.0911863062079317</v>
      </c>
      <c r="K7" s="27">
        <f>H7</f>
        <v>48.268438538205999</v>
      </c>
      <c r="L7" s="12">
        <f>'[1]PREÇO MÉDIO'!$S$9</f>
        <v>46.617523709167543</v>
      </c>
      <c r="M7" s="6">
        <f t="shared" si="4"/>
        <v>0.96579721907242344</v>
      </c>
      <c r="N7" s="27">
        <f t="shared" ref="N7:N21" si="10">K7</f>
        <v>48.268438538205999</v>
      </c>
      <c r="O7" s="12">
        <f>'[1]PREÇO MÉDIO'!$X$9</f>
        <v>47.735857478465157</v>
      </c>
      <c r="P7" s="6">
        <f t="shared" si="5"/>
        <v>0.98896626707078406</v>
      </c>
      <c r="Q7" s="27">
        <f>B7</f>
        <v>48.268438538205999</v>
      </c>
      <c r="R7" s="12">
        <f>'[1]PREÇO MÉDIO'!$AC$9</f>
        <v>50.045962946020133</v>
      </c>
      <c r="S7" s="6">
        <f t="shared" si="6"/>
        <v>1.0368258112681057</v>
      </c>
      <c r="U7" s="83"/>
    </row>
    <row r="8" spans="1:28" x14ac:dyDescent="0.25">
      <c r="A8" s="28" t="s">
        <v>37</v>
      </c>
      <c r="B8" s="57">
        <f>[1]BOLETOS!$C$9</f>
        <v>110.09403973509933</v>
      </c>
      <c r="C8" s="10">
        <f>[1]BOLETOS!$D$9</f>
        <v>60</v>
      </c>
      <c r="D8" s="6">
        <f t="shared" si="1"/>
        <v>0.54498863103186923</v>
      </c>
      <c r="E8" s="57">
        <f>[1]BOLETOS!$H$9</f>
        <v>418.99867549668875</v>
      </c>
      <c r="F8" s="59">
        <f>[1]BOLETOS!$I$9</f>
        <v>335</v>
      </c>
      <c r="G8" s="6">
        <f t="shared" si="2"/>
        <v>0.7995252004147384</v>
      </c>
      <c r="H8" s="57">
        <f>[1]BOLETOS!$M$9</f>
        <v>402.96556291390726</v>
      </c>
      <c r="I8" s="59">
        <f>[1]BOLETOS!$N$9</f>
        <v>310</v>
      </c>
      <c r="J8" s="6">
        <f t="shared" si="3"/>
        <v>0.76929650702243968</v>
      </c>
      <c r="K8" s="57">
        <f>[1]BOLETOS!$R$9</f>
        <v>339.90198675496686</v>
      </c>
      <c r="L8" s="59">
        <f>[1]BOLETOS!$S$9</f>
        <v>296</v>
      </c>
      <c r="M8" s="6">
        <f t="shared" si="4"/>
        <v>0.87083927583331389</v>
      </c>
      <c r="N8" s="57">
        <f>[1]BOLETOS!$W$9</f>
        <v>342.03973509933775</v>
      </c>
      <c r="O8" s="59">
        <f>[1]BOLETOS!$X$9</f>
        <v>368</v>
      </c>
      <c r="P8" s="6">
        <f>O8/N8</f>
        <v>1.075898389095415</v>
      </c>
      <c r="Q8" s="51">
        <f>IF(O8 = 0, IF(L8 = 0, IF(I8 = 0, IF(F8 = 0, B8, SUM(B8, E8)), SUM(B8, E8, H8)), SUM(B8, E8, H8, K8)), SUM(B8, E8, H8, K8, N8))</f>
        <v>1614</v>
      </c>
      <c r="R8" s="59">
        <f>C8+F8+I8+L8+O8</f>
        <v>1369</v>
      </c>
      <c r="S8" s="6">
        <f t="shared" si="6"/>
        <v>0.84820322180916974</v>
      </c>
      <c r="U8" s="47"/>
      <c r="W8" s="62">
        <f>N8+K8+H8+E8+B8</f>
        <v>1614</v>
      </c>
    </row>
    <row r="9" spans="1:28" x14ac:dyDescent="0.25">
      <c r="A9" s="18" t="s">
        <v>38</v>
      </c>
      <c r="B9" s="19">
        <v>0.34</v>
      </c>
      <c r="C9" s="65">
        <f>'[1]TAXA DE CONVERSÃO'!$D$9</f>
        <v>0.76900000000000002</v>
      </c>
      <c r="D9" s="6">
        <f>C9/B9</f>
        <v>2.2617647058823529</v>
      </c>
      <c r="E9" s="19">
        <f>Tabela1[[#This Row],[1° SEMANA ]]</f>
        <v>0.34</v>
      </c>
      <c r="F9" s="65">
        <f>'[1]TAXA DE CONVERSÃO'!$I$9</f>
        <v>0.63400000000000001</v>
      </c>
      <c r="G9" s="6">
        <f>F9/E9</f>
        <v>1.864705882352941</v>
      </c>
      <c r="H9" s="19">
        <f>Tabela1[[#This Row],[2° SEMANA ]]</f>
        <v>0.34</v>
      </c>
      <c r="I9" s="65">
        <f>'[1]TAXA DE CONVERSÃO'!$N$9</f>
        <v>0.60199999999999998</v>
      </c>
      <c r="J9" s="6">
        <f>I9/H9</f>
        <v>1.7705882352941174</v>
      </c>
      <c r="K9" s="19">
        <f>Tabela1[[#This Row],[3° SEMANA ]]</f>
        <v>0.34</v>
      </c>
      <c r="L9" s="65">
        <f>'[1]TAXA DE CONVERSÃO'!$S$9</f>
        <v>0.58299999999999996</v>
      </c>
      <c r="M9" s="6">
        <f>L9/K9</f>
        <v>1.7147058823529409</v>
      </c>
      <c r="N9" s="19">
        <v>0.34</v>
      </c>
      <c r="O9" s="65">
        <f>'[1]TAXA DE CONVERSÃO'!$X$9</f>
        <v>0.56599999999999995</v>
      </c>
      <c r="P9" s="6">
        <f>O9/N9</f>
        <v>1.6647058823529408</v>
      </c>
      <c r="Q9" s="19">
        <f>Tabela1[[#This Row],[2° SEMANA ]]</f>
        <v>0.34</v>
      </c>
      <c r="R9" s="65">
        <f t="shared" ref="R9:R16" si="11">O9</f>
        <v>0.56599999999999995</v>
      </c>
      <c r="S9" s="6">
        <f t="shared" si="6"/>
        <v>1.6647058823529408</v>
      </c>
      <c r="U9" s="47"/>
    </row>
    <row r="10" spans="1:28" ht="30" x14ac:dyDescent="0.25">
      <c r="A10" s="28" t="s">
        <v>39</v>
      </c>
      <c r="B10" s="19">
        <v>0.88</v>
      </c>
      <c r="C10" s="5">
        <f>'[1]PENETRAÇÃO D BOLETOS FIDELIDADE'!$D$10</f>
        <v>0.91379999999999995</v>
      </c>
      <c r="D10" s="6">
        <f t="shared" si="1"/>
        <v>1.0384090909090908</v>
      </c>
      <c r="E10" s="19">
        <f t="shared" si="7"/>
        <v>0.88</v>
      </c>
      <c r="F10" s="5">
        <f>'[1]PENETRAÇÃO D BOLETOS FIDELIDADE'!$I$10</f>
        <v>0.87839999999999996</v>
      </c>
      <c r="G10" s="6">
        <f t="shared" si="2"/>
        <v>0.99818181818181817</v>
      </c>
      <c r="H10" s="19">
        <f t="shared" si="8"/>
        <v>0.88</v>
      </c>
      <c r="I10" s="5">
        <f>'[1]PENETRAÇÃO D BOLETOS FIDELIDADE'!$N$10</f>
        <v>0.88649999999999995</v>
      </c>
      <c r="J10" s="6">
        <f t="shared" si="3"/>
        <v>1.0073863636363636</v>
      </c>
      <c r="K10" s="19">
        <f t="shared" si="9"/>
        <v>0.88</v>
      </c>
      <c r="L10" s="5">
        <f>'[1]PENETRAÇÃO D BOLETOS FIDELIDADE'!$S$10</f>
        <v>0.88449999999999995</v>
      </c>
      <c r="M10" s="6">
        <f t="shared" si="4"/>
        <v>1.0051136363636364</v>
      </c>
      <c r="N10" s="19">
        <f t="shared" si="10"/>
        <v>0.88</v>
      </c>
      <c r="O10" s="5">
        <f>'[1]PENETRAÇÃO D BOLETOS FIDELIDADE'!$X$10</f>
        <v>0.87050000000000005</v>
      </c>
      <c r="P10" s="6">
        <f t="shared" si="5"/>
        <v>0.9892045454545455</v>
      </c>
      <c r="Q10" s="19">
        <f t="shared" ref="Q10:Q16" si="12">B10</f>
        <v>0.88</v>
      </c>
      <c r="R10" s="5">
        <f t="shared" si="11"/>
        <v>0.87050000000000005</v>
      </c>
      <c r="S10" s="6">
        <f t="shared" si="6"/>
        <v>0.9892045454545455</v>
      </c>
      <c r="U10" s="48"/>
      <c r="Z10" s="84"/>
    </row>
    <row r="11" spans="1:28" x14ac:dyDescent="0.25">
      <c r="A11" s="18" t="s">
        <v>40</v>
      </c>
      <c r="B11" s="21">
        <v>0.45</v>
      </c>
      <c r="C11" s="5">
        <f>'[1]RESGATE FIDELIDADE'!$D$9</f>
        <v>0.56599999999999995</v>
      </c>
      <c r="D11" s="6">
        <f t="shared" si="1"/>
        <v>1.2577777777777777</v>
      </c>
      <c r="E11" s="21">
        <f t="shared" si="7"/>
        <v>0.45</v>
      </c>
      <c r="F11" s="5">
        <f>'[1]RESGATE FIDELIDADE'!$I$9</f>
        <v>0.4632</v>
      </c>
      <c r="G11" s="6">
        <f t="shared" si="2"/>
        <v>1.0293333333333332</v>
      </c>
      <c r="H11" s="21">
        <f t="shared" si="8"/>
        <v>0.45</v>
      </c>
      <c r="I11" s="5">
        <f>'[1]RESGATE FIDELIDADE'!$N$9</f>
        <v>0.45440000000000003</v>
      </c>
      <c r="J11" s="6">
        <f t="shared" si="3"/>
        <v>1.0097777777777779</v>
      </c>
      <c r="K11" s="21">
        <f t="shared" si="9"/>
        <v>0.45</v>
      </c>
      <c r="L11" s="5">
        <f>'[1]RESGATE FIDELIDADE'!$S$9</f>
        <v>0.4617</v>
      </c>
      <c r="M11" s="6">
        <f t="shared" si="4"/>
        <v>1.026</v>
      </c>
      <c r="N11" s="21">
        <f t="shared" si="10"/>
        <v>0.45</v>
      </c>
      <c r="O11" s="5">
        <f>'[1]RESGATE FIDELIDADE'!$X$9</f>
        <v>0.48039999999999999</v>
      </c>
      <c r="P11" s="6">
        <f t="shared" si="5"/>
        <v>1.0675555555555556</v>
      </c>
      <c r="Q11" s="21">
        <f t="shared" si="12"/>
        <v>0.45</v>
      </c>
      <c r="R11" s="5">
        <f t="shared" si="11"/>
        <v>0.48039999999999999</v>
      </c>
      <c r="S11" s="6">
        <f t="shared" si="6"/>
        <v>1.0675555555555556</v>
      </c>
      <c r="U11" s="1"/>
    </row>
    <row r="12" spans="1:28" x14ac:dyDescent="0.25">
      <c r="A12" s="18" t="s">
        <v>41</v>
      </c>
      <c r="B12" s="21">
        <v>1.7000000000000001E-2</v>
      </c>
      <c r="C12" s="5">
        <f>'[1]GESTÃO CATEGORIAS LOJAS (SKIN)'!$D$9</f>
        <v>2.0400000000000001E-2</v>
      </c>
      <c r="D12" s="6">
        <f t="shared" si="1"/>
        <v>1.2</v>
      </c>
      <c r="E12" s="21">
        <f t="shared" si="7"/>
        <v>1.7000000000000001E-2</v>
      </c>
      <c r="F12" s="5">
        <f>'[1]GESTÃO CATEGORIAS LOJAS (SKIN)'!$I$9</f>
        <v>4.02E-2</v>
      </c>
      <c r="G12" s="6">
        <f t="shared" si="2"/>
        <v>2.3647058823529408</v>
      </c>
      <c r="H12" s="21">
        <f t="shared" si="8"/>
        <v>1.7000000000000001E-2</v>
      </c>
      <c r="I12" s="5">
        <f>'[1]GESTÃO CATEGORIAS LOJAS (SKIN)'!$N$9</f>
        <v>3.8699999999999998E-2</v>
      </c>
      <c r="J12" s="6">
        <f t="shared" si="3"/>
        <v>2.276470588235294</v>
      </c>
      <c r="K12" s="21">
        <f t="shared" si="9"/>
        <v>1.7000000000000001E-2</v>
      </c>
      <c r="L12" s="5">
        <f>'[1]GESTÃO CATEGORIAS LOJAS (SKIN)'!$S$9</f>
        <v>4.02E-2</v>
      </c>
      <c r="M12" s="6">
        <f t="shared" si="4"/>
        <v>2.3647058823529408</v>
      </c>
      <c r="N12" s="21">
        <f t="shared" si="10"/>
        <v>1.7000000000000001E-2</v>
      </c>
      <c r="O12" s="5">
        <f>'[1]GESTÃO CATEGORIAS LOJAS (SKIN)'!$X$9</f>
        <v>3.8899999999999997E-2</v>
      </c>
      <c r="P12" s="6">
        <f t="shared" si="5"/>
        <v>2.2882352941176469</v>
      </c>
      <c r="Q12" s="21">
        <f t="shared" si="12"/>
        <v>1.7000000000000001E-2</v>
      </c>
      <c r="R12" s="5">
        <f t="shared" si="11"/>
        <v>3.8899999999999997E-2</v>
      </c>
      <c r="S12" s="6">
        <f t="shared" si="6"/>
        <v>2.2882352941176469</v>
      </c>
      <c r="Y12" s="84"/>
    </row>
    <row r="13" spans="1:28" x14ac:dyDescent="0.25">
      <c r="A13" s="18" t="s">
        <v>42</v>
      </c>
      <c r="B13" s="21">
        <v>0.27</v>
      </c>
      <c r="C13" s="5">
        <f>'[1]PENETRAÇÃO BP'!$D$9</f>
        <v>0.27500000000000002</v>
      </c>
      <c r="D13" s="6">
        <f t="shared" si="1"/>
        <v>1.0185185185185186</v>
      </c>
      <c r="E13" s="21">
        <f t="shared" si="7"/>
        <v>0.27</v>
      </c>
      <c r="F13" s="5">
        <f>'[1]PENETRAÇÃO BP'!$I$9</f>
        <v>0.2717</v>
      </c>
      <c r="G13" s="6">
        <f t="shared" si="2"/>
        <v>1.0062962962962962</v>
      </c>
      <c r="H13" s="21">
        <f t="shared" si="8"/>
        <v>0.27</v>
      </c>
      <c r="I13" s="5">
        <f>'[1]PENETRAÇÃO BP'!$N$9</f>
        <v>0.2671</v>
      </c>
      <c r="J13" s="6">
        <f t="shared" si="3"/>
        <v>0.98925925925925917</v>
      </c>
      <c r="K13" s="21">
        <f t="shared" si="9"/>
        <v>0.27</v>
      </c>
      <c r="L13" s="5">
        <f>'[1]PENETRAÇÃO BP'!$S$9</f>
        <v>0.2606</v>
      </c>
      <c r="M13" s="6">
        <f t="shared" si="4"/>
        <v>0.96518518518518515</v>
      </c>
      <c r="N13" s="21">
        <f t="shared" si="10"/>
        <v>0.27</v>
      </c>
      <c r="O13" s="5">
        <f>'[1]PENETRAÇÃO BP'!$X$9</f>
        <v>0.27939999999999998</v>
      </c>
      <c r="P13" s="6">
        <f t="shared" si="5"/>
        <v>1.0348148148148146</v>
      </c>
      <c r="Q13" s="21">
        <f t="shared" si="12"/>
        <v>0.27</v>
      </c>
      <c r="R13" s="5">
        <f t="shared" si="11"/>
        <v>0.27939999999999998</v>
      </c>
      <c r="S13" s="6">
        <f t="shared" si="6"/>
        <v>1.0348148148148146</v>
      </c>
    </row>
    <row r="14" spans="1:28" x14ac:dyDescent="0.25">
      <c r="A14" s="28" t="s">
        <v>43</v>
      </c>
      <c r="B14" s="21">
        <v>0.22</v>
      </c>
      <c r="C14" s="5">
        <f>'[1]PENETRAÇÃO BT'!$D$9</f>
        <v>0.25419999999999998</v>
      </c>
      <c r="D14" s="6">
        <f t="shared" si="1"/>
        <v>1.1554545454545453</v>
      </c>
      <c r="E14" s="21">
        <f t="shared" si="7"/>
        <v>0.22</v>
      </c>
      <c r="F14" s="5">
        <f>'[1]PENETRAÇÃO BT'!$I$9</f>
        <v>0.30120000000000002</v>
      </c>
      <c r="G14" s="6">
        <f t="shared" si="2"/>
        <v>1.3690909090909091</v>
      </c>
      <c r="H14" s="21">
        <f t="shared" si="8"/>
        <v>0.22</v>
      </c>
      <c r="I14" s="5">
        <f>'[1]PENETRAÇÃO BT'!$N$9</f>
        <v>0.32599999999999996</v>
      </c>
      <c r="J14" s="6">
        <f t="shared" si="3"/>
        <v>1.4818181818181817</v>
      </c>
      <c r="K14" s="21">
        <f t="shared" si="9"/>
        <v>0.22</v>
      </c>
      <c r="L14" s="5">
        <f>'[1]PENETRAÇÃO BT'!$S$9</f>
        <v>0.3075</v>
      </c>
      <c r="M14" s="6">
        <f t="shared" si="4"/>
        <v>1.3977272727272727</v>
      </c>
      <c r="N14" s="21">
        <f t="shared" si="10"/>
        <v>0.22</v>
      </c>
      <c r="O14" s="5">
        <f>'[1]PENETRAÇÃO BT'!$X$9</f>
        <v>0.29480000000000001</v>
      </c>
      <c r="P14" s="6">
        <f t="shared" si="5"/>
        <v>1.34</v>
      </c>
      <c r="Q14" s="21">
        <f t="shared" si="12"/>
        <v>0.22</v>
      </c>
      <c r="R14" s="5">
        <f t="shared" si="11"/>
        <v>0.29480000000000001</v>
      </c>
      <c r="S14" s="6">
        <f t="shared" si="6"/>
        <v>1.34</v>
      </c>
    </row>
    <row r="15" spans="1:28" x14ac:dyDescent="0.25">
      <c r="A15" s="28" t="s">
        <v>44</v>
      </c>
      <c r="B15" s="22">
        <v>0.6</v>
      </c>
      <c r="C15" s="5">
        <f>'[1]ID DO CLIENTE'!$D$9</f>
        <v>0.80330000000000001</v>
      </c>
      <c r="D15" s="6">
        <f t="shared" si="1"/>
        <v>1.3388333333333333</v>
      </c>
      <c r="E15" s="22">
        <f t="shared" si="7"/>
        <v>0.6</v>
      </c>
      <c r="F15" s="5">
        <f>'[1]ID DO CLIENTE'!$I$9</f>
        <v>0.73919999999999997</v>
      </c>
      <c r="G15" s="6">
        <f t="shared" si="2"/>
        <v>1.232</v>
      </c>
      <c r="H15" s="22">
        <f t="shared" si="8"/>
        <v>0.6</v>
      </c>
      <c r="I15" s="5">
        <f>'[1]ID DO CLIENTE'!$N$9</f>
        <v>0.7118000000000001</v>
      </c>
      <c r="J15" s="6">
        <f t="shared" si="3"/>
        <v>1.1863333333333335</v>
      </c>
      <c r="K15" s="22">
        <f t="shared" si="9"/>
        <v>0.6</v>
      </c>
      <c r="L15" s="5">
        <f>'[1]ID DO CLIENTE'!$S$9</f>
        <v>0.71040000000000003</v>
      </c>
      <c r="M15" s="6">
        <f t="shared" si="4"/>
        <v>1.1840000000000002</v>
      </c>
      <c r="N15" s="22">
        <f t="shared" si="10"/>
        <v>0.6</v>
      </c>
      <c r="O15" s="5">
        <f>'[1]ID DO CLIENTE'!$X$9</f>
        <v>0.6987000000000001</v>
      </c>
      <c r="P15" s="6">
        <f t="shared" si="5"/>
        <v>1.1645000000000003</v>
      </c>
      <c r="Q15" s="22">
        <f t="shared" si="12"/>
        <v>0.6</v>
      </c>
      <c r="R15" s="5">
        <f t="shared" si="11"/>
        <v>0.6987000000000001</v>
      </c>
      <c r="S15" s="6">
        <f t="shared" si="6"/>
        <v>1.1645000000000003</v>
      </c>
    </row>
    <row r="16" spans="1:28" x14ac:dyDescent="0.25">
      <c r="A16" s="28" t="s">
        <v>45</v>
      </c>
      <c r="B16" s="22">
        <v>0.98</v>
      </c>
      <c r="C16" s="55">
        <f>'[1]SEPARAÇÃO NO PRAZO C&amp;R'!$D$9</f>
        <v>1</v>
      </c>
      <c r="D16" s="6">
        <f t="shared" si="1"/>
        <v>1.0204081632653061</v>
      </c>
      <c r="E16" s="22">
        <f t="shared" si="7"/>
        <v>0.98</v>
      </c>
      <c r="F16" s="55">
        <f>'[1]SEPARAÇÃO NO PRAZO C&amp;R'!$I$9</f>
        <v>1</v>
      </c>
      <c r="G16" s="6">
        <f t="shared" si="2"/>
        <v>1.0204081632653061</v>
      </c>
      <c r="H16" s="22">
        <f t="shared" si="8"/>
        <v>0.98</v>
      </c>
      <c r="I16" s="55">
        <f>'[1]SEPARAÇÃO NO PRAZO C&amp;R'!$N$9</f>
        <v>1</v>
      </c>
      <c r="J16" s="6">
        <f t="shared" si="3"/>
        <v>1.0204081632653061</v>
      </c>
      <c r="K16" s="22">
        <f t="shared" si="9"/>
        <v>0.98</v>
      </c>
      <c r="L16" s="55">
        <f>'[1]SEPARAÇÃO NO PRAZO C&amp;R'!$S$9</f>
        <v>1</v>
      </c>
      <c r="M16" s="6">
        <f t="shared" si="4"/>
        <v>1.0204081632653061</v>
      </c>
      <c r="N16" s="22">
        <f t="shared" si="10"/>
        <v>0.98</v>
      </c>
      <c r="O16" s="55">
        <f>'[1]SEPARAÇÃO NO PRAZO C&amp;R'!$X$9</f>
        <v>1</v>
      </c>
      <c r="P16" s="6">
        <f t="shared" si="5"/>
        <v>1.0204081632653061</v>
      </c>
      <c r="Q16" s="22">
        <f t="shared" si="12"/>
        <v>0.98</v>
      </c>
      <c r="R16" s="5">
        <f t="shared" si="11"/>
        <v>1</v>
      </c>
      <c r="S16" s="6">
        <f t="shared" si="6"/>
        <v>1.0204081632653061</v>
      </c>
    </row>
    <row r="17" spans="1:23" ht="30" x14ac:dyDescent="0.25">
      <c r="A17" s="28" t="s">
        <v>46</v>
      </c>
      <c r="B17" s="23">
        <v>3</v>
      </c>
      <c r="C17" s="14">
        <f>'[1]Q° DE SERVIÇOS'!$D$7</f>
        <v>1</v>
      </c>
      <c r="D17" s="6">
        <f t="shared" si="1"/>
        <v>0.33333333333333331</v>
      </c>
      <c r="E17" s="23">
        <v>3</v>
      </c>
      <c r="F17" s="14">
        <f>'[1]Q° DE SERVIÇOS'!$I$7</f>
        <v>6</v>
      </c>
      <c r="G17" s="6">
        <f t="shared" si="2"/>
        <v>2</v>
      </c>
      <c r="H17" s="23">
        <f t="shared" si="8"/>
        <v>3</v>
      </c>
      <c r="I17" s="14">
        <f>'[1]Q° DE SERVIÇOS'!$N$7</f>
        <v>6</v>
      </c>
      <c r="J17" s="6">
        <f t="shared" si="3"/>
        <v>2</v>
      </c>
      <c r="K17" s="23">
        <v>2</v>
      </c>
      <c r="L17" s="14">
        <f>'[1]Q° DE SERVIÇOS'!$S$7</f>
        <v>14</v>
      </c>
      <c r="M17" s="6">
        <f t="shared" si="4"/>
        <v>7</v>
      </c>
      <c r="N17" s="23">
        <v>2</v>
      </c>
      <c r="O17" s="77">
        <f>'[1]Q° DE SERVIÇOS'!$X$7</f>
        <v>11</v>
      </c>
      <c r="P17" s="6">
        <f t="shared" si="5"/>
        <v>5.5</v>
      </c>
      <c r="Q17" s="78">
        <f>IF(O17 = 0, IF(L17 = 0, IF(I17 = 0, IF(F17 = 0, B17, SUM(B17, E17)), SUM(B17, E17, H17)), SUM(B17, E17, H17, K17)), SUM(B17, E17, H17, K17, N17))</f>
        <v>13</v>
      </c>
      <c r="R17" s="11">
        <f>C17+F17+I17+L17+O17</f>
        <v>38</v>
      </c>
      <c r="S17" s="6">
        <f t="shared" si="6"/>
        <v>2.9230769230769229</v>
      </c>
      <c r="W17" s="62">
        <f t="shared" ref="W17" si="13">N17+K17+H17+E17+B17</f>
        <v>13</v>
      </c>
    </row>
    <row r="18" spans="1:23" x14ac:dyDescent="0.25">
      <c r="A18" s="28" t="s">
        <v>47</v>
      </c>
      <c r="B18" s="19">
        <v>0.25</v>
      </c>
      <c r="C18" s="9">
        <f>'[1]CONVERSÃO AÇÃO DE FLUXO'!$D$9</f>
        <v>0</v>
      </c>
      <c r="D18" s="6">
        <f t="shared" si="1"/>
        <v>0</v>
      </c>
      <c r="E18" s="19">
        <f t="shared" si="7"/>
        <v>0.25</v>
      </c>
      <c r="F18" s="9">
        <f>'[1]CONVERSÃO AÇÃO DE FLUXO'!$I$9</f>
        <v>0</v>
      </c>
      <c r="G18" s="6">
        <f t="shared" si="2"/>
        <v>0</v>
      </c>
      <c r="H18" s="19">
        <f t="shared" si="8"/>
        <v>0.25</v>
      </c>
      <c r="I18" s="9">
        <f>'[1]CONVERSÃO AÇÃO DE FLUXO'!$N$9</f>
        <v>0</v>
      </c>
      <c r="J18" s="6">
        <f t="shared" si="3"/>
        <v>0</v>
      </c>
      <c r="K18" s="19">
        <f t="shared" si="9"/>
        <v>0.25</v>
      </c>
      <c r="L18" s="9">
        <f>'[1]CONVERSÃO AÇÃO DE FLUXO'!$S$9</f>
        <v>0</v>
      </c>
      <c r="M18" s="6">
        <f t="shared" si="4"/>
        <v>0</v>
      </c>
      <c r="N18" s="19">
        <f t="shared" si="10"/>
        <v>0.25</v>
      </c>
      <c r="O18" s="9">
        <f>'[1]CONVERSÃO AÇÃO DE FLUXO'!$X$9</f>
        <v>0</v>
      </c>
      <c r="P18" s="6">
        <f t="shared" si="5"/>
        <v>0</v>
      </c>
      <c r="Q18" s="19">
        <f t="shared" ref="Q18:Q21" si="14">B18</f>
        <v>0.25</v>
      </c>
      <c r="R18" s="5">
        <f>O18</f>
        <v>0</v>
      </c>
      <c r="S18" s="6">
        <f t="shared" si="6"/>
        <v>0</v>
      </c>
    </row>
    <row r="19" spans="1:23" x14ac:dyDescent="0.25">
      <c r="A19" s="28" t="s">
        <v>48</v>
      </c>
      <c r="B19" s="19">
        <v>0.86099999999999999</v>
      </c>
      <c r="C19" s="5">
        <f>[1]NPS!$D$9</f>
        <v>1</v>
      </c>
      <c r="D19" s="6">
        <f t="shared" si="1"/>
        <v>1.1614401858304297</v>
      </c>
      <c r="E19" s="19">
        <f t="shared" si="7"/>
        <v>0.86099999999999999</v>
      </c>
      <c r="F19" s="5">
        <f>[1]NPS!$I$9</f>
        <v>0.85709999999999997</v>
      </c>
      <c r="G19" s="6">
        <f t="shared" si="2"/>
        <v>0.99547038327526127</v>
      </c>
      <c r="H19" s="19">
        <f t="shared" si="8"/>
        <v>0.86099999999999999</v>
      </c>
      <c r="I19" s="5">
        <f>[1]NPS!$N$9</f>
        <v>0.91669999999999996</v>
      </c>
      <c r="J19" s="6">
        <f t="shared" si="3"/>
        <v>1.064692218350755</v>
      </c>
      <c r="K19" s="19">
        <f t="shared" si="9"/>
        <v>0.86099999999999999</v>
      </c>
      <c r="L19" s="5">
        <f>[1]NPS!$S$9</f>
        <v>0.94440000000000002</v>
      </c>
      <c r="M19" s="6">
        <f t="shared" si="4"/>
        <v>1.0968641114982578</v>
      </c>
      <c r="N19" s="19">
        <f t="shared" si="10"/>
        <v>0.86099999999999999</v>
      </c>
      <c r="O19" s="5">
        <f>[1]NPS!$X$9</f>
        <v>0.96550000000000002</v>
      </c>
      <c r="P19" s="6">
        <f t="shared" si="5"/>
        <v>1.1213704994192799</v>
      </c>
      <c r="Q19" s="19">
        <f t="shared" si="14"/>
        <v>0.86099999999999999</v>
      </c>
      <c r="R19" s="5">
        <f>O19</f>
        <v>0.96550000000000002</v>
      </c>
      <c r="S19" s="6">
        <f t="shared" si="6"/>
        <v>1.1213704994192799</v>
      </c>
    </row>
    <row r="20" spans="1:23" ht="37.5" customHeight="1" x14ac:dyDescent="0.25">
      <c r="A20" s="28" t="s">
        <v>49</v>
      </c>
      <c r="B20" s="22">
        <v>0.95</v>
      </c>
      <c r="C20" s="5">
        <f>'[1]LOJA DIGITAL ATIVO (BEXD)'!$D$9</f>
        <v>1</v>
      </c>
      <c r="D20" s="6">
        <f t="shared" si="1"/>
        <v>1.0526315789473684</v>
      </c>
      <c r="E20" s="22">
        <f t="shared" si="7"/>
        <v>0.95</v>
      </c>
      <c r="F20" s="5">
        <f>'[1]LOJA DIGITAL ATIVO (BEXD)'!$I$9</f>
        <v>1</v>
      </c>
      <c r="G20" s="6">
        <f t="shared" si="2"/>
        <v>1.0526315789473684</v>
      </c>
      <c r="H20" s="22">
        <f t="shared" si="8"/>
        <v>0.95</v>
      </c>
      <c r="I20" s="5">
        <f>'[1]LOJA DIGITAL ATIVO (BEXD)'!$N$9</f>
        <v>0.92620000000000002</v>
      </c>
      <c r="J20" s="6">
        <f t="shared" si="3"/>
        <v>0.97494736842105267</v>
      </c>
      <c r="K20" s="22">
        <f t="shared" si="9"/>
        <v>0.95</v>
      </c>
      <c r="L20" s="5">
        <f>'[1]LOJA DIGITAL ATIVO (BEXD)'!$S$9</f>
        <v>0.84799999999999998</v>
      </c>
      <c r="M20" s="6">
        <f t="shared" si="4"/>
        <v>0.89263157894736844</v>
      </c>
      <c r="N20" s="22">
        <f t="shared" si="10"/>
        <v>0.95</v>
      </c>
      <c r="O20" s="5">
        <f>'[1]LOJA DIGITAL ATIVO (BEXD)'!$X$9</f>
        <v>0.89569999999999994</v>
      </c>
      <c r="P20" s="6">
        <f t="shared" si="5"/>
        <v>0.94284210526315793</v>
      </c>
      <c r="Q20" s="22">
        <f t="shared" si="14"/>
        <v>0.95</v>
      </c>
      <c r="R20" s="5">
        <f>O20</f>
        <v>0.89569999999999994</v>
      </c>
      <c r="S20" s="6">
        <f t="shared" si="6"/>
        <v>0.94284210526315793</v>
      </c>
    </row>
    <row r="21" spans="1:23" x14ac:dyDescent="0.25">
      <c r="A21" s="28" t="s">
        <v>50</v>
      </c>
      <c r="B21" s="22">
        <v>0.85</v>
      </c>
      <c r="C21" s="49">
        <f>'[1]TREINAMENTOS FV (UB)'!$D$9</f>
        <v>0.9107142857142857</v>
      </c>
      <c r="D21" s="6">
        <f t="shared" si="1"/>
        <v>1.0714285714285714</v>
      </c>
      <c r="E21" s="22">
        <f t="shared" si="7"/>
        <v>0.85</v>
      </c>
      <c r="F21" s="49">
        <f>'[1]TREINAMENTOS FV (UB)'!$I$9</f>
        <v>0.9196428571428571</v>
      </c>
      <c r="G21" s="6">
        <f t="shared" si="2"/>
        <v>1.0819327731092436</v>
      </c>
      <c r="H21" s="22">
        <f t="shared" si="8"/>
        <v>0.85</v>
      </c>
      <c r="I21" s="49">
        <f>'[1]TREINAMENTOS FV (UB)'!$N$9</f>
        <v>0.9196428571428571</v>
      </c>
      <c r="J21" s="6">
        <f t="shared" si="3"/>
        <v>1.0819327731092436</v>
      </c>
      <c r="K21" s="22">
        <f t="shared" si="9"/>
        <v>0.85</v>
      </c>
      <c r="L21" s="49">
        <f>'[1]TREINAMENTOS FV (UB)'!$S$9</f>
        <v>0.9196428571428571</v>
      </c>
      <c r="M21" s="6">
        <f t="shared" si="4"/>
        <v>1.0819327731092436</v>
      </c>
      <c r="N21" s="22">
        <f t="shared" si="10"/>
        <v>0.85</v>
      </c>
      <c r="O21" s="49">
        <f>'[1]TREINAMENTOS FV (UB)'!$X$9</f>
        <v>0.9330357142857143</v>
      </c>
      <c r="P21" s="6">
        <f t="shared" si="5"/>
        <v>1.0976890756302522</v>
      </c>
      <c r="Q21" s="22">
        <f t="shared" si="14"/>
        <v>0.85</v>
      </c>
      <c r="R21" s="5">
        <f>O21</f>
        <v>0.9330357142857143</v>
      </c>
      <c r="S21" s="6">
        <f t="shared" si="6"/>
        <v>1.0976890756302522</v>
      </c>
    </row>
    <row r="22" spans="1:23" hidden="1" x14ac:dyDescent="0.25">
      <c r="A22" s="28" t="s">
        <v>51</v>
      </c>
      <c r="B22" s="24"/>
      <c r="C22" s="10"/>
      <c r="D22" s="6" t="e">
        <f t="shared" si="1"/>
        <v>#DIV/0!</v>
      </c>
      <c r="E22" s="24"/>
      <c r="F22" s="10"/>
      <c r="G22" s="6" t="e">
        <f t="shared" si="2"/>
        <v>#DIV/0!</v>
      </c>
      <c r="H22" s="24"/>
      <c r="I22" s="10"/>
      <c r="J22" s="6" t="e">
        <f t="shared" si="3"/>
        <v>#DIV/0!</v>
      </c>
      <c r="K22" s="24"/>
      <c r="L22" s="12"/>
      <c r="M22" s="6" t="e">
        <f t="shared" si="4"/>
        <v>#DIV/0!</v>
      </c>
      <c r="N22" s="24"/>
      <c r="O22" s="12"/>
      <c r="P22" s="6" t="e">
        <f t="shared" si="5"/>
        <v>#DIV/0!</v>
      </c>
      <c r="Q22" s="23">
        <v>4</v>
      </c>
      <c r="R22" s="10"/>
      <c r="S22" s="42" t="e">
        <f>Q22/R22</f>
        <v>#DIV/0!</v>
      </c>
    </row>
    <row r="23" spans="1:23" hidden="1" x14ac:dyDescent="0.25">
      <c r="A23" s="28" t="s">
        <v>52</v>
      </c>
      <c r="B23" s="22"/>
      <c r="C23" s="10"/>
      <c r="D23" s="6" t="e">
        <f t="shared" si="1"/>
        <v>#DIV/0!</v>
      </c>
      <c r="E23" s="22"/>
      <c r="F23" s="10"/>
      <c r="G23" s="6" t="e">
        <f t="shared" si="2"/>
        <v>#DIV/0!</v>
      </c>
      <c r="H23" s="22"/>
      <c r="I23" s="10"/>
      <c r="J23" s="6" t="e">
        <f>H23/I23</f>
        <v>#DIV/0!</v>
      </c>
      <c r="K23" s="22"/>
      <c r="L23" s="10"/>
      <c r="M23" s="6" t="e">
        <f>K23/L23</f>
        <v>#DIV/0!</v>
      </c>
      <c r="N23" s="22"/>
      <c r="O23" s="10"/>
      <c r="P23" s="6" t="e">
        <f>N23/O23</f>
        <v>#DIV/0!</v>
      </c>
      <c r="Q23" s="22">
        <v>1.7000000000000001E-2</v>
      </c>
      <c r="R23" s="5"/>
      <c r="S23" s="42" t="e">
        <f>Q23/R23</f>
        <v>#DIV/0!</v>
      </c>
    </row>
    <row r="24" spans="1:23" hidden="1" x14ac:dyDescent="0.25">
      <c r="A24" s="28" t="s">
        <v>53</v>
      </c>
      <c r="B24" s="22"/>
      <c r="C24" s="25"/>
      <c r="D24" s="6" t="e">
        <f t="shared" si="1"/>
        <v>#DIV/0!</v>
      </c>
      <c r="E24" s="22"/>
      <c r="F24" s="25"/>
      <c r="G24" s="6" t="e">
        <f t="shared" si="2"/>
        <v>#DIV/0!</v>
      </c>
      <c r="H24" s="22"/>
      <c r="I24" s="13"/>
      <c r="J24" s="6" t="e">
        <f t="shared" si="3"/>
        <v>#DIV/0!</v>
      </c>
      <c r="K24" s="22"/>
      <c r="L24" s="13"/>
      <c r="M24" s="6" t="e">
        <f t="shared" si="4"/>
        <v>#DIV/0!</v>
      </c>
      <c r="N24" s="22"/>
      <c r="O24" s="13"/>
      <c r="P24" s="6" t="e">
        <f t="shared" si="5"/>
        <v>#DIV/0!</v>
      </c>
      <c r="Q24" s="22"/>
      <c r="R24" s="12"/>
      <c r="S24" s="6" t="e">
        <f t="shared" si="6"/>
        <v>#DIV/0!</v>
      </c>
    </row>
    <row r="25" spans="1:23" hidden="1" x14ac:dyDescent="0.25">
      <c r="C25" s="48"/>
    </row>
  </sheetData>
  <mergeCells count="7">
    <mergeCell ref="Y1:AB1"/>
    <mergeCell ref="Q1:S1"/>
    <mergeCell ref="B1:D1"/>
    <mergeCell ref="E1:G1"/>
    <mergeCell ref="H1:J1"/>
    <mergeCell ref="K1:M1"/>
    <mergeCell ref="N1:P1"/>
  </mergeCells>
  <phoneticPr fontId="9" type="noConversion"/>
  <conditionalFormatting sqref="D4:D24">
    <cfRule type="cellIs" dxfId="341" priority="41" operator="between">
      <formula>0.8</formula>
      <formula>0.9999</formula>
    </cfRule>
    <cfRule type="cellIs" dxfId="340" priority="40" operator="between">
      <formula>1</formula>
      <formula>1.1999</formula>
    </cfRule>
    <cfRule type="cellIs" dxfId="339" priority="39" operator="greaterThan">
      <formula>1.2</formula>
    </cfRule>
    <cfRule type="containsText" dxfId="338" priority="38" operator="containsText" text="-">
      <formula>NOT(ISERROR(SEARCH("-",D4)))</formula>
    </cfRule>
    <cfRule type="cellIs" dxfId="337" priority="42" operator="between">
      <formula>0</formula>
      <formula>0.7999</formula>
    </cfRule>
    <cfRule type="containsErrors" dxfId="336" priority="37">
      <formula>ISERROR(D4)</formula>
    </cfRule>
  </conditionalFormatting>
  <conditionalFormatting sqref="G4:G24">
    <cfRule type="containsText" dxfId="335" priority="32" operator="containsText" text="-">
      <formula>NOT(ISERROR(SEARCH("-",G4)))</formula>
    </cfRule>
    <cfRule type="cellIs" dxfId="334" priority="36" operator="between">
      <formula>0</formula>
      <formula>0.7999</formula>
    </cfRule>
    <cfRule type="cellIs" dxfId="333" priority="35" operator="between">
      <formula>0.8</formula>
      <formula>0.9999</formula>
    </cfRule>
    <cfRule type="cellIs" dxfId="332" priority="34" operator="between">
      <formula>1</formula>
      <formula>1.1999</formula>
    </cfRule>
    <cfRule type="cellIs" dxfId="331" priority="33" operator="greaterThan">
      <formula>1.2</formula>
    </cfRule>
    <cfRule type="containsErrors" dxfId="330" priority="31">
      <formula>ISERROR(G4)</formula>
    </cfRule>
  </conditionalFormatting>
  <conditionalFormatting sqref="J4:J24">
    <cfRule type="cellIs" dxfId="329" priority="30" operator="between">
      <formula>0</formula>
      <formula>0.7999</formula>
    </cfRule>
    <cfRule type="cellIs" dxfId="328" priority="29" operator="between">
      <formula>0.8</formula>
      <formula>0.9999</formula>
    </cfRule>
    <cfRule type="cellIs" dxfId="327" priority="28" operator="between">
      <formula>1</formula>
      <formula>1.1999</formula>
    </cfRule>
    <cfRule type="containsText" dxfId="326" priority="26" operator="containsText" text="-">
      <formula>NOT(ISERROR(SEARCH("-",J4)))</formula>
    </cfRule>
    <cfRule type="cellIs" dxfId="325" priority="27" operator="greaterThan">
      <formula>1.2</formula>
    </cfRule>
    <cfRule type="containsErrors" dxfId="324" priority="25">
      <formula>ISERROR(J4)</formula>
    </cfRule>
  </conditionalFormatting>
  <conditionalFormatting sqref="M4:M24">
    <cfRule type="containsErrors" dxfId="323" priority="19">
      <formula>ISERROR(M4)</formula>
    </cfRule>
    <cfRule type="containsText" dxfId="322" priority="20" operator="containsText" text="-">
      <formula>NOT(ISERROR(SEARCH("-",M4)))</formula>
    </cfRule>
    <cfRule type="cellIs" dxfId="321" priority="21" operator="greaterThan">
      <formula>1.2</formula>
    </cfRule>
    <cfRule type="cellIs" dxfId="320" priority="22" operator="between">
      <formula>1</formula>
      <formula>1.1999</formula>
    </cfRule>
    <cfRule type="cellIs" dxfId="319" priority="23" operator="between">
      <formula>0.8</formula>
      <formula>0.9999</formula>
    </cfRule>
    <cfRule type="cellIs" dxfId="318" priority="24" operator="between">
      <formula>0</formula>
      <formula>0.7999</formula>
    </cfRule>
  </conditionalFormatting>
  <conditionalFormatting sqref="P4:P24">
    <cfRule type="cellIs" dxfId="317" priority="18" operator="between">
      <formula>0</formula>
      <formula>0.7999</formula>
    </cfRule>
    <cfRule type="cellIs" dxfId="316" priority="16" operator="between">
      <formula>1</formula>
      <formula>1.1999</formula>
    </cfRule>
    <cfRule type="cellIs" dxfId="315" priority="17" operator="between">
      <formula>0.8</formula>
      <formula>0.9999</formula>
    </cfRule>
    <cfRule type="cellIs" dxfId="314" priority="15" operator="greaterThan">
      <formula>1.2</formula>
    </cfRule>
    <cfRule type="containsText" dxfId="313" priority="14" operator="containsText" text="-">
      <formula>NOT(ISERROR(SEARCH("-",P4)))</formula>
    </cfRule>
    <cfRule type="containsErrors" dxfId="312" priority="13">
      <formula>ISERROR(P4)</formula>
    </cfRule>
  </conditionalFormatting>
  <conditionalFormatting sqref="S4:S24">
    <cfRule type="cellIs" dxfId="311" priority="12" operator="between">
      <formula>0</formula>
      <formula>0.7999</formula>
    </cfRule>
    <cfRule type="cellIs" dxfId="310" priority="10" operator="between">
      <formula>1</formula>
      <formula>1.1999</formula>
    </cfRule>
    <cfRule type="cellIs" dxfId="309" priority="9" operator="greaterThan">
      <formula>1.2</formula>
    </cfRule>
    <cfRule type="containsText" dxfId="308" priority="8" operator="containsText" text="-">
      <formula>NOT(ISERROR(SEARCH("-",S4)))</formula>
    </cfRule>
    <cfRule type="containsErrors" dxfId="307" priority="7">
      <formula>ISERROR(S4)</formula>
    </cfRule>
    <cfRule type="cellIs" dxfId="306" priority="11" operator="between">
      <formula>0.8</formula>
      <formula>0.9999</formula>
    </cfRule>
  </conditionalFormatting>
  <conditionalFormatting sqref="AB3:AB6">
    <cfRule type="cellIs" dxfId="305" priority="6" operator="between">
      <formula>0</formula>
      <formula>0.7999</formula>
    </cfRule>
    <cfRule type="containsErrors" dxfId="304" priority="1">
      <formula>ISERROR(AB3)</formula>
    </cfRule>
    <cfRule type="cellIs" dxfId="303" priority="5" operator="between">
      <formula>0.8</formula>
      <formula>0.9999</formula>
    </cfRule>
    <cfRule type="cellIs" dxfId="302" priority="4" operator="between">
      <formula>1</formula>
      <formula>1.1999</formula>
    </cfRule>
    <cfRule type="cellIs" dxfId="301" priority="3" operator="greaterThan">
      <formula>1.2</formula>
    </cfRule>
    <cfRule type="containsText" dxfId="300" priority="2" operator="containsText" text="-">
      <formula>NOT(ISERROR(SEARCH("-",AB3)))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E599-E85C-4184-B241-2C87BE534C4E}">
  <sheetPr>
    <tabColor rgb="FF00B0F0"/>
  </sheetPr>
  <dimension ref="A1:AB25"/>
  <sheetViews>
    <sheetView zoomScale="85" zoomScaleNormal="85" workbookViewId="0">
      <pane xSplit="1" topLeftCell="B1" activePane="topRight" state="frozen"/>
      <selection activeCell="D10" sqref="D10"/>
      <selection pane="topRight" activeCell="G9" sqref="G9"/>
    </sheetView>
  </sheetViews>
  <sheetFormatPr defaultColWidth="9.140625" defaultRowHeight="15" x14ac:dyDescent="0.25"/>
  <cols>
    <col min="1" max="1" width="30.28515625" style="79" customWidth="1"/>
    <col min="2" max="2" width="13" style="2" customWidth="1"/>
    <col min="3" max="3" width="13.7109375" style="2" customWidth="1"/>
    <col min="4" max="4" width="14.42578125" style="2" customWidth="1"/>
    <col min="5" max="5" width="13.42578125" style="2" customWidth="1"/>
    <col min="6" max="6" width="15.7109375" style="2" customWidth="1"/>
    <col min="7" max="7" width="11" style="2" customWidth="1"/>
    <col min="8" max="8" width="14.85546875" style="2" customWidth="1"/>
    <col min="9" max="9" width="16.5703125" style="2" customWidth="1"/>
    <col min="10" max="10" width="13.5703125" style="2" customWidth="1"/>
    <col min="11" max="11" width="15.42578125" style="2" customWidth="1"/>
    <col min="12" max="12" width="18.28515625" style="2" customWidth="1"/>
    <col min="13" max="13" width="12.28515625" style="2" customWidth="1"/>
    <col min="14" max="14" width="15.140625" style="2" customWidth="1"/>
    <col min="15" max="15" width="11.7109375" style="2" customWidth="1"/>
    <col min="16" max="16" width="12.42578125" style="2" customWidth="1"/>
    <col min="17" max="17" width="16.140625" style="2" customWidth="1"/>
    <col min="18" max="18" width="16.85546875" style="2" customWidth="1"/>
    <col min="19" max="19" width="11.5703125" style="2" customWidth="1"/>
    <col min="20" max="20" width="13.85546875" style="2" customWidth="1"/>
    <col min="21" max="21" width="15" style="2" customWidth="1"/>
    <col min="22" max="22" width="3.7109375" style="2" customWidth="1"/>
    <col min="23" max="23" width="14.42578125" style="2" customWidth="1"/>
    <col min="24" max="24" width="9.140625" style="2" customWidth="1"/>
    <col min="25" max="25" width="18.140625" style="2" bestFit="1" customWidth="1"/>
    <col min="26" max="26" width="18.28515625" style="2" customWidth="1"/>
    <col min="27" max="27" width="15" style="2" customWidth="1"/>
    <col min="28" max="28" width="16.85546875" style="2" customWidth="1"/>
    <col min="29" max="16384" width="9.140625" style="2"/>
  </cols>
  <sheetData>
    <row r="1" spans="1:28" ht="26.25" customHeight="1" x14ac:dyDescent="0.25">
      <c r="B1" s="113" t="s">
        <v>114</v>
      </c>
      <c r="C1" s="113"/>
      <c r="D1" s="113"/>
      <c r="E1" s="113" t="s">
        <v>115</v>
      </c>
      <c r="F1" s="113"/>
      <c r="G1" s="113"/>
      <c r="H1" s="113" t="s">
        <v>116</v>
      </c>
      <c r="I1" s="113"/>
      <c r="J1" s="113"/>
      <c r="K1" s="113" t="s">
        <v>117</v>
      </c>
      <c r="L1" s="113"/>
      <c r="M1" s="113"/>
      <c r="N1" s="113" t="s">
        <v>118</v>
      </c>
      <c r="O1" s="113"/>
      <c r="P1" s="113"/>
      <c r="Q1" s="110" t="s">
        <v>1</v>
      </c>
      <c r="R1" s="111"/>
      <c r="S1" s="112"/>
      <c r="Y1" s="109" t="s">
        <v>2</v>
      </c>
      <c r="Z1" s="109"/>
      <c r="AA1" s="109"/>
      <c r="AB1" s="109"/>
    </row>
    <row r="2" spans="1:28" ht="30" x14ac:dyDescent="0.25">
      <c r="A2" s="15" t="s">
        <v>54</v>
      </c>
      <c r="B2" s="16" t="s">
        <v>4</v>
      </c>
      <c r="C2" s="16" t="s">
        <v>5</v>
      </c>
      <c r="D2" s="16" t="s">
        <v>6</v>
      </c>
      <c r="E2" s="16" t="s">
        <v>7</v>
      </c>
      <c r="F2" s="16" t="s">
        <v>8</v>
      </c>
      <c r="G2" s="16" t="s">
        <v>9</v>
      </c>
      <c r="H2" s="16" t="s">
        <v>10</v>
      </c>
      <c r="I2" s="16" t="s">
        <v>11</v>
      </c>
      <c r="J2" s="16" t="s">
        <v>12</v>
      </c>
      <c r="K2" s="16" t="s">
        <v>13</v>
      </c>
      <c r="L2" s="16" t="s">
        <v>14</v>
      </c>
      <c r="M2" s="16" t="s">
        <v>15</v>
      </c>
      <c r="N2" s="16" t="s">
        <v>16</v>
      </c>
      <c r="O2" s="16" t="s">
        <v>17</v>
      </c>
      <c r="P2" s="16" t="s">
        <v>18</v>
      </c>
      <c r="Q2" s="16" t="s">
        <v>19</v>
      </c>
      <c r="R2" s="16" t="s">
        <v>20</v>
      </c>
      <c r="S2" s="16" t="s">
        <v>21</v>
      </c>
      <c r="Y2" s="17" t="s">
        <v>22</v>
      </c>
      <c r="Z2" s="17" t="s">
        <v>23</v>
      </c>
      <c r="AA2" s="92" t="s">
        <v>24</v>
      </c>
      <c r="AB2" s="92" t="s">
        <v>25</v>
      </c>
    </row>
    <row r="3" spans="1:28" x14ac:dyDescent="0.25">
      <c r="A3" s="73"/>
      <c r="B3" s="17" t="s">
        <v>26</v>
      </c>
      <c r="C3" s="10" t="s">
        <v>27</v>
      </c>
      <c r="D3" s="17" t="s">
        <v>28</v>
      </c>
      <c r="E3" s="17" t="s">
        <v>26</v>
      </c>
      <c r="F3" s="10" t="s">
        <v>27</v>
      </c>
      <c r="G3" s="17" t="s">
        <v>28</v>
      </c>
      <c r="H3" s="17" t="s">
        <v>26</v>
      </c>
      <c r="I3" s="10" t="s">
        <v>27</v>
      </c>
      <c r="J3" s="17" t="s">
        <v>28</v>
      </c>
      <c r="K3" s="17" t="s">
        <v>26</v>
      </c>
      <c r="L3" s="10" t="s">
        <v>27</v>
      </c>
      <c r="M3" s="17" t="s">
        <v>28</v>
      </c>
      <c r="N3" s="17" t="s">
        <v>26</v>
      </c>
      <c r="O3" s="10" t="s">
        <v>27</v>
      </c>
      <c r="P3" s="17" t="s">
        <v>28</v>
      </c>
      <c r="Q3" s="17" t="s">
        <v>26</v>
      </c>
      <c r="R3" s="10" t="s">
        <v>27</v>
      </c>
      <c r="S3" s="26" t="s">
        <v>28</v>
      </c>
      <c r="Y3" s="14" t="s">
        <v>29</v>
      </c>
      <c r="Z3" s="56">
        <f>[1]RECEITA!$AF$12</f>
        <v>376010.68999999994</v>
      </c>
      <c r="AA3" s="90">
        <f>R4</f>
        <v>339014.39</v>
      </c>
      <c r="AB3" s="6">
        <f>AA3/Z3</f>
        <v>0.90160838246380726</v>
      </c>
    </row>
    <row r="4" spans="1:28" x14ac:dyDescent="0.25">
      <c r="A4" s="28" t="s">
        <v>55</v>
      </c>
      <c r="B4" s="20">
        <f>[1]RECEITA!$B$12</f>
        <v>27372.092721831839</v>
      </c>
      <c r="C4" s="40">
        <f>[1]RECEITA!$D$12</f>
        <v>14818.59</v>
      </c>
      <c r="D4" s="6">
        <f>C4/B4</f>
        <v>0.54137585133126376</v>
      </c>
      <c r="E4" s="20">
        <f>[1]RECEITA!$H$12</f>
        <v>86088.448645482844</v>
      </c>
      <c r="F4" s="40">
        <f>[1]RECEITA!$J$12</f>
        <v>88579.56</v>
      </c>
      <c r="G4" s="6">
        <f>F4/E4</f>
        <v>1.0289366505461806</v>
      </c>
      <c r="H4" s="20">
        <f>[1]RECEITA!$N$12</f>
        <v>87818.64087097744</v>
      </c>
      <c r="I4" s="40">
        <f>[1]RECEITA!$P$12</f>
        <v>78788.899999999994</v>
      </c>
      <c r="J4" s="6">
        <f>I4/H4</f>
        <v>0.89717740127356471</v>
      </c>
      <c r="K4" s="20">
        <f>[1]RECEITA!$T$12</f>
        <v>89094.268726348193</v>
      </c>
      <c r="L4" s="40">
        <f>[1]RECEITA!$V$12</f>
        <v>70821.36</v>
      </c>
      <c r="M4" s="6">
        <f>L4/K4</f>
        <v>0.79490365668219154</v>
      </c>
      <c r="N4" s="20">
        <f>[1]RECEITA!$Z$12</f>
        <v>85637.239035359657</v>
      </c>
      <c r="O4" s="40">
        <f>[1]RECEITA!$AB$12</f>
        <v>86005.98</v>
      </c>
      <c r="P4" s="6">
        <f>O4/N4</f>
        <v>1.0043058483528187</v>
      </c>
      <c r="Q4" s="20">
        <f>IF(O4 = 0, IF(L4 = 0, IF(I4 = 0, IF(F4 = 0, B4, SUM(B4, E4)), SUM(B4, E4, H4)), SUM(B4, E4, H4, K4)), SUM(B4, E4, H4, K4, N4))</f>
        <v>376010.68999999994</v>
      </c>
      <c r="R4" s="52">
        <f>O4+L4+I4+F4+C4</f>
        <v>339014.39</v>
      </c>
      <c r="S4" s="6">
        <f t="shared" ref="S4:S10" si="0">R4/Q4</f>
        <v>0.90160838246380726</v>
      </c>
      <c r="U4" s="47"/>
      <c r="V4" s="47"/>
      <c r="W4" s="61">
        <f>SUM(N4+K4+H4+E4+B4)</f>
        <v>376010.68999999994</v>
      </c>
      <c r="Y4" s="14" t="s">
        <v>31</v>
      </c>
      <c r="Z4" s="56">
        <f>Z3/Z5</f>
        <v>165.49766285211268</v>
      </c>
      <c r="AA4" s="90">
        <f>R5</f>
        <v>174.12141242937855</v>
      </c>
      <c r="AB4" s="6">
        <f t="shared" ref="AB4:AB6" si="1">AA4/Z4</f>
        <v>1.052107984056379</v>
      </c>
    </row>
    <row r="5" spans="1:28" x14ac:dyDescent="0.25">
      <c r="A5" s="28" t="s">
        <v>32</v>
      </c>
      <c r="B5" s="20">
        <f>B4/B8</f>
        <v>161.91328284253945</v>
      </c>
      <c r="C5" s="7">
        <f>'[1]VENDA MÉDIA'!$D$12</f>
        <v>192.44922077922078</v>
      </c>
      <c r="D5" s="6">
        <f t="shared" ref="D5:D24" si="2">C5/B5</f>
        <v>1.1885943969549275</v>
      </c>
      <c r="E5" s="20">
        <f>E4/E8</f>
        <v>162.83116039590161</v>
      </c>
      <c r="F5" s="7">
        <f>'[1]VENDA MÉDIA'!$I$12</f>
        <v>178.94860606060607</v>
      </c>
      <c r="G5" s="6">
        <f t="shared" ref="G5:G24" si="3">F5/E5</f>
        <v>1.0989825634449641</v>
      </c>
      <c r="H5" s="20">
        <f>H4/H8</f>
        <v>154.75697229681901</v>
      </c>
      <c r="I5" s="7">
        <f>'[1]VENDA MÉDIA'!$N$12</f>
        <v>177.05370786516852</v>
      </c>
      <c r="J5" s="6">
        <f t="shared" ref="J5:J24" si="4">I5/H5</f>
        <v>1.1440758063267422</v>
      </c>
      <c r="K5" s="20">
        <f>K4/K8</f>
        <v>168.17397641542385</v>
      </c>
      <c r="L5" s="69">
        <f>'[1]VENDA MÉDIA'!$S$12</f>
        <v>169.42909090909092</v>
      </c>
      <c r="M5" s="6">
        <f t="shared" ref="M5:M24" si="5">L5/K5</f>
        <v>1.0074631909194243</v>
      </c>
      <c r="N5" s="20">
        <f>N4/N8</f>
        <v>179.52835815006608</v>
      </c>
      <c r="O5" s="69">
        <f>'[1]VENDA MÉDIA'!$X$12</f>
        <v>167.98042968749999</v>
      </c>
      <c r="P5" s="6">
        <f t="shared" ref="P5:P24" si="6">O5/N5</f>
        <v>0.9356762988223104</v>
      </c>
      <c r="Q5" s="60">
        <f>Q4/Q8</f>
        <v>165.49766285211271</v>
      </c>
      <c r="R5" s="8">
        <f>R4/R8</f>
        <v>174.12141242937855</v>
      </c>
      <c r="S5" s="6">
        <f t="shared" si="0"/>
        <v>1.0521079840563787</v>
      </c>
      <c r="Y5" s="14" t="s">
        <v>33</v>
      </c>
      <c r="Z5" s="14">
        <f>[1]BOLETOS!$AB$11</f>
        <v>2271.9999999999995</v>
      </c>
      <c r="AA5" s="91">
        <f>R8</f>
        <v>1947</v>
      </c>
      <c r="AB5" s="6">
        <f t="shared" si="1"/>
        <v>0.85695422535211285</v>
      </c>
    </row>
    <row r="6" spans="1:28" x14ac:dyDescent="0.25">
      <c r="A6" s="28" t="s">
        <v>56</v>
      </c>
      <c r="B6" s="41">
        <f>'[1]ITENS POR BOLETO'!$A$11</f>
        <v>2.91</v>
      </c>
      <c r="C6" s="43">
        <f>'[1]ITENS POR BOLETO'!$D$11</f>
        <v>3.0129870129870131</v>
      </c>
      <c r="D6" s="6">
        <f t="shared" si="2"/>
        <v>1.0353907261123756</v>
      </c>
      <c r="E6" s="17">
        <f t="shared" ref="E6:E21" si="7">B6</f>
        <v>2.91</v>
      </c>
      <c r="F6" s="100">
        <f>'[1]ITENS POR BOLETO'!$I$11</f>
        <v>3.0707070707070705</v>
      </c>
      <c r="G6" s="6">
        <f t="shared" si="3"/>
        <v>1.0552257974938386</v>
      </c>
      <c r="H6" s="17">
        <f t="shared" ref="H6:H21" si="8">E6</f>
        <v>2.91</v>
      </c>
      <c r="I6" s="100">
        <f>'[1]ITENS POR BOLETO'!$N$11</f>
        <v>2.9505617977528091</v>
      </c>
      <c r="J6" s="6">
        <f t="shared" si="4"/>
        <v>1.0139387621143674</v>
      </c>
      <c r="K6" s="17">
        <f t="shared" ref="K6:K21" si="9">H6</f>
        <v>2.91</v>
      </c>
      <c r="L6" s="43">
        <f>'[1]ITENS POR BOLETO'!$S$11</f>
        <v>3.0933014354066986</v>
      </c>
      <c r="M6" s="6">
        <f t="shared" si="5"/>
        <v>1.062990183988556</v>
      </c>
      <c r="N6" s="17">
        <f t="shared" ref="N6:N21" si="10">K6</f>
        <v>2.91</v>
      </c>
      <c r="O6" s="43">
        <f>'[1]ITENS POR BOLETO'!$X$11</f>
        <v>2.810546875</v>
      </c>
      <c r="P6" s="6">
        <f t="shared" si="6"/>
        <v>0.96582366838487965</v>
      </c>
      <c r="Q6" s="17">
        <f>B6</f>
        <v>2.91</v>
      </c>
      <c r="R6" s="43">
        <f>'[1]ITENS POR BOLETO'!$AC$11</f>
        <v>2.977401129943503</v>
      </c>
      <c r="S6" s="6">
        <f t="shared" si="0"/>
        <v>1.0231619003242278</v>
      </c>
      <c r="Y6" s="93" t="s">
        <v>35</v>
      </c>
      <c r="Z6" s="93">
        <v>13</v>
      </c>
      <c r="AA6" s="93">
        <f>R17</f>
        <v>43</v>
      </c>
      <c r="AB6" s="99">
        <f t="shared" si="1"/>
        <v>3.3076923076923075</v>
      </c>
    </row>
    <row r="7" spans="1:28" x14ac:dyDescent="0.25">
      <c r="A7" s="29" t="s">
        <v>36</v>
      </c>
      <c r="B7" s="27">
        <f>'[1]PREÇO MÉDIO'!$A$11</f>
        <v>56.876804123711338</v>
      </c>
      <c r="C7" s="40">
        <f>'[1]PREÇO MÉDIO'!$D$11</f>
        <v>63.873232758620688</v>
      </c>
      <c r="D7" s="6">
        <f t="shared" si="2"/>
        <v>1.1230102278547787</v>
      </c>
      <c r="E7" s="27">
        <f t="shared" si="7"/>
        <v>56.876804123711338</v>
      </c>
      <c r="F7" s="40">
        <f>'[1]PREÇO MÉDIO'!$I$11</f>
        <v>58.276026315789473</v>
      </c>
      <c r="G7" s="6">
        <f t="shared" si="3"/>
        <v>1.0246009285091813</v>
      </c>
      <c r="H7" s="27">
        <f t="shared" si="8"/>
        <v>56.876804123711338</v>
      </c>
      <c r="I7" s="40">
        <f>'[1]PREÇO MÉDIO'!$N$11</f>
        <v>60.006778370144701</v>
      </c>
      <c r="J7" s="6">
        <f t="shared" si="4"/>
        <v>1.0550307685998923</v>
      </c>
      <c r="K7" s="27">
        <f t="shared" si="9"/>
        <v>56.876804123711338</v>
      </c>
      <c r="L7" s="40">
        <f>'[1]PREÇO MÉDIO'!$S$11</f>
        <v>54.772900232018564</v>
      </c>
      <c r="M7" s="6">
        <f t="shared" si="5"/>
        <v>0.96300945659470205</v>
      </c>
      <c r="N7" s="27">
        <f t="shared" si="10"/>
        <v>56.876804123711338</v>
      </c>
      <c r="O7" s="40">
        <f>'[1]PREÇO MÉDIO'!$X$11</f>
        <v>59.767880472550381</v>
      </c>
      <c r="P7" s="6">
        <f t="shared" si="6"/>
        <v>1.0508304992409689</v>
      </c>
      <c r="Q7" s="27">
        <f>B7</f>
        <v>56.876804123711338</v>
      </c>
      <c r="R7" s="40">
        <f>'[1]PREÇO MÉDIO'!$AC$11</f>
        <v>58.481005692599624</v>
      </c>
      <c r="S7" s="6">
        <f t="shared" si="0"/>
        <v>1.028204847188654</v>
      </c>
    </row>
    <row r="8" spans="1:28" x14ac:dyDescent="0.25">
      <c r="A8" s="28" t="s">
        <v>37</v>
      </c>
      <c r="B8" s="58">
        <f>[1]BOLETOS!$C$11</f>
        <v>169.05402843601894</v>
      </c>
      <c r="C8" s="10">
        <f>[1]BOLETOS!$D$11</f>
        <v>77</v>
      </c>
      <c r="D8" s="6">
        <f t="shared" si="2"/>
        <v>0.45547568852606085</v>
      </c>
      <c r="E8" s="58">
        <f>[1]BOLETOS!$H$11</f>
        <v>528.69763033175343</v>
      </c>
      <c r="F8" s="59">
        <f>[1]BOLETOS!$I$11</f>
        <v>495</v>
      </c>
      <c r="G8" s="6">
        <f t="shared" si="3"/>
        <v>0.93626294426436441</v>
      </c>
      <c r="H8" s="58">
        <f>[1]BOLETOS!$M$11</f>
        <v>567.46161137440743</v>
      </c>
      <c r="I8" s="59">
        <f>[1]BOLETOS!$N$11</f>
        <v>445</v>
      </c>
      <c r="J8" s="6">
        <f t="shared" si="4"/>
        <v>0.78419401608894379</v>
      </c>
      <c r="K8" s="58">
        <f>[1]BOLETOS!$R$11</f>
        <v>529.77440758293824</v>
      </c>
      <c r="L8" s="59">
        <f>[1]BOLETOS!$S$11</f>
        <v>418</v>
      </c>
      <c r="M8" s="6">
        <f t="shared" si="5"/>
        <v>0.78901508645368168</v>
      </c>
      <c r="N8" s="58">
        <f>[1]BOLETOS!$W$11</f>
        <v>477.0123222748814</v>
      </c>
      <c r="O8" s="59">
        <f>[1]BOLETOS!$X$11</f>
        <v>512</v>
      </c>
      <c r="P8" s="6">
        <f t="shared" si="6"/>
        <v>1.0733475344164312</v>
      </c>
      <c r="Q8" s="51">
        <f>IF(O8 = 0, IF(L8 = 0, IF(I8 = 0, IF(F8 = 0, B8, SUM(B8, E8)), SUM(B8, E8, H8)), SUM(B8, E8, H8, K8)), SUM(B8, E8, H8, K8, N8))</f>
        <v>2271.9999999999991</v>
      </c>
      <c r="R8" s="59">
        <f>C8+F8+I8+L8+O8</f>
        <v>1947</v>
      </c>
      <c r="S8" s="6">
        <f t="shared" si="0"/>
        <v>0.85695422535211296</v>
      </c>
      <c r="W8" s="62">
        <f t="shared" ref="W8" si="11">SUM(N8+K8+H8+E8+B8)</f>
        <v>2271.9999999999995</v>
      </c>
    </row>
    <row r="9" spans="1:28" x14ac:dyDescent="0.25">
      <c r="A9" s="18" t="s">
        <v>38</v>
      </c>
      <c r="B9" s="19">
        <v>0.34</v>
      </c>
      <c r="C9" s="65">
        <f>'[1]TAXA DE CONVERSÃO'!$D$11</f>
        <v>0</v>
      </c>
      <c r="D9" s="6">
        <f>C9/B9</f>
        <v>0</v>
      </c>
      <c r="E9" s="19">
        <f>Tabela13[[#This Row],[1° SEMANA ]]</f>
        <v>0.34</v>
      </c>
      <c r="F9" s="65">
        <f>'[1]TAXA DE CONVERSÃO'!$I$11</f>
        <v>0.41399999999999998</v>
      </c>
      <c r="G9" s="6">
        <f>F9/E9</f>
        <v>1.2176470588235293</v>
      </c>
      <c r="H9" s="19">
        <f>Tabela13[[#This Row],[2° SEMANA ]]</f>
        <v>0.34</v>
      </c>
      <c r="I9" s="65">
        <f>'[1]TAXA DE CONVERSÃO'!$N$11</f>
        <v>0.40699999999999997</v>
      </c>
      <c r="J9" s="6">
        <f>I9/H9</f>
        <v>1.1970588235294115</v>
      </c>
      <c r="K9" s="19">
        <f>Tabela13[[#This Row],[3° SEMANA ]]</f>
        <v>0.34</v>
      </c>
      <c r="L9" s="65">
        <f>'[1]TAXA DE CONVERSÃO'!$S$11</f>
        <v>0.40200000000000002</v>
      </c>
      <c r="M9" s="6">
        <f>L9/K9</f>
        <v>1.1823529411764706</v>
      </c>
      <c r="N9" s="19">
        <f>Tabela13[[#This Row],[4° SEMANA ]]</f>
        <v>0.34</v>
      </c>
      <c r="O9" s="65">
        <f>'[1]TAXA DE CONVERSÃO'!$X$11</f>
        <v>0.43099999999999999</v>
      </c>
      <c r="P9" s="6">
        <f>O9/N9</f>
        <v>1.2676470588235293</v>
      </c>
      <c r="Q9" s="19">
        <f>Tabela1[[#This Row],[5° SEMANA ]]</f>
        <v>0.34</v>
      </c>
      <c r="R9" s="65">
        <f t="shared" ref="R9:R16" si="12">O9</f>
        <v>0.43099999999999999</v>
      </c>
      <c r="S9" s="6">
        <f t="shared" si="0"/>
        <v>1.2676470588235293</v>
      </c>
    </row>
    <row r="10" spans="1:28" ht="30" x14ac:dyDescent="0.25">
      <c r="A10" s="28" t="s">
        <v>57</v>
      </c>
      <c r="B10" s="19">
        <v>0.88</v>
      </c>
      <c r="C10" s="5">
        <f>'[1]PENETRAÇÃO D BOLETOS FIDELIDADE'!$D$12</f>
        <v>0.92310000000000003</v>
      </c>
      <c r="D10" s="6">
        <f t="shared" si="2"/>
        <v>1.0489772727272728</v>
      </c>
      <c r="E10" s="19">
        <f t="shared" si="7"/>
        <v>0.88</v>
      </c>
      <c r="F10" s="5">
        <f>'[1]PENETRAÇÃO D BOLETOS FIDELIDADE'!$I$12</f>
        <v>0.93489999999999995</v>
      </c>
      <c r="G10" s="6">
        <f t="shared" si="3"/>
        <v>1.0623863636363635</v>
      </c>
      <c r="H10" s="19">
        <f t="shared" si="8"/>
        <v>0.88</v>
      </c>
      <c r="I10" s="5">
        <f>'[1]PENETRAÇÃO D BOLETOS FIDELIDADE'!$N$12</f>
        <v>0.93179999999999996</v>
      </c>
      <c r="J10" s="6">
        <f t="shared" si="4"/>
        <v>1.0588636363636363</v>
      </c>
      <c r="K10" s="19">
        <f t="shared" si="9"/>
        <v>0.88</v>
      </c>
      <c r="L10" s="5">
        <f>'[1]PENETRAÇÃO D BOLETOS FIDELIDADE'!$S$12</f>
        <v>0.93100000000000005</v>
      </c>
      <c r="M10" s="6">
        <f t="shared" si="5"/>
        <v>1.0579545454545456</v>
      </c>
      <c r="N10" s="19">
        <f t="shared" si="10"/>
        <v>0.88</v>
      </c>
      <c r="O10" s="5">
        <f>'[1]PENETRAÇÃO D BOLETOS FIDELIDADE'!$X$12</f>
        <v>0.91800000000000004</v>
      </c>
      <c r="P10" s="6">
        <f t="shared" si="6"/>
        <v>1.0431818181818182</v>
      </c>
      <c r="Q10" s="19">
        <f t="shared" ref="Q10:Q16" si="13">B10</f>
        <v>0.88</v>
      </c>
      <c r="R10" s="5">
        <f t="shared" si="12"/>
        <v>0.91800000000000004</v>
      </c>
      <c r="S10" s="6">
        <f t="shared" si="0"/>
        <v>1.0431818181818182</v>
      </c>
      <c r="U10" s="48"/>
      <c r="X10" s="48"/>
    </row>
    <row r="11" spans="1:28" x14ac:dyDescent="0.25">
      <c r="A11" s="18" t="s">
        <v>58</v>
      </c>
      <c r="B11" s="21">
        <v>0.45</v>
      </c>
      <c r="C11" s="5">
        <f>'[1]RESGATE FIDELIDADE'!$D$11</f>
        <v>0.79159999999999997</v>
      </c>
      <c r="D11" s="6">
        <f t="shared" si="2"/>
        <v>1.7591111111111111</v>
      </c>
      <c r="E11" s="21">
        <f t="shared" si="7"/>
        <v>0.45</v>
      </c>
      <c r="F11" s="5">
        <f>'[1]RESGATE FIDELIDADE'!$I$11</f>
        <v>0.65569999999999995</v>
      </c>
      <c r="G11" s="6">
        <f t="shared" si="3"/>
        <v>1.457111111111111</v>
      </c>
      <c r="H11" s="21">
        <f t="shared" si="8"/>
        <v>0.45</v>
      </c>
      <c r="I11" s="5">
        <f>'[1]RESGATE FIDELIDADE'!$N$11</f>
        <v>0.63600000000000001</v>
      </c>
      <c r="J11" s="6">
        <f t="shared" si="4"/>
        <v>1.4133333333333333</v>
      </c>
      <c r="K11" s="21">
        <f t="shared" si="9"/>
        <v>0.45</v>
      </c>
      <c r="L11" s="5">
        <f>'[1]RESGATE FIDELIDADE'!$S$11</f>
        <v>0.62270000000000003</v>
      </c>
      <c r="M11" s="6">
        <f t="shared" si="5"/>
        <v>1.3837777777777778</v>
      </c>
      <c r="N11" s="21">
        <f t="shared" si="10"/>
        <v>0.45</v>
      </c>
      <c r="O11" s="5">
        <f>'[1]RESGATE FIDELIDADE'!$X$11</f>
        <v>0.60499999999999998</v>
      </c>
      <c r="P11" s="6">
        <f t="shared" si="6"/>
        <v>1.3444444444444443</v>
      </c>
      <c r="Q11" s="21">
        <f t="shared" si="13"/>
        <v>0.45</v>
      </c>
      <c r="R11" s="5">
        <f t="shared" si="12"/>
        <v>0.60499999999999998</v>
      </c>
      <c r="S11" s="6">
        <f t="shared" ref="S11:S24" si="14">R11/Q11</f>
        <v>1.3444444444444443</v>
      </c>
    </row>
    <row r="12" spans="1:28" x14ac:dyDescent="0.25">
      <c r="A12" s="18" t="s">
        <v>59</v>
      </c>
      <c r="B12" s="21">
        <v>1.7000000000000001E-2</v>
      </c>
      <c r="C12" s="5">
        <f>'[1]GESTÃO CATEGORIAS LOJAS (SKIN)'!$D$11</f>
        <v>4.0000000000000001E-3</v>
      </c>
      <c r="D12" s="6">
        <f t="shared" si="2"/>
        <v>0.23529411764705882</v>
      </c>
      <c r="E12" s="21">
        <f t="shared" si="7"/>
        <v>1.7000000000000001E-2</v>
      </c>
      <c r="F12" s="5">
        <f>'[1]GESTÃO CATEGORIAS LOJAS (SKIN)'!$I$11</f>
        <v>4.53E-2</v>
      </c>
      <c r="G12" s="6">
        <f t="shared" si="3"/>
        <v>2.664705882352941</v>
      </c>
      <c r="H12" s="21">
        <f t="shared" si="8"/>
        <v>1.7000000000000001E-2</v>
      </c>
      <c r="I12" s="5">
        <f>'[1]GESTÃO CATEGORIAS LOJAS (SKIN)'!$N$11</f>
        <v>4.0300000000000002E-2</v>
      </c>
      <c r="J12" s="6">
        <f t="shared" si="4"/>
        <v>2.3705882352941177</v>
      </c>
      <c r="K12" s="21">
        <f t="shared" si="9"/>
        <v>1.7000000000000001E-2</v>
      </c>
      <c r="L12" s="5">
        <f>'[1]GESTÃO CATEGORIAS LOJAS (SKIN)'!$S$11</f>
        <v>3.4200000000000001E-2</v>
      </c>
      <c r="M12" s="6">
        <f t="shared" si="5"/>
        <v>2.0117647058823529</v>
      </c>
      <c r="N12" s="21">
        <f t="shared" si="10"/>
        <v>1.7000000000000001E-2</v>
      </c>
      <c r="O12" s="5">
        <f>'[1]GESTÃO CATEGORIAS LOJAS (SKIN)'!$X$11</f>
        <v>2.8299999999999999E-2</v>
      </c>
      <c r="P12" s="6">
        <f t="shared" si="6"/>
        <v>1.664705882352941</v>
      </c>
      <c r="Q12" s="21">
        <f t="shared" si="13"/>
        <v>1.7000000000000001E-2</v>
      </c>
      <c r="R12" s="5">
        <f t="shared" si="12"/>
        <v>2.8299999999999999E-2</v>
      </c>
      <c r="S12" s="6">
        <f t="shared" si="14"/>
        <v>1.664705882352941</v>
      </c>
    </row>
    <row r="13" spans="1:28" x14ac:dyDescent="0.25">
      <c r="A13" s="18" t="s">
        <v>60</v>
      </c>
      <c r="B13" s="21">
        <v>0.27</v>
      </c>
      <c r="C13" s="5">
        <f>'[1]PENETRAÇÃO BP'!$D$11</f>
        <v>0.41510000000000002</v>
      </c>
      <c r="D13" s="6">
        <f t="shared" si="2"/>
        <v>1.5374074074074073</v>
      </c>
      <c r="E13" s="21">
        <f t="shared" si="7"/>
        <v>0.27</v>
      </c>
      <c r="F13" s="5">
        <f>'[1]PENETRAÇÃO BP'!$I$11</f>
        <v>0.35820000000000002</v>
      </c>
      <c r="G13" s="6">
        <f t="shared" si="3"/>
        <v>1.3266666666666667</v>
      </c>
      <c r="H13" s="21">
        <f t="shared" si="8"/>
        <v>0.27</v>
      </c>
      <c r="I13" s="5">
        <f>'[1]PENETRAÇÃO BP'!$N$11</f>
        <v>0.33239999999999997</v>
      </c>
      <c r="J13" s="6">
        <f t="shared" si="4"/>
        <v>1.2311111111111108</v>
      </c>
      <c r="K13" s="21">
        <f t="shared" si="9"/>
        <v>0.27</v>
      </c>
      <c r="L13" s="5">
        <f>'[1]PENETRAÇÃO BP'!$S$11</f>
        <v>0.34150000000000003</v>
      </c>
      <c r="M13" s="6">
        <f t="shared" si="5"/>
        <v>1.2648148148148148</v>
      </c>
      <c r="N13" s="21">
        <f t="shared" si="10"/>
        <v>0.27</v>
      </c>
      <c r="O13" s="5">
        <f>'[1]PENETRAÇÃO BP'!$X$11</f>
        <v>0.3211</v>
      </c>
      <c r="P13" s="6">
        <f t="shared" si="6"/>
        <v>1.1892592592592592</v>
      </c>
      <c r="Q13" s="21">
        <f t="shared" si="13"/>
        <v>0.27</v>
      </c>
      <c r="R13" s="5">
        <f t="shared" si="12"/>
        <v>0.3211</v>
      </c>
      <c r="S13" s="6">
        <f t="shared" si="14"/>
        <v>1.1892592592592592</v>
      </c>
    </row>
    <row r="14" spans="1:28" x14ac:dyDescent="0.25">
      <c r="A14" s="28" t="s">
        <v>43</v>
      </c>
      <c r="B14" s="21">
        <v>0.22</v>
      </c>
      <c r="C14" s="5">
        <f>'[1]PENETRAÇÃO BT'!$D$11</f>
        <v>0.39739999999999998</v>
      </c>
      <c r="D14" s="6">
        <f t="shared" si="2"/>
        <v>1.8063636363636362</v>
      </c>
      <c r="E14" s="21">
        <f t="shared" si="7"/>
        <v>0.22</v>
      </c>
      <c r="F14" s="5">
        <f>'[1]PENETRAÇÃO BT'!$I$11</f>
        <v>0.35309999999999997</v>
      </c>
      <c r="G14" s="6">
        <f t="shared" si="3"/>
        <v>1.6049999999999998</v>
      </c>
      <c r="H14" s="21">
        <f t="shared" si="8"/>
        <v>0.22</v>
      </c>
      <c r="I14" s="5">
        <f>'[1]PENETRAÇÃO BT'!$N$11</f>
        <v>0.32980000000000004</v>
      </c>
      <c r="J14" s="6">
        <f t="shared" si="4"/>
        <v>1.4990909090909093</v>
      </c>
      <c r="K14" s="21">
        <f t="shared" si="9"/>
        <v>0.22</v>
      </c>
      <c r="L14" s="5">
        <f>'[1]PENETRAÇÃO BT'!$S$11</f>
        <v>0.31859999999999999</v>
      </c>
      <c r="M14" s="6">
        <f t="shared" si="5"/>
        <v>1.4481818181818182</v>
      </c>
      <c r="N14" s="21">
        <f t="shared" si="10"/>
        <v>0.22</v>
      </c>
      <c r="O14" s="5">
        <f>'[1]PENETRAÇÃO BT'!$X$11</f>
        <v>0.28970000000000001</v>
      </c>
      <c r="P14" s="6">
        <f t="shared" si="6"/>
        <v>1.3168181818181819</v>
      </c>
      <c r="Q14" s="21">
        <f t="shared" si="13"/>
        <v>0.22</v>
      </c>
      <c r="R14" s="5">
        <f t="shared" si="12"/>
        <v>0.28970000000000001</v>
      </c>
      <c r="S14" s="6">
        <f t="shared" si="14"/>
        <v>1.3168181818181819</v>
      </c>
    </row>
    <row r="15" spans="1:28" x14ac:dyDescent="0.25">
      <c r="A15" s="28" t="s">
        <v>44</v>
      </c>
      <c r="B15" s="22">
        <v>0.6</v>
      </c>
      <c r="C15" s="5">
        <f>'[1]ID DO CLIENTE'!$D$11</f>
        <v>0.78209999999999991</v>
      </c>
      <c r="D15" s="6">
        <f t="shared" si="2"/>
        <v>1.3034999999999999</v>
      </c>
      <c r="E15" s="22">
        <f t="shared" si="7"/>
        <v>0.6</v>
      </c>
      <c r="F15" s="5">
        <f>'[1]ID DO CLIENTE'!$I$11</f>
        <v>0.81279999999999997</v>
      </c>
      <c r="G15" s="6">
        <f t="shared" si="3"/>
        <v>1.3546666666666667</v>
      </c>
      <c r="H15" s="22">
        <f t="shared" si="8"/>
        <v>0.6</v>
      </c>
      <c r="I15" s="5">
        <f>'[1]ID DO CLIENTE'!$N$11</f>
        <v>0.79339999999999999</v>
      </c>
      <c r="J15" s="6">
        <f t="shared" si="4"/>
        <v>1.3223333333333334</v>
      </c>
      <c r="K15" s="22">
        <f t="shared" si="9"/>
        <v>0.6</v>
      </c>
      <c r="L15" s="5">
        <f>'[1]ID DO CLIENTE'!$S$11</f>
        <v>0.79769999999999996</v>
      </c>
      <c r="M15" s="6">
        <f t="shared" si="5"/>
        <v>1.3294999999999999</v>
      </c>
      <c r="N15" s="22">
        <f t="shared" si="10"/>
        <v>0.6</v>
      </c>
      <c r="O15" s="5">
        <f>'[1]ID DO CLIENTE'!$X$11</f>
        <v>0.80959999999999999</v>
      </c>
      <c r="P15" s="6">
        <f t="shared" si="6"/>
        <v>1.3493333333333333</v>
      </c>
      <c r="Q15" s="22">
        <f t="shared" si="13"/>
        <v>0.6</v>
      </c>
      <c r="R15" s="5">
        <f t="shared" si="12"/>
        <v>0.80959999999999999</v>
      </c>
      <c r="S15" s="6">
        <f t="shared" si="14"/>
        <v>1.3493333333333333</v>
      </c>
    </row>
    <row r="16" spans="1:28" x14ac:dyDescent="0.25">
      <c r="A16" s="28" t="s">
        <v>61</v>
      </c>
      <c r="B16" s="22">
        <v>0.98</v>
      </c>
      <c r="C16" s="9">
        <f>'[1]SEPARAÇÃO NO PRAZO C&amp;R'!$D$11</f>
        <v>1</v>
      </c>
      <c r="D16" s="6">
        <f t="shared" si="2"/>
        <v>1.0204081632653061</v>
      </c>
      <c r="E16" s="22">
        <f t="shared" si="7"/>
        <v>0.98</v>
      </c>
      <c r="F16" s="55">
        <f>'[1]SEPARAÇÃO NO PRAZO C&amp;R'!$I$11</f>
        <v>1</v>
      </c>
      <c r="G16" s="6">
        <f t="shared" si="3"/>
        <v>1.0204081632653061</v>
      </c>
      <c r="H16" s="22">
        <f t="shared" si="8"/>
        <v>0.98</v>
      </c>
      <c r="I16" s="9">
        <f>'[1]SEPARAÇÃO NO PRAZO C&amp;R'!$N$11</f>
        <v>1</v>
      </c>
      <c r="J16" s="6">
        <f t="shared" si="4"/>
        <v>1.0204081632653061</v>
      </c>
      <c r="K16" s="22">
        <f t="shared" si="9"/>
        <v>0.98</v>
      </c>
      <c r="L16" s="9">
        <f>'[1]SEPARAÇÃO NO PRAZO C&amp;R'!$S$11</f>
        <v>1</v>
      </c>
      <c r="M16" s="6">
        <f t="shared" si="5"/>
        <v>1.0204081632653061</v>
      </c>
      <c r="N16" s="22">
        <f t="shared" si="10"/>
        <v>0.98</v>
      </c>
      <c r="O16" s="9">
        <f>'[1]SEPARAÇÃO NO PRAZO C&amp;R'!$X$11</f>
        <v>1</v>
      </c>
      <c r="P16" s="6">
        <f t="shared" si="6"/>
        <v>1.0204081632653061</v>
      </c>
      <c r="Q16" s="22">
        <f t="shared" si="13"/>
        <v>0.98</v>
      </c>
      <c r="R16" s="5">
        <f t="shared" si="12"/>
        <v>1</v>
      </c>
      <c r="S16" s="6">
        <f t="shared" si="14"/>
        <v>1.0204081632653061</v>
      </c>
    </row>
    <row r="17" spans="1:19" ht="30" x14ac:dyDescent="0.25">
      <c r="A17" s="28" t="s">
        <v>62</v>
      </c>
      <c r="B17" s="23">
        <v>3</v>
      </c>
      <c r="C17" s="59">
        <f>'[1]Q° DE SERVIÇOS'!$D$9</f>
        <v>0</v>
      </c>
      <c r="D17" s="6">
        <f t="shared" si="2"/>
        <v>0</v>
      </c>
      <c r="E17" s="23">
        <f t="shared" si="7"/>
        <v>3</v>
      </c>
      <c r="F17" s="59">
        <f>'[1]Q° DE SERVIÇOS'!$I$9</f>
        <v>9</v>
      </c>
      <c r="G17" s="6">
        <f t="shared" si="3"/>
        <v>3</v>
      </c>
      <c r="H17" s="23">
        <f t="shared" si="8"/>
        <v>3</v>
      </c>
      <c r="I17" s="10">
        <f>'[1]Q° DE SERVIÇOS'!$N$9</f>
        <v>10</v>
      </c>
      <c r="J17" s="6">
        <f t="shared" si="4"/>
        <v>3.3333333333333335</v>
      </c>
      <c r="K17" s="23">
        <v>2</v>
      </c>
      <c r="L17" s="10">
        <f>'[1]Q° DE SERVIÇOS'!$S$9</f>
        <v>14</v>
      </c>
      <c r="M17" s="6">
        <f t="shared" si="5"/>
        <v>7</v>
      </c>
      <c r="N17" s="23">
        <v>2</v>
      </c>
      <c r="O17" s="11">
        <f>'[1]Q° DE SERVIÇOS'!$X$9</f>
        <v>10</v>
      </c>
      <c r="P17" s="6">
        <f t="shared" si="6"/>
        <v>5</v>
      </c>
      <c r="Q17" s="78">
        <f>IF(O17 = 0, IF(L17 = 0, IF(I17 = 0, IF(F17 = 0, B17, SUM(B17, E17)), SUM(B17, E17, H17)), SUM(B17, E17, H17, K17)), SUM(B17, E17, H17, K17, N17))</f>
        <v>13</v>
      </c>
      <c r="R17" s="10">
        <f>C17+F17+I17+L17+O17</f>
        <v>43</v>
      </c>
      <c r="S17" s="6">
        <f t="shared" si="14"/>
        <v>3.3076923076923075</v>
      </c>
    </row>
    <row r="18" spans="1:19" x14ac:dyDescent="0.25">
      <c r="A18" s="28" t="s">
        <v>63</v>
      </c>
      <c r="B18" s="19">
        <v>0.25</v>
      </c>
      <c r="C18" s="9">
        <f>'[1]CONVERSÃO AÇÃO DE FLUXO'!$D$11</f>
        <v>0</v>
      </c>
      <c r="D18" s="6">
        <f t="shared" si="2"/>
        <v>0</v>
      </c>
      <c r="E18" s="19">
        <f t="shared" si="7"/>
        <v>0.25</v>
      </c>
      <c r="F18" s="9">
        <f>'[1]CONVERSÃO AÇÃO DE FLUXO'!$I$11</f>
        <v>0</v>
      </c>
      <c r="G18" s="6">
        <f t="shared" si="3"/>
        <v>0</v>
      </c>
      <c r="H18" s="19">
        <f t="shared" si="8"/>
        <v>0.25</v>
      </c>
      <c r="I18" s="9">
        <f>'[1]CONVERSÃO AÇÃO DE FLUXO'!$N$11</f>
        <v>0</v>
      </c>
      <c r="J18" s="6">
        <f t="shared" si="4"/>
        <v>0</v>
      </c>
      <c r="K18" s="19">
        <f t="shared" si="9"/>
        <v>0.25</v>
      </c>
      <c r="L18" s="9">
        <f>'[1]CONVERSÃO AÇÃO DE FLUXO'!$S$11</f>
        <v>0</v>
      </c>
      <c r="M18" s="6">
        <f t="shared" si="5"/>
        <v>0</v>
      </c>
      <c r="N18" s="19">
        <f t="shared" si="10"/>
        <v>0.25</v>
      </c>
      <c r="O18" s="9">
        <f>'[1]CONVERSÃO AÇÃO DE FLUXO'!$X$11</f>
        <v>0</v>
      </c>
      <c r="P18" s="6">
        <f t="shared" si="6"/>
        <v>0</v>
      </c>
      <c r="Q18" s="19">
        <f t="shared" ref="Q18:Q21" si="15">B18</f>
        <v>0.25</v>
      </c>
      <c r="R18" s="5">
        <f>O18</f>
        <v>0</v>
      </c>
      <c r="S18" s="6">
        <f t="shared" si="14"/>
        <v>0</v>
      </c>
    </row>
    <row r="19" spans="1:19" x14ac:dyDescent="0.25">
      <c r="A19" s="28" t="s">
        <v>64</v>
      </c>
      <c r="B19" s="19">
        <v>0.86099999999999999</v>
      </c>
      <c r="C19" s="9">
        <f>[1]NPS!$D$11</f>
        <v>0.6</v>
      </c>
      <c r="D19" s="6">
        <f t="shared" si="2"/>
        <v>0.69686411149825778</v>
      </c>
      <c r="E19" s="19">
        <f t="shared" si="7"/>
        <v>0.86099999999999999</v>
      </c>
      <c r="F19" s="9">
        <f>[1]NPS!$I$11</f>
        <v>0.77780000000000005</v>
      </c>
      <c r="G19" s="6">
        <f t="shared" si="3"/>
        <v>0.90336817653890833</v>
      </c>
      <c r="H19" s="19">
        <f t="shared" si="8"/>
        <v>0.86099999999999999</v>
      </c>
      <c r="I19" s="9">
        <f>[1]NPS!$N$11</f>
        <v>0.84850000000000003</v>
      </c>
      <c r="J19" s="6">
        <f t="shared" si="4"/>
        <v>0.98548199767711964</v>
      </c>
      <c r="K19" s="19">
        <f t="shared" si="9"/>
        <v>0.86099999999999999</v>
      </c>
      <c r="L19" s="9">
        <f>[1]NPS!$S$11</f>
        <v>0.88639999999999997</v>
      </c>
      <c r="M19" s="6">
        <f t="shared" si="5"/>
        <v>1.029500580720093</v>
      </c>
      <c r="N19" s="19">
        <f t="shared" si="10"/>
        <v>0.86099999999999999</v>
      </c>
      <c r="O19" s="9">
        <f>[1]NPS!$X$11</f>
        <v>0.90569999999999995</v>
      </c>
      <c r="P19" s="6">
        <f t="shared" si="6"/>
        <v>1.0519163763066202</v>
      </c>
      <c r="Q19" s="19">
        <f t="shared" si="15"/>
        <v>0.86099999999999999</v>
      </c>
      <c r="R19" s="5">
        <f>O19</f>
        <v>0.90569999999999995</v>
      </c>
      <c r="S19" s="6">
        <f t="shared" si="14"/>
        <v>1.0519163763066202</v>
      </c>
    </row>
    <row r="20" spans="1:19" x14ac:dyDescent="0.25">
      <c r="A20" s="28" t="s">
        <v>65</v>
      </c>
      <c r="B20" s="22">
        <v>0.95</v>
      </c>
      <c r="C20" s="9">
        <f>'[1]LOJA DIGITAL ATIVO (BEXD)'!$D$11</f>
        <v>1</v>
      </c>
      <c r="D20" s="6">
        <f t="shared" si="2"/>
        <v>1.0526315789473684</v>
      </c>
      <c r="E20" s="22">
        <f t="shared" si="7"/>
        <v>0.95</v>
      </c>
      <c r="F20" s="9">
        <f>'[1]LOJA DIGITAL ATIVO (BEXD)'!$I$11</f>
        <v>1</v>
      </c>
      <c r="G20" s="6">
        <f t="shared" si="3"/>
        <v>1.0526315789473684</v>
      </c>
      <c r="H20" s="22">
        <f t="shared" si="8"/>
        <v>0.95</v>
      </c>
      <c r="I20" s="9">
        <f>'[1]LOJA DIGITAL ATIVO (BEXD)'!$N$11</f>
        <v>0.96909999999999996</v>
      </c>
      <c r="J20" s="6">
        <f t="shared" si="4"/>
        <v>1.0201052631578948</v>
      </c>
      <c r="K20" s="22">
        <f t="shared" si="9"/>
        <v>0.95</v>
      </c>
      <c r="L20" s="9">
        <f>'[1]LOJA DIGITAL ATIVO (BEXD)'!$S$11</f>
        <v>0.85309999999999997</v>
      </c>
      <c r="M20" s="6">
        <f t="shared" si="5"/>
        <v>0.89800000000000002</v>
      </c>
      <c r="N20" s="22">
        <f t="shared" si="10"/>
        <v>0.95</v>
      </c>
      <c r="O20" s="14"/>
      <c r="P20" s="6">
        <f t="shared" si="6"/>
        <v>0</v>
      </c>
      <c r="Q20" s="22">
        <f t="shared" si="15"/>
        <v>0.95</v>
      </c>
      <c r="R20" s="5">
        <f>O20</f>
        <v>0</v>
      </c>
      <c r="S20" s="6">
        <f t="shared" si="14"/>
        <v>0</v>
      </c>
    </row>
    <row r="21" spans="1:19" x14ac:dyDescent="0.25">
      <c r="A21" s="28" t="s">
        <v>66</v>
      </c>
      <c r="B21" s="22">
        <v>0.85</v>
      </c>
      <c r="C21" s="49">
        <f>'[1]TREINAMENTOS FV (UB)'!$D$11</f>
        <v>0.9196428571428571</v>
      </c>
      <c r="D21" s="6">
        <f t="shared" si="2"/>
        <v>1.0819327731092436</v>
      </c>
      <c r="E21" s="22">
        <f t="shared" si="7"/>
        <v>0.85</v>
      </c>
      <c r="F21" s="49">
        <f>'[1]TREINAMENTOS FV (UB)'!$I$11</f>
        <v>0.88432835820895539</v>
      </c>
      <c r="G21" s="6">
        <f t="shared" si="3"/>
        <v>1.0403863037752417</v>
      </c>
      <c r="H21" s="22">
        <f t="shared" si="8"/>
        <v>0.85</v>
      </c>
      <c r="I21" s="70">
        <f>'[1]TREINAMENTOS FV (UB)'!$N$11</f>
        <v>0.88432835820895539</v>
      </c>
      <c r="J21" s="6">
        <f t="shared" si="4"/>
        <v>1.0403863037752417</v>
      </c>
      <c r="K21" s="22">
        <f t="shared" si="9"/>
        <v>0.85</v>
      </c>
      <c r="L21" s="70">
        <f>'[1]TREINAMENTOS FV (UB)'!$S$11</f>
        <v>0.88805970149253743</v>
      </c>
      <c r="M21" s="6">
        <f t="shared" si="5"/>
        <v>1.0447761194029852</v>
      </c>
      <c r="N21" s="22">
        <f t="shared" si="10"/>
        <v>0.85</v>
      </c>
      <c r="O21" s="70">
        <f>'[1]TREINAMENTOS FV (UB)'!$X$11</f>
        <v>0.90298507462686572</v>
      </c>
      <c r="P21" s="6">
        <f t="shared" si="6"/>
        <v>1.0623353819139596</v>
      </c>
      <c r="Q21" s="22">
        <f t="shared" si="15"/>
        <v>0.85</v>
      </c>
      <c r="R21" s="5">
        <f>O21</f>
        <v>0.90298507462686572</v>
      </c>
      <c r="S21" s="6">
        <f t="shared" si="14"/>
        <v>1.0623353819139596</v>
      </c>
    </row>
    <row r="22" spans="1:19" hidden="1" x14ac:dyDescent="0.25">
      <c r="A22" s="28" t="s">
        <v>67</v>
      </c>
      <c r="B22" s="24"/>
      <c r="C22" s="10"/>
      <c r="D22" s="6" t="e">
        <f t="shared" si="2"/>
        <v>#DIV/0!</v>
      </c>
      <c r="E22" s="24"/>
      <c r="F22" s="10"/>
      <c r="G22" s="6" t="e">
        <f t="shared" si="3"/>
        <v>#DIV/0!</v>
      </c>
      <c r="H22" s="24"/>
      <c r="I22" s="10"/>
      <c r="J22" s="6" t="e">
        <f t="shared" si="4"/>
        <v>#DIV/0!</v>
      </c>
      <c r="K22" s="24"/>
      <c r="L22" s="10"/>
      <c r="M22" s="6" t="e">
        <f t="shared" si="5"/>
        <v>#DIV/0!</v>
      </c>
      <c r="N22" s="24"/>
      <c r="O22" s="10"/>
      <c r="P22" s="6" t="e">
        <f t="shared" si="6"/>
        <v>#DIV/0!</v>
      </c>
      <c r="Q22" s="23">
        <v>5</v>
      </c>
      <c r="R22" s="10"/>
      <c r="S22" s="6" t="e">
        <f>Q22/R22</f>
        <v>#DIV/0!</v>
      </c>
    </row>
    <row r="23" spans="1:19" hidden="1" x14ac:dyDescent="0.25">
      <c r="A23" s="28" t="s">
        <v>68</v>
      </c>
      <c r="B23" s="22"/>
      <c r="C23" s="45"/>
      <c r="D23" s="6" t="e">
        <f t="shared" si="2"/>
        <v>#DIV/0!</v>
      </c>
      <c r="E23" s="22"/>
      <c r="F23" s="45"/>
      <c r="G23" s="6" t="e">
        <f t="shared" si="3"/>
        <v>#DIV/0!</v>
      </c>
      <c r="H23" s="22"/>
      <c r="I23" s="45"/>
      <c r="J23" s="6" t="e">
        <f>H23/I23</f>
        <v>#DIV/0!</v>
      </c>
      <c r="K23" s="22"/>
      <c r="L23" s="45"/>
      <c r="M23" s="6" t="e">
        <f>K23/L23</f>
        <v>#DIV/0!</v>
      </c>
      <c r="N23" s="22"/>
      <c r="O23" s="45"/>
      <c r="P23" s="6" t="e">
        <f>N23/O23</f>
        <v>#DIV/0!</v>
      </c>
      <c r="Q23" s="22">
        <v>1.7000000000000001E-2</v>
      </c>
      <c r="R23" s="5"/>
      <c r="S23" s="6" t="e">
        <f>Q23/R23</f>
        <v>#DIV/0!</v>
      </c>
    </row>
    <row r="24" spans="1:19" hidden="1" x14ac:dyDescent="0.25">
      <c r="A24" s="28" t="s">
        <v>69</v>
      </c>
      <c r="B24" s="22"/>
      <c r="C24" s="25"/>
      <c r="D24" s="6" t="e">
        <f t="shared" si="2"/>
        <v>#DIV/0!</v>
      </c>
      <c r="E24" s="22"/>
      <c r="F24" s="25"/>
      <c r="G24" s="6" t="e">
        <f t="shared" si="3"/>
        <v>#DIV/0!</v>
      </c>
      <c r="H24" s="22"/>
      <c r="I24" s="25"/>
      <c r="J24" s="6" t="e">
        <f t="shared" si="4"/>
        <v>#DIV/0!</v>
      </c>
      <c r="K24" s="22"/>
      <c r="L24" s="25"/>
      <c r="M24" s="6" t="e">
        <f t="shared" si="5"/>
        <v>#DIV/0!</v>
      </c>
      <c r="N24" s="22"/>
      <c r="O24" s="25"/>
      <c r="P24" s="6" t="e">
        <f t="shared" si="6"/>
        <v>#DIV/0!</v>
      </c>
      <c r="Q24" s="22"/>
      <c r="R24" s="12"/>
      <c r="S24" s="6" t="e">
        <f t="shared" si="14"/>
        <v>#DIV/0!</v>
      </c>
    </row>
    <row r="25" spans="1:19" hidden="1" x14ac:dyDescent="0.25">
      <c r="C25" s="48"/>
    </row>
  </sheetData>
  <mergeCells count="7">
    <mergeCell ref="Y1:AB1"/>
    <mergeCell ref="Q1:S1"/>
    <mergeCell ref="B1:D1"/>
    <mergeCell ref="E1:G1"/>
    <mergeCell ref="H1:J1"/>
    <mergeCell ref="K1:M1"/>
    <mergeCell ref="N1:P1"/>
  </mergeCells>
  <phoneticPr fontId="9" type="noConversion"/>
  <conditionalFormatting sqref="D4:D24">
    <cfRule type="cellIs" dxfId="299" priority="125" operator="between">
      <formula>0.8</formula>
      <formula>0.9999</formula>
    </cfRule>
    <cfRule type="cellIs" dxfId="298" priority="126" operator="between">
      <formula>0</formula>
      <formula>0.7999</formula>
    </cfRule>
    <cfRule type="cellIs" dxfId="297" priority="124" operator="between">
      <formula>1</formula>
      <formula>1.1999</formula>
    </cfRule>
    <cfRule type="cellIs" dxfId="296" priority="123" operator="greaterThan">
      <formula>1.2</formula>
    </cfRule>
    <cfRule type="containsText" dxfId="295" priority="122" operator="containsText" text="-">
      <formula>NOT(ISERROR(SEARCH("-",D4)))</formula>
    </cfRule>
    <cfRule type="containsErrors" dxfId="294" priority="121">
      <formula>ISERROR(D4)</formula>
    </cfRule>
  </conditionalFormatting>
  <conditionalFormatting sqref="G4:G24">
    <cfRule type="containsErrors" dxfId="293" priority="25">
      <formula>ISERROR(G4)</formula>
    </cfRule>
    <cfRule type="containsText" dxfId="292" priority="26" operator="containsText" text="-">
      <formula>NOT(ISERROR(SEARCH("-",G4)))</formula>
    </cfRule>
    <cfRule type="cellIs" dxfId="291" priority="27" operator="greaterThan">
      <formula>1.2</formula>
    </cfRule>
    <cfRule type="cellIs" dxfId="290" priority="30" operator="between">
      <formula>0</formula>
      <formula>0.7999</formula>
    </cfRule>
    <cfRule type="cellIs" dxfId="289" priority="28" operator="between">
      <formula>1</formula>
      <formula>1.1999</formula>
    </cfRule>
    <cfRule type="cellIs" dxfId="288" priority="29" operator="between">
      <formula>0.8</formula>
      <formula>0.9999</formula>
    </cfRule>
  </conditionalFormatting>
  <conditionalFormatting sqref="J4:J24">
    <cfRule type="containsText" dxfId="287" priority="50" operator="containsText" text="-">
      <formula>NOT(ISERROR(SEARCH("-",J4)))</formula>
    </cfRule>
    <cfRule type="cellIs" dxfId="286" priority="54" operator="between">
      <formula>0</formula>
      <formula>0.7999</formula>
    </cfRule>
    <cfRule type="cellIs" dxfId="285" priority="53" operator="between">
      <formula>0.8</formula>
      <formula>0.9999</formula>
    </cfRule>
    <cfRule type="cellIs" dxfId="284" priority="52" operator="between">
      <formula>1</formula>
      <formula>1.1999</formula>
    </cfRule>
    <cfRule type="cellIs" dxfId="283" priority="51" operator="greaterThan">
      <formula>1.2</formula>
    </cfRule>
    <cfRule type="containsErrors" dxfId="282" priority="49">
      <formula>ISERROR(J4)</formula>
    </cfRule>
  </conditionalFormatting>
  <conditionalFormatting sqref="M4:M24">
    <cfRule type="cellIs" dxfId="281" priority="46" operator="between">
      <formula>1</formula>
      <formula>1.1999</formula>
    </cfRule>
    <cfRule type="cellIs" dxfId="280" priority="47" operator="between">
      <formula>0.8</formula>
      <formula>0.9999</formula>
    </cfRule>
    <cfRule type="cellIs" dxfId="279" priority="48" operator="between">
      <formula>0</formula>
      <formula>0.7999</formula>
    </cfRule>
    <cfRule type="cellIs" dxfId="278" priority="45" operator="greaterThan">
      <formula>1.2</formula>
    </cfRule>
    <cfRule type="containsErrors" dxfId="277" priority="43">
      <formula>ISERROR(M4)</formula>
    </cfRule>
    <cfRule type="containsText" dxfId="276" priority="44" operator="containsText" text="-">
      <formula>NOT(ISERROR(SEARCH("-",M4)))</formula>
    </cfRule>
  </conditionalFormatting>
  <conditionalFormatting sqref="P4:P24">
    <cfRule type="cellIs" dxfId="275" priority="24" operator="between">
      <formula>0</formula>
      <formula>0.7999</formula>
    </cfRule>
    <cfRule type="cellIs" dxfId="274" priority="22" operator="between">
      <formula>1</formula>
      <formula>1.1999</formula>
    </cfRule>
    <cfRule type="cellIs" dxfId="273" priority="23" operator="between">
      <formula>0.8</formula>
      <formula>0.9999</formula>
    </cfRule>
    <cfRule type="cellIs" dxfId="272" priority="21" operator="greaterThan">
      <formula>1.2</formula>
    </cfRule>
    <cfRule type="containsText" dxfId="271" priority="20" operator="containsText" text="-">
      <formula>NOT(ISERROR(SEARCH("-",P4)))</formula>
    </cfRule>
    <cfRule type="containsErrors" dxfId="270" priority="19">
      <formula>ISERROR(P4)</formula>
    </cfRule>
  </conditionalFormatting>
  <conditionalFormatting sqref="S4:S24">
    <cfRule type="cellIs" dxfId="269" priority="17" operator="between">
      <formula>0.8</formula>
      <formula>0.9999</formula>
    </cfRule>
    <cfRule type="cellIs" dxfId="268" priority="18" operator="between">
      <formula>0</formula>
      <formula>0.7999</formula>
    </cfRule>
    <cfRule type="cellIs" dxfId="267" priority="16" operator="between">
      <formula>1</formula>
      <formula>1.1999</formula>
    </cfRule>
    <cfRule type="cellIs" dxfId="266" priority="15" operator="greaterThan">
      <formula>1.2</formula>
    </cfRule>
    <cfRule type="containsText" dxfId="265" priority="14" operator="containsText" text="-">
      <formula>NOT(ISERROR(SEARCH("-",S4)))</formula>
    </cfRule>
    <cfRule type="containsErrors" dxfId="264" priority="13">
      <formula>ISERROR(S4)</formula>
    </cfRule>
  </conditionalFormatting>
  <conditionalFormatting sqref="AB3:AB6">
    <cfRule type="containsText" dxfId="263" priority="2" operator="containsText" text="-">
      <formula>NOT(ISERROR(SEARCH("-",AB3)))</formula>
    </cfRule>
    <cfRule type="cellIs" dxfId="262" priority="3" operator="greaterThan">
      <formula>1.2</formula>
    </cfRule>
    <cfRule type="cellIs" dxfId="261" priority="6" operator="between">
      <formula>0</formula>
      <formula>0.7999</formula>
    </cfRule>
    <cfRule type="containsErrors" dxfId="260" priority="1">
      <formula>ISERROR(AB3)</formula>
    </cfRule>
    <cfRule type="cellIs" dxfId="259" priority="5" operator="between">
      <formula>0.8</formula>
      <formula>0.9999</formula>
    </cfRule>
    <cfRule type="cellIs" dxfId="258" priority="4" operator="between">
      <formula>1</formula>
      <formula>1.1999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EABF-4154-4915-A6DA-492B4E2B933D}">
  <sheetPr>
    <tabColor rgb="FF00B0F0"/>
  </sheetPr>
  <dimension ref="A1:AB25"/>
  <sheetViews>
    <sheetView zoomScale="85" zoomScaleNormal="85" workbookViewId="0">
      <selection activeCell="B1" sqref="B1:S1"/>
    </sheetView>
  </sheetViews>
  <sheetFormatPr defaultColWidth="9.140625" defaultRowHeight="15" x14ac:dyDescent="0.25"/>
  <cols>
    <col min="1" max="1" width="30.28515625" style="79" customWidth="1"/>
    <col min="2" max="3" width="16.140625" style="2" customWidth="1"/>
    <col min="4" max="4" width="14.42578125" style="2" customWidth="1"/>
    <col min="5" max="5" width="16.140625" style="2" customWidth="1"/>
    <col min="6" max="6" width="15.7109375" style="2" customWidth="1"/>
    <col min="7" max="7" width="9.140625" style="2" customWidth="1"/>
    <col min="8" max="8" width="14.85546875" style="2" customWidth="1"/>
    <col min="9" max="9" width="18.7109375" style="2" customWidth="1"/>
    <col min="10" max="10" width="13.5703125" style="2" customWidth="1"/>
    <col min="11" max="11" width="15.42578125" style="2" customWidth="1"/>
    <col min="12" max="12" width="16.85546875" style="2" customWidth="1"/>
    <col min="13" max="13" width="12.28515625" style="2" customWidth="1"/>
    <col min="14" max="14" width="15.140625" style="2" customWidth="1"/>
    <col min="15" max="15" width="11.7109375" style="2" customWidth="1"/>
    <col min="16" max="16" width="12.42578125" style="2" customWidth="1"/>
    <col min="17" max="17" width="16.140625" style="2" customWidth="1"/>
    <col min="18" max="18" width="16.85546875" style="2" customWidth="1"/>
    <col min="19" max="19" width="11.5703125" style="2" customWidth="1"/>
    <col min="20" max="21" width="14.42578125" style="2" customWidth="1"/>
    <col min="22" max="22" width="3.7109375" style="2" customWidth="1"/>
    <col min="23" max="23" width="14.42578125" style="2" customWidth="1"/>
    <col min="24" max="24" width="9.140625" style="2" customWidth="1"/>
    <col min="25" max="25" width="18.140625" style="2" bestFit="1" customWidth="1"/>
    <col min="26" max="26" width="18.28515625" style="2" customWidth="1"/>
    <col min="27" max="27" width="15" style="2" customWidth="1"/>
    <col min="28" max="28" width="16.85546875" style="2" customWidth="1"/>
    <col min="29" max="16384" width="9.140625" style="2"/>
  </cols>
  <sheetData>
    <row r="1" spans="1:28" ht="38.25" customHeight="1" x14ac:dyDescent="0.25">
      <c r="B1" s="113" t="s">
        <v>114</v>
      </c>
      <c r="C1" s="113"/>
      <c r="D1" s="113"/>
      <c r="E1" s="113" t="s">
        <v>115</v>
      </c>
      <c r="F1" s="113"/>
      <c r="G1" s="113"/>
      <c r="H1" s="113" t="s">
        <v>116</v>
      </c>
      <c r="I1" s="113"/>
      <c r="J1" s="113"/>
      <c r="K1" s="113" t="s">
        <v>117</v>
      </c>
      <c r="L1" s="113"/>
      <c r="M1" s="113"/>
      <c r="N1" s="113" t="s">
        <v>118</v>
      </c>
      <c r="O1" s="113"/>
      <c r="P1" s="113"/>
      <c r="Q1" s="110" t="s">
        <v>1</v>
      </c>
      <c r="R1" s="111"/>
      <c r="S1" s="112"/>
      <c r="Y1" s="109" t="s">
        <v>2</v>
      </c>
      <c r="Z1" s="109"/>
      <c r="AA1" s="109"/>
      <c r="AB1" s="109"/>
    </row>
    <row r="2" spans="1:28" ht="45" x14ac:dyDescent="0.25">
      <c r="A2" s="15" t="s">
        <v>70</v>
      </c>
      <c r="B2" s="16" t="s">
        <v>4</v>
      </c>
      <c r="C2" s="16" t="s">
        <v>5</v>
      </c>
      <c r="D2" s="16" t="s">
        <v>6</v>
      </c>
      <c r="E2" s="16" t="s">
        <v>7</v>
      </c>
      <c r="F2" s="16" t="s">
        <v>8</v>
      </c>
      <c r="G2" s="16" t="s">
        <v>9</v>
      </c>
      <c r="H2" s="16" t="s">
        <v>10</v>
      </c>
      <c r="I2" s="16" t="s">
        <v>11</v>
      </c>
      <c r="J2" s="16" t="s">
        <v>12</v>
      </c>
      <c r="K2" s="16" t="s">
        <v>13</v>
      </c>
      <c r="L2" s="16" t="s">
        <v>14</v>
      </c>
      <c r="M2" s="16" t="s">
        <v>15</v>
      </c>
      <c r="N2" s="16" t="s">
        <v>16</v>
      </c>
      <c r="O2" s="16" t="s">
        <v>17</v>
      </c>
      <c r="P2" s="16" t="s">
        <v>18</v>
      </c>
      <c r="Q2" s="16" t="s">
        <v>19</v>
      </c>
      <c r="R2" s="16" t="s">
        <v>20</v>
      </c>
      <c r="S2" s="16" t="s">
        <v>21</v>
      </c>
      <c r="Y2" s="17" t="s">
        <v>22</v>
      </c>
      <c r="Z2" s="17" t="s">
        <v>23</v>
      </c>
      <c r="AA2" s="92" t="s">
        <v>24</v>
      </c>
      <c r="AB2" s="92" t="s">
        <v>25</v>
      </c>
    </row>
    <row r="3" spans="1:28" x14ac:dyDescent="0.25">
      <c r="A3" s="73"/>
      <c r="B3" s="17" t="s">
        <v>26</v>
      </c>
      <c r="C3" s="10" t="s">
        <v>27</v>
      </c>
      <c r="D3" s="17" t="s">
        <v>28</v>
      </c>
      <c r="E3" s="17" t="s">
        <v>26</v>
      </c>
      <c r="F3" s="10" t="s">
        <v>27</v>
      </c>
      <c r="G3" s="17" t="s">
        <v>28</v>
      </c>
      <c r="H3" s="17" t="s">
        <v>26</v>
      </c>
      <c r="I3" s="10" t="s">
        <v>27</v>
      </c>
      <c r="J3" s="17" t="s">
        <v>28</v>
      </c>
      <c r="K3" s="17" t="s">
        <v>26</v>
      </c>
      <c r="L3" s="10" t="s">
        <v>27</v>
      </c>
      <c r="M3" s="17" t="s">
        <v>28</v>
      </c>
      <c r="N3" s="17" t="s">
        <v>26</v>
      </c>
      <c r="O3" s="10" t="s">
        <v>27</v>
      </c>
      <c r="P3" s="17" t="s">
        <v>28</v>
      </c>
      <c r="Q3" s="17" t="s">
        <v>26</v>
      </c>
      <c r="R3" s="10" t="s">
        <v>27</v>
      </c>
      <c r="S3" s="26" t="s">
        <v>28</v>
      </c>
      <c r="Y3" s="14" t="s">
        <v>29</v>
      </c>
      <c r="Z3" s="56">
        <f>[1]RECEITA!$AF$14</f>
        <v>771073.14000000013</v>
      </c>
      <c r="AA3" s="90">
        <f>R4</f>
        <v>679388.87</v>
      </c>
      <c r="AB3" s="6">
        <f>AA3/Z3</f>
        <v>0.88109523566078296</v>
      </c>
    </row>
    <row r="4" spans="1:28" ht="30" x14ac:dyDescent="0.25">
      <c r="A4" s="28" t="s">
        <v>30</v>
      </c>
      <c r="B4" s="20">
        <f>[1]RECEITA!$B$14</f>
        <v>71755.035424878413</v>
      </c>
      <c r="C4" s="40">
        <f>[1]RECEITA!$D$14</f>
        <v>22516.75</v>
      </c>
      <c r="D4" s="6">
        <f>C4/B4</f>
        <v>0.31380027710491726</v>
      </c>
      <c r="E4" s="20">
        <f>[1]RECEITA!$H$14</f>
        <v>146374.82494278901</v>
      </c>
      <c r="F4" s="40">
        <f>[1]RECEITA!$J$14</f>
        <v>168284.23</v>
      </c>
      <c r="G4" s="6">
        <f>F4/E4</f>
        <v>1.1496801452420138</v>
      </c>
      <c r="H4" s="20">
        <f>[1]RECEITA!$N$14</f>
        <v>178139.01950199166</v>
      </c>
      <c r="I4" s="40">
        <f>[1]RECEITA!$P$14</f>
        <v>153262.47</v>
      </c>
      <c r="J4" s="6">
        <f>I4/H4</f>
        <v>0.86035316927455341</v>
      </c>
      <c r="K4" s="20">
        <f>[1]RECEITA!$T$14</f>
        <v>209587.93600109877</v>
      </c>
      <c r="L4" s="40">
        <f>[1]RECEITA!$V$14</f>
        <v>150816.39000000001</v>
      </c>
      <c r="M4" s="6">
        <f>L4/K4</f>
        <v>0.71958526276631374</v>
      </c>
      <c r="N4" s="20">
        <f>[1]RECEITA!$Z$14</f>
        <v>165216.32412924228</v>
      </c>
      <c r="O4" s="40">
        <f>[1]RECEITA!$AB$14</f>
        <v>184509.03</v>
      </c>
      <c r="P4" s="6">
        <f>O4/N4</f>
        <v>1.1167723950550177</v>
      </c>
      <c r="Q4" s="20">
        <f>IF(O4 = 0, IF(L4 = 0, IF(I4 = 0, IF(F4 = 0, B4, SUM(B4, E4)), SUM(B4, E4, H4)), SUM(B4, E4, H4, K4)), SUM(B4, E4, H4, K4, N4))</f>
        <v>771073.14000000013</v>
      </c>
      <c r="R4" s="52">
        <f>O4+L4+I4+F4+C4</f>
        <v>679388.87</v>
      </c>
      <c r="S4" s="6">
        <f>R4/Q4</f>
        <v>0.88109523566078296</v>
      </c>
      <c r="W4" s="61">
        <f>SUM(N4+K4+H4+E4+B4)</f>
        <v>771073.14000000013</v>
      </c>
      <c r="Y4" s="14" t="s">
        <v>31</v>
      </c>
      <c r="Z4" s="56">
        <f>Z3/Z5</f>
        <v>181.3862949894143</v>
      </c>
      <c r="AA4" s="90">
        <f>R5</f>
        <v>168.33222745292369</v>
      </c>
      <c r="AB4" s="6">
        <f t="shared" ref="AB4:AB6" si="0">AA4/Z4</f>
        <v>0.92803167660901587</v>
      </c>
    </row>
    <row r="5" spans="1:28" x14ac:dyDescent="0.25">
      <c r="A5" s="28" t="s">
        <v>32</v>
      </c>
      <c r="B5" s="20">
        <f>B4/B8</f>
        <v>191.7695120707624</v>
      </c>
      <c r="C5" s="7">
        <f>'[1]VENDA MÉDIA'!$D$14</f>
        <v>169.29887218045113</v>
      </c>
      <c r="D5" s="6">
        <f t="shared" ref="D5:D24" si="1">C5/B5</f>
        <v>0.88282475327976184</v>
      </c>
      <c r="E5" s="20">
        <f>E4/E8</f>
        <v>155.07834153155054</v>
      </c>
      <c r="F5" s="7">
        <f>'[1]VENDA MÉDIA'!$I$14</f>
        <v>164.34006835937501</v>
      </c>
      <c r="G5" s="6">
        <f t="shared" ref="G5:G24" si="2">F5/E5</f>
        <v>1.0597228906135818</v>
      </c>
      <c r="H5" s="20">
        <f>H4/H8</f>
        <v>173.53470795830592</v>
      </c>
      <c r="I5" s="7">
        <f>'[1]VENDA MÉDIA'!$N$14</f>
        <v>161.66927215189872</v>
      </c>
      <c r="J5" s="6">
        <f t="shared" ref="J5:J24" si="3">I5/H5</f>
        <v>0.93162499913701402</v>
      </c>
      <c r="K5" s="20">
        <f>K4/K8</f>
        <v>200.69552553707118</v>
      </c>
      <c r="L5" s="7">
        <f>'[1]VENDA MÉDIA'!$S$14</f>
        <v>174.75827346465817</v>
      </c>
      <c r="M5" s="6">
        <f t="shared" ref="M5:M24" si="4">L5/K5</f>
        <v>0.87076317719090335</v>
      </c>
      <c r="N5" s="20">
        <f>N4/N8</f>
        <v>191.64191283316376</v>
      </c>
      <c r="O5" s="7">
        <f>'[1]VENDA MÉDIA'!$X$14</f>
        <v>172.76126404494383</v>
      </c>
      <c r="P5" s="6">
        <f t="shared" ref="P5:P24" si="5">O5/N5</f>
        <v>0.90147954323198232</v>
      </c>
      <c r="Q5" s="60">
        <f>Q4/Q8</f>
        <v>181.38629498941424</v>
      </c>
      <c r="R5" s="8">
        <f>R4/R8</f>
        <v>168.33222745292369</v>
      </c>
      <c r="S5" s="6">
        <f t="shared" ref="S5:S24" si="6">R5/Q5</f>
        <v>0.9280316766090162</v>
      </c>
      <c r="Y5" s="14" t="s">
        <v>33</v>
      </c>
      <c r="Z5" s="14">
        <f>[1]BOLETOS!$AB$13</f>
        <v>4251</v>
      </c>
      <c r="AA5" s="91">
        <f>R8</f>
        <v>4036</v>
      </c>
      <c r="AB5" s="6">
        <f t="shared" si="0"/>
        <v>0.94942366501999531</v>
      </c>
    </row>
    <row r="6" spans="1:28" x14ac:dyDescent="0.25">
      <c r="A6" s="28" t="s">
        <v>34</v>
      </c>
      <c r="B6" s="41">
        <f>'[1]ITENS POR BOLETO'!$A$13</f>
        <v>3.39</v>
      </c>
      <c r="C6" s="43">
        <f>'[1]ITENS POR BOLETO'!$D$13</f>
        <v>2.7218045112781954</v>
      </c>
      <c r="D6" s="6">
        <f t="shared" si="1"/>
        <v>0.80289218621775671</v>
      </c>
      <c r="E6" s="17">
        <f t="shared" ref="E6:E21" si="7">B6</f>
        <v>3.39</v>
      </c>
      <c r="F6" s="100">
        <f>'[1]ITENS POR BOLETO'!$I$13</f>
        <v>2.7587890625</v>
      </c>
      <c r="G6" s="6">
        <f t="shared" si="2"/>
        <v>0.81380208333333326</v>
      </c>
      <c r="H6" s="17">
        <f t="shared" ref="H6:H21" si="8">E6</f>
        <v>3.39</v>
      </c>
      <c r="I6" s="100">
        <f>'[1]ITENS POR BOLETO'!$N$13</f>
        <v>2.602320675105485</v>
      </c>
      <c r="J6" s="6">
        <f t="shared" si="3"/>
        <v>0.76764621684527579</v>
      </c>
      <c r="K6" s="17">
        <f t="shared" ref="K6:K21" si="9">H6</f>
        <v>3.39</v>
      </c>
      <c r="L6" s="43">
        <f>'[1]ITENS POR BOLETO'!$S$13</f>
        <v>2.9409038238702201</v>
      </c>
      <c r="M6" s="6">
        <f t="shared" si="4"/>
        <v>0.86752325187912094</v>
      </c>
      <c r="N6" s="17">
        <f t="shared" ref="N6:N21" si="10">K6</f>
        <v>3.39</v>
      </c>
      <c r="O6" s="43">
        <f>'[1]ITENS POR BOLETO'!$X$13</f>
        <v>2.7397003745318353</v>
      </c>
      <c r="P6" s="6">
        <f t="shared" si="5"/>
        <v>0.80817120192679504</v>
      </c>
      <c r="Q6" s="17">
        <f>B6</f>
        <v>3.39</v>
      </c>
      <c r="R6" s="100">
        <f>'[1]ITENS POR BOLETO'!$AC$13</f>
        <v>2.7547076313181367</v>
      </c>
      <c r="S6" s="6">
        <f t="shared" si="6"/>
        <v>0.81259812133278364</v>
      </c>
      <c r="Y6" s="93" t="s">
        <v>35</v>
      </c>
      <c r="Z6" s="93">
        <v>13</v>
      </c>
      <c r="AA6" s="93">
        <f>R17</f>
        <v>29</v>
      </c>
      <c r="AB6" s="99">
        <f t="shared" si="0"/>
        <v>2.2307692307692308</v>
      </c>
    </row>
    <row r="7" spans="1:28" x14ac:dyDescent="0.25">
      <c r="A7" s="29" t="s">
        <v>36</v>
      </c>
      <c r="B7" s="27">
        <f>'[1]PREÇO MÉDIO'!$A$13</f>
        <v>53.500442477876099</v>
      </c>
      <c r="C7" s="40">
        <f>'[1]PREÇO MÉDIO'!$D$13</f>
        <v>62.200966850828728</v>
      </c>
      <c r="D7" s="6">
        <f t="shared" si="1"/>
        <v>1.1626252787825173</v>
      </c>
      <c r="E7" s="27">
        <f t="shared" si="7"/>
        <v>53.500442477876099</v>
      </c>
      <c r="F7" s="40">
        <f>'[1]PREÇO MÉDIO'!$I$13</f>
        <v>59.569638938053103</v>
      </c>
      <c r="G7" s="6">
        <f t="shared" si="2"/>
        <v>1.1134419862543525</v>
      </c>
      <c r="H7" s="27">
        <f t="shared" si="8"/>
        <v>53.500442477876099</v>
      </c>
      <c r="I7" s="40">
        <f>'[1]PREÇO MÉDIO'!$N$13</f>
        <v>62.125038508309686</v>
      </c>
      <c r="J7" s="6">
        <f t="shared" si="3"/>
        <v>1.1612060691647568</v>
      </c>
      <c r="K7" s="27">
        <f t="shared" si="9"/>
        <v>53.500442477876099</v>
      </c>
      <c r="L7" s="40">
        <f>'[1]PREÇO MÉDIO'!$S$13</f>
        <v>59.423321513002371</v>
      </c>
      <c r="M7" s="6">
        <f t="shared" si="4"/>
        <v>1.1107071037323766</v>
      </c>
      <c r="N7" s="27">
        <f t="shared" si="10"/>
        <v>53.500442477876099</v>
      </c>
      <c r="O7" s="40">
        <f>'[1]PREÇO MÉDIO'!$X$13</f>
        <v>63.058451811346551</v>
      </c>
      <c r="P7" s="6">
        <f t="shared" si="5"/>
        <v>1.1786529024955812</v>
      </c>
      <c r="Q7" s="27">
        <f>B7</f>
        <v>53.500442477876099</v>
      </c>
      <c r="R7" s="40">
        <f>'[1]PREÇO MÉDIO'!$AC$13</f>
        <v>61.107111890627813</v>
      </c>
      <c r="S7" s="6">
        <f t="shared" si="6"/>
        <v>1.1421795607746101</v>
      </c>
    </row>
    <row r="8" spans="1:28" x14ac:dyDescent="0.25">
      <c r="A8" s="28" t="s">
        <v>37</v>
      </c>
      <c r="B8" s="58">
        <f>[1]BOLETOS!$C$13</f>
        <v>374.17332218273054</v>
      </c>
      <c r="C8" s="10">
        <f>[1]BOLETOS!$D$13</f>
        <v>133</v>
      </c>
      <c r="D8" s="6">
        <f t="shared" si="1"/>
        <v>0.35545024755946758</v>
      </c>
      <c r="E8" s="58">
        <f>[1]BOLETOS!$H$13</f>
        <v>943.87664645619907</v>
      </c>
      <c r="F8" s="59">
        <f>[1]BOLETOS!$I$13</f>
        <v>1024</v>
      </c>
      <c r="G8" s="6">
        <f t="shared" si="2"/>
        <v>1.0848875261874795</v>
      </c>
      <c r="H8" s="58">
        <f>[1]BOLETOS!$M$13</f>
        <v>1026.5325109763749</v>
      </c>
      <c r="I8" s="59">
        <f>[1]BOLETOS!$N$13</f>
        <v>948</v>
      </c>
      <c r="J8" s="6">
        <f t="shared" si="3"/>
        <v>0.92349729780922429</v>
      </c>
      <c r="K8" s="58">
        <f>[1]BOLETOS!$R$13</f>
        <v>1044.3079657118965</v>
      </c>
      <c r="L8" s="59">
        <f>[1]BOLETOS!$S$13</f>
        <v>863</v>
      </c>
      <c r="M8" s="6">
        <f t="shared" si="4"/>
        <v>0.82638458034905415</v>
      </c>
      <c r="N8" s="58">
        <f>[1]BOLETOS!$W$13</f>
        <v>862.1095546727995</v>
      </c>
      <c r="O8" s="59">
        <f>[1]BOLETOS!$X$13</f>
        <v>1068</v>
      </c>
      <c r="P8" s="6">
        <f t="shared" si="5"/>
        <v>1.238821672038356</v>
      </c>
      <c r="Q8" s="51">
        <f>IF(O8 = 0, IF(L8 = 0, IF(I8 = 0, IF(F8 = 0, B8, SUM(B8, E8)), SUM(B8, E8, H8)), SUM(B8, E8, H8, K8)), SUM(B8, E8, H8, K8, N8))</f>
        <v>4251.0000000000009</v>
      </c>
      <c r="R8" s="59">
        <f>C8+F8+I8+L8+O8</f>
        <v>4036</v>
      </c>
      <c r="S8" s="6">
        <f t="shared" si="6"/>
        <v>0.94942366501999509</v>
      </c>
      <c r="W8" s="62">
        <f>SUM(N8+K8+H8+E8+B8)</f>
        <v>4251</v>
      </c>
    </row>
    <row r="9" spans="1:28" x14ac:dyDescent="0.25">
      <c r="A9" s="18" t="s">
        <v>38</v>
      </c>
      <c r="B9" s="19">
        <v>0.34</v>
      </c>
      <c r="C9" s="5">
        <f>'[1]TAXA DE CONVERSÃO'!$D$13</f>
        <v>0.56399999999999995</v>
      </c>
      <c r="D9" s="6">
        <f>C9/B9</f>
        <v>1.6588235294117644</v>
      </c>
      <c r="E9" s="19">
        <f>Tabela124[[#This Row],[1° SEMANA ]]</f>
        <v>0.34</v>
      </c>
      <c r="F9" s="5">
        <f>'[1]TAXA DE CONVERSÃO'!$I$13</f>
        <v>0.629</v>
      </c>
      <c r="G9" s="6">
        <f>F9/E9</f>
        <v>1.8499999999999999</v>
      </c>
      <c r="H9" s="19">
        <f>Tabela124[[#This Row],[2° SEMANA ]]</f>
        <v>0.34</v>
      </c>
      <c r="I9" s="5">
        <f>'[1]TAXA DE CONVERSÃO'!$N$13</f>
        <v>0.6</v>
      </c>
      <c r="J9" s="6">
        <f>I9/H9</f>
        <v>1.7647058823529409</v>
      </c>
      <c r="K9" s="19">
        <f>Tabela124[[#This Row],[3° SEMANA ]]</f>
        <v>0.34</v>
      </c>
      <c r="L9" s="5">
        <f>'[1]TAXA DE CONVERSÃO'!$S$13</f>
        <v>0.59099999999999997</v>
      </c>
      <c r="M9" s="6">
        <f>L9/K9</f>
        <v>1.7382352941176469</v>
      </c>
      <c r="N9" s="19">
        <f>Tabela124[[#This Row],[4° SEMANA ]]</f>
        <v>0.34</v>
      </c>
      <c r="O9" s="65">
        <f>'[1]TAXA DE CONVERSÃO'!$X$13</f>
        <v>0.57199999999999995</v>
      </c>
      <c r="P9" s="6">
        <f>O9/N9</f>
        <v>1.6823529411764704</v>
      </c>
      <c r="Q9" s="19">
        <f>Tabela1[[#This Row],[5° SEMANA ]]</f>
        <v>0.34</v>
      </c>
      <c r="R9" s="65">
        <f t="shared" ref="R9:R16" si="11">O9</f>
        <v>0.57199999999999995</v>
      </c>
      <c r="S9" s="6">
        <f t="shared" si="6"/>
        <v>1.6823529411764704</v>
      </c>
    </row>
    <row r="10" spans="1:28" ht="30" x14ac:dyDescent="0.25">
      <c r="A10" s="28" t="s">
        <v>39</v>
      </c>
      <c r="B10" s="19">
        <v>0.88</v>
      </c>
      <c r="C10" s="5">
        <f>'[1]PENETRAÇÃO D BOLETOS FIDELIDADE'!$D$14</f>
        <v>0.85709999999999997</v>
      </c>
      <c r="D10" s="6">
        <f t="shared" si="1"/>
        <v>0.97397727272727275</v>
      </c>
      <c r="E10" s="19">
        <f t="shared" si="7"/>
        <v>0.88</v>
      </c>
      <c r="F10" s="5">
        <f>'[1]PENETRAÇÃO D BOLETOS FIDELIDADE'!$I$14</f>
        <v>0.89770000000000005</v>
      </c>
      <c r="G10" s="6">
        <f t="shared" si="2"/>
        <v>1.0201136363636365</v>
      </c>
      <c r="H10" s="19">
        <f t="shared" si="8"/>
        <v>0.88</v>
      </c>
      <c r="I10" s="5">
        <f>'[1]PENETRAÇÃO D BOLETOS FIDELIDADE'!$N$14</f>
        <v>0.91069999999999995</v>
      </c>
      <c r="J10" s="6">
        <f t="shared" si="3"/>
        <v>1.0348863636363637</v>
      </c>
      <c r="K10" s="19">
        <f t="shared" si="9"/>
        <v>0.88</v>
      </c>
      <c r="L10" s="5">
        <f>'[1]PENETRAÇÃO D BOLETOS FIDELIDADE'!$S$14</f>
        <v>0.90749999999999997</v>
      </c>
      <c r="M10" s="6">
        <f t="shared" si="4"/>
        <v>1.03125</v>
      </c>
      <c r="N10" s="19">
        <f t="shared" si="10"/>
        <v>0.88</v>
      </c>
      <c r="O10" s="5">
        <f>'[1]PENETRAÇÃO D BOLETOS FIDELIDADE'!$X$14</f>
        <v>0.89949999999999997</v>
      </c>
      <c r="P10" s="6">
        <f t="shared" si="5"/>
        <v>1.022159090909091</v>
      </c>
      <c r="Q10" s="19">
        <f t="shared" ref="Q10:Q16" si="12">B10</f>
        <v>0.88</v>
      </c>
      <c r="R10" s="5">
        <f t="shared" si="11"/>
        <v>0.89949999999999997</v>
      </c>
      <c r="S10" s="6">
        <f t="shared" si="6"/>
        <v>1.022159090909091</v>
      </c>
      <c r="U10" s="48"/>
      <c r="X10" s="48"/>
    </row>
    <row r="11" spans="1:28" x14ac:dyDescent="0.25">
      <c r="A11" s="18" t="s">
        <v>40</v>
      </c>
      <c r="B11" s="21">
        <v>0.45</v>
      </c>
      <c r="C11" s="5">
        <f>'[1]RESGATE FIDELIDADE'!$D$13</f>
        <v>0.65</v>
      </c>
      <c r="D11" s="6">
        <f t="shared" si="1"/>
        <v>1.4444444444444444</v>
      </c>
      <c r="E11" s="21">
        <f t="shared" si="7"/>
        <v>0.45</v>
      </c>
      <c r="F11" s="5">
        <f>'[1]RESGATE FIDELIDADE'!$I$13</f>
        <v>0.60589999999999999</v>
      </c>
      <c r="G11" s="6">
        <f t="shared" si="2"/>
        <v>1.3464444444444443</v>
      </c>
      <c r="H11" s="21">
        <f t="shared" si="8"/>
        <v>0.45</v>
      </c>
      <c r="I11" s="5">
        <f>'[1]RESGATE FIDELIDADE'!$N$13</f>
        <v>0.60289999999999999</v>
      </c>
      <c r="J11" s="6">
        <f t="shared" si="3"/>
        <v>1.3397777777777777</v>
      </c>
      <c r="K11" s="21">
        <f t="shared" si="9"/>
        <v>0.45</v>
      </c>
      <c r="L11" s="5">
        <f>'[1]RESGATE FIDELIDADE'!$S$13</f>
        <v>0.59640000000000004</v>
      </c>
      <c r="M11" s="6">
        <f t="shared" si="4"/>
        <v>1.3253333333333335</v>
      </c>
      <c r="N11" s="21">
        <f t="shared" si="10"/>
        <v>0.45</v>
      </c>
      <c r="O11" s="5">
        <f>'[1]RESGATE FIDELIDADE'!$X$13</f>
        <v>0.5776</v>
      </c>
      <c r="P11" s="6">
        <f t="shared" si="5"/>
        <v>1.2835555555555556</v>
      </c>
      <c r="Q11" s="21">
        <f t="shared" si="12"/>
        <v>0.45</v>
      </c>
      <c r="R11" s="5">
        <f t="shared" si="11"/>
        <v>0.5776</v>
      </c>
      <c r="S11" s="6">
        <f t="shared" si="6"/>
        <v>1.2835555555555556</v>
      </c>
    </row>
    <row r="12" spans="1:28" x14ac:dyDescent="0.25">
      <c r="A12" s="18" t="s">
        <v>41</v>
      </c>
      <c r="B12" s="21">
        <v>1.7000000000000001E-2</v>
      </c>
      <c r="C12" s="5">
        <f>'[1]GESTÃO CATEGORIAS LOJAS (SKIN)'!$D$13</f>
        <v>8.9999999999999993E-3</v>
      </c>
      <c r="D12" s="6">
        <f t="shared" si="1"/>
        <v>0.52941176470588225</v>
      </c>
      <c r="E12" s="21">
        <f t="shared" si="7"/>
        <v>1.7000000000000001E-2</v>
      </c>
      <c r="F12" s="5">
        <f>'[1]GESTÃO CATEGORIAS LOJAS (SKIN)'!$I$13</f>
        <v>2.58E-2</v>
      </c>
      <c r="G12" s="6">
        <f t="shared" si="2"/>
        <v>1.5176470588235293</v>
      </c>
      <c r="H12" s="21">
        <f t="shared" si="8"/>
        <v>1.7000000000000001E-2</v>
      </c>
      <c r="I12" s="5">
        <f>'[1]GESTÃO CATEGORIAS LOJAS (SKIN)'!$N$13</f>
        <v>2.4299999999999999E-2</v>
      </c>
      <c r="J12" s="6">
        <f t="shared" si="3"/>
        <v>1.4294117647058822</v>
      </c>
      <c r="K12" s="21">
        <f t="shared" si="9"/>
        <v>1.7000000000000001E-2</v>
      </c>
      <c r="L12" s="5">
        <f>'[1]GESTÃO CATEGORIAS LOJAS (SKIN)'!$S$13</f>
        <v>2.5100000000000001E-2</v>
      </c>
      <c r="M12" s="6">
        <f t="shared" si="4"/>
        <v>1.476470588235294</v>
      </c>
      <c r="N12" s="21">
        <f t="shared" si="10"/>
        <v>1.7000000000000001E-2</v>
      </c>
      <c r="O12" s="5">
        <f>'[1]GESTÃO CATEGORIAS LOJAS (SKIN)'!$X$13</f>
        <v>2.6499999999999999E-2</v>
      </c>
      <c r="P12" s="6">
        <f t="shared" si="5"/>
        <v>1.5588235294117645</v>
      </c>
      <c r="Q12" s="21">
        <f t="shared" si="12"/>
        <v>1.7000000000000001E-2</v>
      </c>
      <c r="R12" s="5">
        <f t="shared" si="11"/>
        <v>2.6499999999999999E-2</v>
      </c>
      <c r="S12" s="6">
        <f t="shared" si="6"/>
        <v>1.5588235294117645</v>
      </c>
    </row>
    <row r="13" spans="1:28" x14ac:dyDescent="0.25">
      <c r="A13" s="18" t="s">
        <v>42</v>
      </c>
      <c r="B13" s="21">
        <v>0.27</v>
      </c>
      <c r="C13" s="5">
        <f>'[1]PENETRAÇÃO BP'!$D$13</f>
        <v>0.44209999999999999</v>
      </c>
      <c r="D13" s="6">
        <f t="shared" si="1"/>
        <v>1.6374074074074072</v>
      </c>
      <c r="E13" s="21">
        <f t="shared" si="7"/>
        <v>0.27</v>
      </c>
      <c r="F13" s="5">
        <f>'[1]PENETRAÇÃO BP'!$I$13</f>
        <v>0.35510000000000003</v>
      </c>
      <c r="G13" s="6">
        <f t="shared" si="2"/>
        <v>1.3151851851851852</v>
      </c>
      <c r="H13" s="21">
        <f t="shared" si="8"/>
        <v>0.27</v>
      </c>
      <c r="I13" s="5">
        <f>'[1]PENETRAÇÃO BP'!$N$13</f>
        <v>0.34289999999999998</v>
      </c>
      <c r="J13" s="6">
        <f t="shared" si="3"/>
        <v>1.2699999999999998</v>
      </c>
      <c r="K13" s="21">
        <f t="shared" si="9"/>
        <v>0.27</v>
      </c>
      <c r="L13" s="5">
        <f>'[1]PENETRAÇÃO BP'!$S$13</f>
        <v>0.32529999999999998</v>
      </c>
      <c r="M13" s="6">
        <f t="shared" si="4"/>
        <v>1.2048148148148146</v>
      </c>
      <c r="N13" s="21">
        <f t="shared" si="10"/>
        <v>0.27</v>
      </c>
      <c r="O13" s="5">
        <f>'[1]PENETRAÇÃO BP'!$X$13</f>
        <v>0.29549999999999998</v>
      </c>
      <c r="P13" s="6">
        <f t="shared" si="5"/>
        <v>1.0944444444444443</v>
      </c>
      <c r="Q13" s="21">
        <f t="shared" si="12"/>
        <v>0.27</v>
      </c>
      <c r="R13" s="5">
        <f t="shared" si="11"/>
        <v>0.29549999999999998</v>
      </c>
      <c r="S13" s="6">
        <f t="shared" si="6"/>
        <v>1.0944444444444443</v>
      </c>
    </row>
    <row r="14" spans="1:28" x14ac:dyDescent="0.25">
      <c r="A14" s="28" t="s">
        <v>43</v>
      </c>
      <c r="B14" s="21">
        <v>0.22</v>
      </c>
      <c r="C14" s="5">
        <f>'[1]PENETRAÇÃO BT'!$D$13</f>
        <v>0.27460000000000001</v>
      </c>
      <c r="D14" s="6">
        <f t="shared" si="1"/>
        <v>1.2481818181818183</v>
      </c>
      <c r="E14" s="21">
        <f t="shared" si="7"/>
        <v>0.22</v>
      </c>
      <c r="F14" s="5">
        <f>'[1]PENETRAÇÃO BT'!$I$13</f>
        <v>0.30610000000000004</v>
      </c>
      <c r="G14" s="6">
        <f t="shared" si="2"/>
        <v>1.3913636363636366</v>
      </c>
      <c r="H14" s="21">
        <f t="shared" si="8"/>
        <v>0.22</v>
      </c>
      <c r="I14" s="5">
        <f>'[1]PENETRAÇÃO BT'!$N$13</f>
        <v>0.30769999999999997</v>
      </c>
      <c r="J14" s="6">
        <f t="shared" si="3"/>
        <v>1.3986363636363635</v>
      </c>
      <c r="K14" s="21">
        <f t="shared" si="9"/>
        <v>0.22</v>
      </c>
      <c r="L14" s="5">
        <f>'[1]PENETRAÇÃO BT'!$S$13</f>
        <v>0.29199999999999998</v>
      </c>
      <c r="M14" s="6">
        <f t="shared" si="4"/>
        <v>1.3272727272727272</v>
      </c>
      <c r="N14" s="21">
        <f t="shared" si="10"/>
        <v>0.22</v>
      </c>
      <c r="O14" s="5">
        <f>'[1]PENETRAÇÃO BT'!$X$13</f>
        <v>0.26889999999999997</v>
      </c>
      <c r="P14" s="6">
        <f t="shared" si="5"/>
        <v>1.2222727272727272</v>
      </c>
      <c r="Q14" s="21">
        <f t="shared" si="12"/>
        <v>0.22</v>
      </c>
      <c r="R14" s="5">
        <f t="shared" si="11"/>
        <v>0.26889999999999997</v>
      </c>
      <c r="S14" s="6">
        <f t="shared" si="6"/>
        <v>1.2222727272727272</v>
      </c>
    </row>
    <row r="15" spans="1:28" x14ac:dyDescent="0.25">
      <c r="A15" s="28" t="s">
        <v>44</v>
      </c>
      <c r="B15" s="22">
        <v>0.6</v>
      </c>
      <c r="C15" s="5">
        <f>'[1]ID DO CLIENTE'!$D$13</f>
        <v>0.83920000000000006</v>
      </c>
      <c r="D15" s="6">
        <f t="shared" si="1"/>
        <v>1.3986666666666667</v>
      </c>
      <c r="E15" s="22">
        <f t="shared" si="7"/>
        <v>0.6</v>
      </c>
      <c r="F15" s="5">
        <f>'[1]ID DO CLIENTE'!$I$13</f>
        <v>0.83629999999999993</v>
      </c>
      <c r="G15" s="6">
        <f t="shared" si="2"/>
        <v>1.3938333333333333</v>
      </c>
      <c r="H15" s="22">
        <f t="shared" si="8"/>
        <v>0.6</v>
      </c>
      <c r="I15" s="5">
        <f>'[1]ID DO CLIENTE'!$N$13</f>
        <v>0.83069999999999988</v>
      </c>
      <c r="J15" s="6">
        <f t="shared" si="3"/>
        <v>1.3844999999999998</v>
      </c>
      <c r="K15" s="22">
        <f t="shared" si="9"/>
        <v>0.6</v>
      </c>
      <c r="L15" s="5">
        <f>'[1]ID DO CLIENTE'!$S$13</f>
        <v>0.82090000000000007</v>
      </c>
      <c r="M15" s="6">
        <f t="shared" si="4"/>
        <v>1.3681666666666668</v>
      </c>
      <c r="N15" s="22">
        <f t="shared" si="10"/>
        <v>0.6</v>
      </c>
      <c r="O15" s="5">
        <f>'[1]ID DO CLIENTE'!$X$13</f>
        <v>0.80659999999999998</v>
      </c>
      <c r="P15" s="6">
        <f t="shared" si="5"/>
        <v>1.3443333333333334</v>
      </c>
      <c r="Q15" s="22">
        <f t="shared" si="12"/>
        <v>0.6</v>
      </c>
      <c r="R15" s="5">
        <f t="shared" si="11"/>
        <v>0.80659999999999998</v>
      </c>
      <c r="S15" s="6">
        <f t="shared" si="6"/>
        <v>1.3443333333333334</v>
      </c>
    </row>
    <row r="16" spans="1:28" x14ac:dyDescent="0.25">
      <c r="A16" s="28" t="s">
        <v>45</v>
      </c>
      <c r="B16" s="22">
        <v>0.98</v>
      </c>
      <c r="C16" s="44">
        <f>'[1]SEPARAÇÃO NO PRAZO C&amp;R'!$D$26</f>
        <v>1</v>
      </c>
      <c r="D16" s="6">
        <f t="shared" si="1"/>
        <v>1.0204081632653061</v>
      </c>
      <c r="E16" s="22">
        <f t="shared" si="7"/>
        <v>0.98</v>
      </c>
      <c r="F16" s="44">
        <f>'[1]SEPARAÇÃO NO PRAZO C&amp;R'!$I$26</f>
        <v>1</v>
      </c>
      <c r="G16" s="6">
        <f t="shared" si="2"/>
        <v>1.0204081632653061</v>
      </c>
      <c r="H16" s="22">
        <f t="shared" si="8"/>
        <v>0.98</v>
      </c>
      <c r="I16" s="44">
        <f>'[1]SEPARAÇÃO NO PRAZO C&amp;R'!$N$26</f>
        <v>1</v>
      </c>
      <c r="J16" s="6">
        <f t="shared" si="3"/>
        <v>1.0204081632653061</v>
      </c>
      <c r="K16" s="22">
        <f t="shared" si="9"/>
        <v>0.98</v>
      </c>
      <c r="L16" s="44">
        <f>'[1]SEPARAÇÃO NO PRAZO C&amp;R'!$S$26</f>
        <v>1</v>
      </c>
      <c r="M16" s="6">
        <f t="shared" si="4"/>
        <v>1.0204081632653061</v>
      </c>
      <c r="N16" s="22">
        <f t="shared" si="10"/>
        <v>0.98</v>
      </c>
      <c r="O16" s="44">
        <f>'[1]SEPARAÇÃO NO PRAZO C&amp;R'!$X$26</f>
        <v>1</v>
      </c>
      <c r="P16" s="6">
        <f t="shared" si="5"/>
        <v>1.0204081632653061</v>
      </c>
      <c r="Q16" s="22">
        <f t="shared" si="12"/>
        <v>0.98</v>
      </c>
      <c r="R16" s="5">
        <f t="shared" si="11"/>
        <v>1</v>
      </c>
      <c r="S16" s="6">
        <f t="shared" si="6"/>
        <v>1.0204081632653061</v>
      </c>
    </row>
    <row r="17" spans="1:19" ht="30" x14ac:dyDescent="0.25">
      <c r="A17" s="28" t="s">
        <v>46</v>
      </c>
      <c r="B17" s="23">
        <v>3</v>
      </c>
      <c r="C17" s="59">
        <f>'[1]Q° DE SERVIÇOS'!$D$11</f>
        <v>1</v>
      </c>
      <c r="D17" s="6">
        <f t="shared" si="1"/>
        <v>0.33333333333333331</v>
      </c>
      <c r="E17" s="23">
        <f t="shared" si="7"/>
        <v>3</v>
      </c>
      <c r="F17" s="59">
        <f>'[1]Q° DE SERVIÇOS'!$I$11</f>
        <v>4</v>
      </c>
      <c r="G17" s="6">
        <f t="shared" si="2"/>
        <v>1.3333333333333333</v>
      </c>
      <c r="H17" s="23">
        <f t="shared" si="8"/>
        <v>3</v>
      </c>
      <c r="I17" s="59">
        <f>'[1]Q° DE SERVIÇOS'!$N$11</f>
        <v>6</v>
      </c>
      <c r="J17" s="6">
        <f t="shared" si="3"/>
        <v>2</v>
      </c>
      <c r="K17" s="23">
        <v>2</v>
      </c>
      <c r="L17" s="59">
        <f>'[1]Q° DE SERVIÇOS'!$S$11</f>
        <v>7</v>
      </c>
      <c r="M17" s="6">
        <f t="shared" si="4"/>
        <v>3.5</v>
      </c>
      <c r="N17" s="23">
        <v>2</v>
      </c>
      <c r="O17" s="59">
        <f>'[1]Q° DE SERVIÇOS'!$X$11</f>
        <v>11</v>
      </c>
      <c r="P17" s="6">
        <f t="shared" si="5"/>
        <v>5.5</v>
      </c>
      <c r="Q17" s="78">
        <f>IF(O17 = 0, IF(L17 = 0, IF(I17 = 0, IF(F17 = 0, B17, SUM(B17, E17)), SUM(B17, E17, H17)), SUM(B17, E17, H17, K17)), SUM(B17, E17, H17, K17, N17))</f>
        <v>13</v>
      </c>
      <c r="R17" s="10">
        <f>C17+F17+I17+L17+O17</f>
        <v>29</v>
      </c>
      <c r="S17" s="6">
        <f t="shared" si="6"/>
        <v>2.2307692307692308</v>
      </c>
    </row>
    <row r="18" spans="1:19" x14ac:dyDescent="0.25">
      <c r="A18" s="28" t="s">
        <v>47</v>
      </c>
      <c r="B18" s="19">
        <v>0.25</v>
      </c>
      <c r="C18" s="9">
        <f>'[1]CONVERSÃO AÇÃO DE FLUXO'!$D$13</f>
        <v>0</v>
      </c>
      <c r="D18" s="6">
        <f t="shared" si="1"/>
        <v>0</v>
      </c>
      <c r="E18" s="19">
        <f t="shared" si="7"/>
        <v>0.25</v>
      </c>
      <c r="F18" s="9">
        <f>'[1]CONVERSÃO AÇÃO DE FLUXO'!$I$13</f>
        <v>0</v>
      </c>
      <c r="G18" s="6">
        <f t="shared" si="2"/>
        <v>0</v>
      </c>
      <c r="H18" s="19">
        <f t="shared" si="8"/>
        <v>0.25</v>
      </c>
      <c r="I18" s="9">
        <f>'[1]CONVERSÃO AÇÃO DE FLUXO'!$N$13</f>
        <v>0</v>
      </c>
      <c r="J18" s="6">
        <f t="shared" si="3"/>
        <v>0</v>
      </c>
      <c r="K18" s="19">
        <f t="shared" si="9"/>
        <v>0.25</v>
      </c>
      <c r="L18" s="9">
        <f>'[1]CONVERSÃO AÇÃO DE FLUXO'!$S$13</f>
        <v>0</v>
      </c>
      <c r="M18" s="6">
        <f t="shared" si="4"/>
        <v>0</v>
      </c>
      <c r="N18" s="19">
        <f t="shared" si="10"/>
        <v>0.25</v>
      </c>
      <c r="O18" s="9">
        <f>'[1]CONVERSÃO AÇÃO DE FLUXO'!$X$13</f>
        <v>0</v>
      </c>
      <c r="P18" s="6">
        <f t="shared" si="5"/>
        <v>0</v>
      </c>
      <c r="Q18" s="19">
        <f t="shared" ref="Q18:Q21" si="13">B18</f>
        <v>0.25</v>
      </c>
      <c r="R18" s="5">
        <f>O18</f>
        <v>0</v>
      </c>
      <c r="S18" s="6">
        <f t="shared" si="6"/>
        <v>0</v>
      </c>
    </row>
    <row r="19" spans="1:19" x14ac:dyDescent="0.25">
      <c r="A19" s="28" t="s">
        <v>48</v>
      </c>
      <c r="B19" s="19">
        <v>0.86099999999999999</v>
      </c>
      <c r="C19" s="5">
        <f>[1]NPS!$D$13</f>
        <v>0.75</v>
      </c>
      <c r="D19" s="6">
        <f t="shared" si="1"/>
        <v>0.87108013937282236</v>
      </c>
      <c r="E19" s="19">
        <f t="shared" si="7"/>
        <v>0.86099999999999999</v>
      </c>
      <c r="F19" s="5">
        <f>[1]NPS!$I$13</f>
        <v>0.75</v>
      </c>
      <c r="G19" s="6">
        <f t="shared" si="2"/>
        <v>0.87108013937282236</v>
      </c>
      <c r="H19" s="19">
        <f t="shared" si="8"/>
        <v>0.86099999999999999</v>
      </c>
      <c r="I19" s="5">
        <f>[1]NPS!$N$13</f>
        <v>0.85289999999999999</v>
      </c>
      <c r="J19" s="6">
        <f t="shared" si="3"/>
        <v>0.99059233449477357</v>
      </c>
      <c r="K19" s="19">
        <f t="shared" si="9"/>
        <v>0.86099999999999999</v>
      </c>
      <c r="L19" s="5">
        <f>[1]NPS!$S$13</f>
        <v>0.9123</v>
      </c>
      <c r="M19" s="6">
        <f t="shared" si="4"/>
        <v>1.0595818815331011</v>
      </c>
      <c r="N19" s="19">
        <f t="shared" si="10"/>
        <v>0.86099999999999999</v>
      </c>
      <c r="O19" s="5">
        <f>[1]NPS!$X$13</f>
        <v>0.92859999999999998</v>
      </c>
      <c r="P19" s="6">
        <f t="shared" si="5"/>
        <v>1.078513356562137</v>
      </c>
      <c r="Q19" s="19">
        <f t="shared" si="13"/>
        <v>0.86099999999999999</v>
      </c>
      <c r="R19" s="5">
        <f>O19</f>
        <v>0.92859999999999998</v>
      </c>
      <c r="S19" s="6">
        <f t="shared" si="6"/>
        <v>1.078513356562137</v>
      </c>
    </row>
    <row r="20" spans="1:19" x14ac:dyDescent="0.25">
      <c r="A20" s="28" t="s">
        <v>49</v>
      </c>
      <c r="B20" s="22">
        <v>0.95</v>
      </c>
      <c r="C20" s="5">
        <f>'[1]LOJA DIGITAL ATIVO (BEXD)'!$D$13</f>
        <v>1</v>
      </c>
      <c r="D20" s="6">
        <f t="shared" si="1"/>
        <v>1.0526315789473684</v>
      </c>
      <c r="E20" s="22">
        <f t="shared" si="7"/>
        <v>0.95</v>
      </c>
      <c r="F20" s="5">
        <f>'[1]LOJA DIGITAL ATIVO (BEXD)'!$I$13</f>
        <v>1</v>
      </c>
      <c r="G20" s="6">
        <f t="shared" si="2"/>
        <v>1.0526315789473684</v>
      </c>
      <c r="H20" s="22">
        <f t="shared" si="8"/>
        <v>0.95</v>
      </c>
      <c r="I20" s="5">
        <f>'[1]LOJA DIGITAL ATIVO (BEXD)'!$N$13</f>
        <v>0.97089999999999999</v>
      </c>
      <c r="J20" s="6">
        <f t="shared" si="3"/>
        <v>1.022</v>
      </c>
      <c r="K20" s="22">
        <f t="shared" si="9"/>
        <v>0.95</v>
      </c>
      <c r="L20" s="5">
        <f>'[1]LOJA DIGITAL ATIVO (BEXD)'!$S$13</f>
        <v>0.85239999999999994</v>
      </c>
      <c r="M20" s="6">
        <f t="shared" si="4"/>
        <v>0.89726315789473676</v>
      </c>
      <c r="N20" s="22">
        <f t="shared" si="10"/>
        <v>0.95</v>
      </c>
      <c r="O20" s="5">
        <f>'[1]LOJA DIGITAL ATIVO (BEXD)'!$X$13</f>
        <v>0.89400000000000002</v>
      </c>
      <c r="P20" s="6">
        <f t="shared" si="5"/>
        <v>0.94105263157894747</v>
      </c>
      <c r="Q20" s="22">
        <f t="shared" si="13"/>
        <v>0.95</v>
      </c>
      <c r="R20" s="5">
        <f>O20</f>
        <v>0.89400000000000002</v>
      </c>
      <c r="S20" s="6">
        <f t="shared" si="6"/>
        <v>0.94105263157894747</v>
      </c>
    </row>
    <row r="21" spans="1:19" x14ac:dyDescent="0.25">
      <c r="A21" s="28" t="s">
        <v>50</v>
      </c>
      <c r="B21" s="22">
        <v>0.85</v>
      </c>
      <c r="C21" s="49">
        <f>'[1]TREINAMENTOS FV (UB)'!$D$13</f>
        <v>0.96992481203007519</v>
      </c>
      <c r="D21" s="6">
        <f t="shared" si="1"/>
        <v>1.1410880141530297</v>
      </c>
      <c r="E21" s="22">
        <f t="shared" si="7"/>
        <v>0.85</v>
      </c>
      <c r="F21" s="49">
        <f>'[1]TREINAMENTOS FV (UB)'!$I$13</f>
        <v>0.97950819672131151</v>
      </c>
      <c r="G21" s="6">
        <f t="shared" si="2"/>
        <v>1.1523625843780136</v>
      </c>
      <c r="H21" s="22">
        <f t="shared" si="8"/>
        <v>0.85</v>
      </c>
      <c r="I21" s="70">
        <f>'[1]TREINAMENTOS FV (UB)'!$N$13</f>
        <v>0.97950819672131151</v>
      </c>
      <c r="J21" s="6">
        <f t="shared" si="3"/>
        <v>1.1523625843780136</v>
      </c>
      <c r="K21" s="22">
        <f t="shared" si="9"/>
        <v>0.85</v>
      </c>
      <c r="L21" s="70">
        <f>'[1]TREINAMENTOS FV (UB)'!$S$13</f>
        <v>0.97950819672131151</v>
      </c>
      <c r="M21" s="6">
        <f t="shared" si="4"/>
        <v>1.1523625843780136</v>
      </c>
      <c r="N21" s="22">
        <f t="shared" si="10"/>
        <v>0.85</v>
      </c>
      <c r="O21" s="70">
        <f>'[1]TREINAMENTOS FV (UB)'!$X$13</f>
        <v>0.97950819672131151</v>
      </c>
      <c r="P21" s="6">
        <f t="shared" si="5"/>
        <v>1.1523625843780136</v>
      </c>
      <c r="Q21" s="22">
        <f t="shared" si="13"/>
        <v>0.85</v>
      </c>
      <c r="R21" s="5">
        <f>O21</f>
        <v>0.97950819672131151</v>
      </c>
      <c r="S21" s="6">
        <f t="shared" si="6"/>
        <v>1.1523625843780136</v>
      </c>
    </row>
    <row r="22" spans="1:19" hidden="1" x14ac:dyDescent="0.25">
      <c r="A22" s="28" t="s">
        <v>51</v>
      </c>
      <c r="B22" s="24"/>
      <c r="C22" s="10"/>
      <c r="D22" s="6" t="e">
        <f t="shared" si="1"/>
        <v>#DIV/0!</v>
      </c>
      <c r="E22" s="24"/>
      <c r="F22" s="10"/>
      <c r="G22" s="6" t="e">
        <f t="shared" si="2"/>
        <v>#DIV/0!</v>
      </c>
      <c r="H22" s="24"/>
      <c r="I22" s="10"/>
      <c r="J22" s="6" t="e">
        <f t="shared" si="3"/>
        <v>#DIV/0!</v>
      </c>
      <c r="K22" s="24"/>
      <c r="L22" s="10"/>
      <c r="M22" s="6" t="e">
        <f t="shared" si="4"/>
        <v>#DIV/0!</v>
      </c>
      <c r="N22" s="24"/>
      <c r="O22" s="10"/>
      <c r="P22" s="6" t="e">
        <f t="shared" si="5"/>
        <v>#DIV/0!</v>
      </c>
      <c r="Q22" s="23">
        <v>8</v>
      </c>
      <c r="R22" s="10"/>
      <c r="S22" s="6" t="e">
        <f>Q22/R22</f>
        <v>#DIV/0!</v>
      </c>
    </row>
    <row r="23" spans="1:19" hidden="1" x14ac:dyDescent="0.25">
      <c r="A23" s="28" t="s">
        <v>52</v>
      </c>
      <c r="B23" s="22"/>
      <c r="C23" s="45"/>
      <c r="D23" s="6" t="e">
        <f t="shared" si="1"/>
        <v>#DIV/0!</v>
      </c>
      <c r="E23" s="22"/>
      <c r="F23" s="45"/>
      <c r="G23" s="6" t="e">
        <f t="shared" si="2"/>
        <v>#DIV/0!</v>
      </c>
      <c r="H23" s="22"/>
      <c r="I23" s="45"/>
      <c r="J23" s="6" t="e">
        <f>H23/I23</f>
        <v>#DIV/0!</v>
      </c>
      <c r="K23" s="22">
        <v>1.7000000000000001E-2</v>
      </c>
      <c r="L23" s="65"/>
      <c r="M23" s="6" t="e">
        <f>K23/L23</f>
        <v>#DIV/0!</v>
      </c>
      <c r="N23" s="22"/>
      <c r="O23" s="45"/>
      <c r="P23" s="6" t="e">
        <f>N23/O23</f>
        <v>#DIV/0!</v>
      </c>
      <c r="Q23" s="22">
        <v>1.7000000000000001E-2</v>
      </c>
      <c r="R23" s="5">
        <f>Tabela124[[#This Row],[4° SEMANA]]</f>
        <v>0</v>
      </c>
      <c r="S23" s="6" t="e">
        <f>Q23/R23</f>
        <v>#DIV/0!</v>
      </c>
    </row>
    <row r="24" spans="1:19" hidden="1" x14ac:dyDescent="0.25">
      <c r="A24" s="28" t="s">
        <v>53</v>
      </c>
      <c r="B24" s="22"/>
      <c r="C24" s="25"/>
      <c r="D24" s="6" t="e">
        <f t="shared" si="1"/>
        <v>#DIV/0!</v>
      </c>
      <c r="E24" s="22"/>
      <c r="F24" s="25"/>
      <c r="G24" s="6" t="e">
        <f t="shared" si="2"/>
        <v>#DIV/0!</v>
      </c>
      <c r="H24" s="22"/>
      <c r="I24" s="25"/>
      <c r="J24" s="6" t="e">
        <f t="shared" si="3"/>
        <v>#DIV/0!</v>
      </c>
      <c r="K24" s="22"/>
      <c r="L24" s="25"/>
      <c r="M24" s="6" t="e">
        <f t="shared" si="4"/>
        <v>#DIV/0!</v>
      </c>
      <c r="N24" s="22"/>
      <c r="O24" s="25"/>
      <c r="P24" s="6" t="e">
        <f t="shared" si="5"/>
        <v>#DIV/0!</v>
      </c>
      <c r="Q24" s="22"/>
      <c r="R24" s="12"/>
      <c r="S24" s="6" t="e">
        <f t="shared" si="6"/>
        <v>#DIV/0!</v>
      </c>
    </row>
    <row r="25" spans="1:19" x14ac:dyDescent="0.25">
      <c r="C25" s="48"/>
    </row>
  </sheetData>
  <mergeCells count="7">
    <mergeCell ref="Y1:AB1"/>
    <mergeCell ref="Q1:S1"/>
    <mergeCell ref="B1:D1"/>
    <mergeCell ref="E1:G1"/>
    <mergeCell ref="H1:J1"/>
    <mergeCell ref="K1:M1"/>
    <mergeCell ref="N1:P1"/>
  </mergeCells>
  <phoneticPr fontId="9" type="noConversion"/>
  <conditionalFormatting sqref="D4:D24">
    <cfRule type="cellIs" dxfId="257" priority="30" operator="between">
      <formula>0</formula>
      <formula>0.7999</formula>
    </cfRule>
    <cfRule type="cellIs" dxfId="256" priority="28" operator="between">
      <formula>1</formula>
      <formula>1.1999</formula>
    </cfRule>
    <cfRule type="cellIs" dxfId="255" priority="29" operator="between">
      <formula>0.8</formula>
      <formula>0.9999</formula>
    </cfRule>
    <cfRule type="containsErrors" dxfId="254" priority="25">
      <formula>ISERROR(D4)</formula>
    </cfRule>
    <cfRule type="containsText" dxfId="253" priority="26" operator="containsText" text="-">
      <formula>NOT(ISERROR(SEARCH("-",D4)))</formula>
    </cfRule>
    <cfRule type="cellIs" dxfId="252" priority="27" operator="greaterThan">
      <formula>1.2</formula>
    </cfRule>
  </conditionalFormatting>
  <conditionalFormatting sqref="G4:G24">
    <cfRule type="cellIs" dxfId="251" priority="34" operator="between">
      <formula>1</formula>
      <formula>1.1999</formula>
    </cfRule>
    <cfRule type="containsText" dxfId="250" priority="32" operator="containsText" text="-">
      <formula>NOT(ISERROR(SEARCH("-",G4)))</formula>
    </cfRule>
    <cfRule type="containsErrors" dxfId="249" priority="31">
      <formula>ISERROR(G4)</formula>
    </cfRule>
    <cfRule type="cellIs" dxfId="248" priority="33" operator="greaterThan">
      <formula>1.2</formula>
    </cfRule>
    <cfRule type="cellIs" dxfId="247" priority="36" operator="between">
      <formula>0</formula>
      <formula>0.7999</formula>
    </cfRule>
    <cfRule type="cellIs" dxfId="246" priority="35" operator="between">
      <formula>0.8</formula>
      <formula>0.9999</formula>
    </cfRule>
  </conditionalFormatting>
  <conditionalFormatting sqref="J4:J24">
    <cfRule type="cellIs" dxfId="245" priority="57" operator="greaterThan">
      <formula>1.2</formula>
    </cfRule>
    <cfRule type="cellIs" dxfId="244" priority="58" operator="between">
      <formula>1</formula>
      <formula>1.1999</formula>
    </cfRule>
    <cfRule type="cellIs" dxfId="243" priority="59" operator="between">
      <formula>0.8</formula>
      <formula>0.9999</formula>
    </cfRule>
    <cfRule type="cellIs" dxfId="242" priority="60" operator="between">
      <formula>0</formula>
      <formula>0.7999</formula>
    </cfRule>
    <cfRule type="containsErrors" dxfId="241" priority="55">
      <formula>ISERROR(J4)</formula>
    </cfRule>
    <cfRule type="containsText" dxfId="240" priority="56" operator="containsText" text="-">
      <formula>NOT(ISERROR(SEARCH("-",J4)))</formula>
    </cfRule>
  </conditionalFormatting>
  <conditionalFormatting sqref="M4:M24">
    <cfRule type="containsErrors" dxfId="239" priority="49">
      <formula>ISERROR(M4)</formula>
    </cfRule>
    <cfRule type="cellIs" dxfId="238" priority="51" operator="greaterThan">
      <formula>1.2</formula>
    </cfRule>
    <cfRule type="cellIs" dxfId="237" priority="52" operator="between">
      <formula>1</formula>
      <formula>1.1999</formula>
    </cfRule>
    <cfRule type="cellIs" dxfId="236" priority="53" operator="between">
      <formula>0.8</formula>
      <formula>0.9999</formula>
    </cfRule>
    <cfRule type="cellIs" dxfId="235" priority="54" operator="between">
      <formula>0</formula>
      <formula>0.7999</formula>
    </cfRule>
    <cfRule type="containsText" dxfId="234" priority="50" operator="containsText" text="-">
      <formula>NOT(ISERROR(SEARCH("-",M4)))</formula>
    </cfRule>
  </conditionalFormatting>
  <conditionalFormatting sqref="P4:P24">
    <cfRule type="containsErrors" dxfId="233" priority="19">
      <formula>ISERROR(P4)</formula>
    </cfRule>
    <cfRule type="cellIs" dxfId="232" priority="24" operator="between">
      <formula>0</formula>
      <formula>0.7999</formula>
    </cfRule>
    <cfRule type="cellIs" dxfId="231" priority="22" operator="between">
      <formula>1</formula>
      <formula>1.1999</formula>
    </cfRule>
    <cfRule type="cellIs" dxfId="230" priority="21" operator="greaterThan">
      <formula>1.2</formula>
    </cfRule>
    <cfRule type="containsText" dxfId="229" priority="20" operator="containsText" text="-">
      <formula>NOT(ISERROR(SEARCH("-",P4)))</formula>
    </cfRule>
    <cfRule type="cellIs" dxfId="228" priority="23" operator="between">
      <formula>0.8</formula>
      <formula>0.9999</formula>
    </cfRule>
  </conditionalFormatting>
  <conditionalFormatting sqref="S4:S24">
    <cfRule type="cellIs" dxfId="227" priority="17" operator="between">
      <formula>0.8</formula>
      <formula>0.9999</formula>
    </cfRule>
    <cfRule type="containsErrors" dxfId="226" priority="13">
      <formula>ISERROR(S4)</formula>
    </cfRule>
    <cfRule type="containsText" dxfId="225" priority="14" operator="containsText" text="-">
      <formula>NOT(ISERROR(SEARCH("-",S4)))</formula>
    </cfRule>
    <cfRule type="cellIs" dxfId="224" priority="15" operator="greaterThan">
      <formula>1.2</formula>
    </cfRule>
    <cfRule type="cellIs" dxfId="223" priority="16" operator="between">
      <formula>1</formula>
      <formula>1.1999</formula>
    </cfRule>
    <cfRule type="cellIs" dxfId="222" priority="18" operator="between">
      <formula>0</formula>
      <formula>0.7999</formula>
    </cfRule>
  </conditionalFormatting>
  <conditionalFormatting sqref="AB3:AB6">
    <cfRule type="containsText" dxfId="221" priority="2" operator="containsText" text="-">
      <formula>NOT(ISERROR(SEARCH("-",AB3)))</formula>
    </cfRule>
    <cfRule type="cellIs" dxfId="220" priority="3" operator="greaterThan">
      <formula>1.2</formula>
    </cfRule>
    <cfRule type="cellIs" dxfId="219" priority="4" operator="between">
      <formula>1</formula>
      <formula>1.1999</formula>
    </cfRule>
    <cfRule type="cellIs" dxfId="218" priority="5" operator="between">
      <formula>0.8</formula>
      <formula>0.9999</formula>
    </cfRule>
    <cfRule type="cellIs" dxfId="217" priority="6" operator="between">
      <formula>0</formula>
      <formula>0.7999</formula>
    </cfRule>
    <cfRule type="containsErrors" dxfId="216" priority="1">
      <formula>ISERROR(AB3)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403E0-6D6D-4E53-8050-1D429B12D375}">
  <sheetPr>
    <tabColor rgb="FF00B0F0"/>
  </sheetPr>
  <dimension ref="A1:AB25"/>
  <sheetViews>
    <sheetView zoomScale="85" zoomScaleNormal="85" workbookViewId="0">
      <selection activeCell="B1" sqref="B1:S1"/>
    </sheetView>
  </sheetViews>
  <sheetFormatPr defaultColWidth="9.140625" defaultRowHeight="15" x14ac:dyDescent="0.25"/>
  <cols>
    <col min="1" max="1" width="32.42578125" style="79" customWidth="1"/>
    <col min="2" max="2" width="14.7109375" style="2" customWidth="1"/>
    <col min="3" max="3" width="16.140625" style="2" customWidth="1"/>
    <col min="4" max="4" width="14.42578125" style="2" customWidth="1"/>
    <col min="5" max="5" width="13.42578125" style="2" customWidth="1"/>
    <col min="6" max="6" width="15.7109375" style="2" customWidth="1"/>
    <col min="7" max="7" width="20.85546875" style="2" customWidth="1"/>
    <col min="8" max="8" width="14.85546875" style="2" customWidth="1"/>
    <col min="9" max="9" width="15.140625" style="2" customWidth="1"/>
    <col min="10" max="10" width="13.5703125" style="2" customWidth="1"/>
    <col min="11" max="11" width="15.42578125" style="2" customWidth="1"/>
    <col min="12" max="12" width="16.140625" style="2" customWidth="1"/>
    <col min="13" max="13" width="12.28515625" style="2" customWidth="1"/>
    <col min="14" max="14" width="15.140625" style="2" customWidth="1"/>
    <col min="15" max="15" width="16.140625" style="2" bestFit="1" customWidth="1"/>
    <col min="16" max="16" width="12.42578125" style="2" customWidth="1"/>
    <col min="17" max="17" width="16.140625" style="2" customWidth="1"/>
    <col min="18" max="18" width="16.85546875" style="2" customWidth="1"/>
    <col min="19" max="19" width="11.5703125" style="2" customWidth="1"/>
    <col min="20" max="21" width="14.42578125" style="2" customWidth="1"/>
    <col min="22" max="22" width="3.7109375" style="2" customWidth="1"/>
    <col min="23" max="23" width="14.42578125" style="2" customWidth="1"/>
    <col min="24" max="24" width="9.140625" style="2" customWidth="1"/>
    <col min="25" max="25" width="18.140625" style="2" bestFit="1" customWidth="1"/>
    <col min="26" max="26" width="18.28515625" style="2" customWidth="1"/>
    <col min="27" max="27" width="15" style="2" customWidth="1"/>
    <col min="28" max="28" width="16.85546875" style="2" customWidth="1"/>
    <col min="29" max="16384" width="9.140625" style="2"/>
  </cols>
  <sheetData>
    <row r="1" spans="1:28" ht="27" customHeight="1" x14ac:dyDescent="0.25">
      <c r="B1" s="113" t="s">
        <v>114</v>
      </c>
      <c r="C1" s="113"/>
      <c r="D1" s="113"/>
      <c r="E1" s="113" t="s">
        <v>115</v>
      </c>
      <c r="F1" s="113"/>
      <c r="G1" s="113"/>
      <c r="H1" s="113" t="s">
        <v>116</v>
      </c>
      <c r="I1" s="113"/>
      <c r="J1" s="113"/>
      <c r="K1" s="113" t="s">
        <v>117</v>
      </c>
      <c r="L1" s="113"/>
      <c r="M1" s="113"/>
      <c r="N1" s="113" t="s">
        <v>118</v>
      </c>
      <c r="O1" s="113"/>
      <c r="P1" s="113"/>
      <c r="Q1" s="110" t="s">
        <v>1</v>
      </c>
      <c r="R1" s="111"/>
      <c r="S1" s="112"/>
      <c r="Y1" s="109" t="s">
        <v>2</v>
      </c>
      <c r="Z1" s="109"/>
      <c r="AA1" s="109"/>
      <c r="AB1" s="109"/>
    </row>
    <row r="2" spans="1:28" ht="30" x14ac:dyDescent="0.25">
      <c r="A2" s="15" t="s">
        <v>71</v>
      </c>
      <c r="B2" s="16" t="s">
        <v>4</v>
      </c>
      <c r="C2" s="16" t="s">
        <v>5</v>
      </c>
      <c r="D2" s="16" t="s">
        <v>6</v>
      </c>
      <c r="E2" s="16" t="s">
        <v>7</v>
      </c>
      <c r="F2" s="16" t="s">
        <v>8</v>
      </c>
      <c r="G2" s="16" t="s">
        <v>9</v>
      </c>
      <c r="H2" s="16" t="s">
        <v>10</v>
      </c>
      <c r="I2" s="16" t="s">
        <v>11</v>
      </c>
      <c r="J2" s="16" t="s">
        <v>12</v>
      </c>
      <c r="K2" s="16" t="s">
        <v>13</v>
      </c>
      <c r="L2" s="16" t="s">
        <v>14</v>
      </c>
      <c r="M2" s="16" t="s">
        <v>15</v>
      </c>
      <c r="N2" s="16" t="s">
        <v>16</v>
      </c>
      <c r="O2" s="16" t="s">
        <v>17</v>
      </c>
      <c r="P2" s="16" t="s">
        <v>18</v>
      </c>
      <c r="Q2" s="16" t="s">
        <v>19</v>
      </c>
      <c r="R2" s="16" t="s">
        <v>20</v>
      </c>
      <c r="S2" s="16" t="s">
        <v>21</v>
      </c>
      <c r="Y2" s="17" t="s">
        <v>22</v>
      </c>
      <c r="Z2" s="17" t="s">
        <v>23</v>
      </c>
      <c r="AA2" s="92" t="s">
        <v>24</v>
      </c>
      <c r="AB2" s="92" t="s">
        <v>25</v>
      </c>
    </row>
    <row r="3" spans="1:28" x14ac:dyDescent="0.25">
      <c r="A3" s="73"/>
      <c r="B3" s="17" t="s">
        <v>26</v>
      </c>
      <c r="C3" s="10" t="s">
        <v>27</v>
      </c>
      <c r="D3" s="17" t="s">
        <v>28</v>
      </c>
      <c r="E3" s="17" t="s">
        <v>26</v>
      </c>
      <c r="F3" s="10" t="s">
        <v>27</v>
      </c>
      <c r="G3" s="17" t="s">
        <v>28</v>
      </c>
      <c r="H3" s="17" t="s">
        <v>26</v>
      </c>
      <c r="I3" s="10" t="s">
        <v>27</v>
      </c>
      <c r="J3" s="17" t="s">
        <v>28</v>
      </c>
      <c r="K3" s="17" t="s">
        <v>26</v>
      </c>
      <c r="L3" s="10" t="s">
        <v>27</v>
      </c>
      <c r="M3" s="17" t="s">
        <v>28</v>
      </c>
      <c r="N3" s="17" t="s">
        <v>26</v>
      </c>
      <c r="O3" s="10" t="s">
        <v>27</v>
      </c>
      <c r="P3" s="17" t="s">
        <v>28</v>
      </c>
      <c r="Q3" s="17" t="s">
        <v>26</v>
      </c>
      <c r="R3" s="10" t="s">
        <v>27</v>
      </c>
      <c r="S3" s="26" t="s">
        <v>28</v>
      </c>
      <c r="Y3" s="14" t="s">
        <v>29</v>
      </c>
      <c r="Z3" s="56">
        <f>[1]RECEITA!$AF$15</f>
        <v>262837.00999999995</v>
      </c>
      <c r="AA3" s="90">
        <f>R4</f>
        <v>254559.27</v>
      </c>
      <c r="AB3" s="6">
        <f>AA3/Z3</f>
        <v>0.96850618563953395</v>
      </c>
    </row>
    <row r="4" spans="1:28" x14ac:dyDescent="0.25">
      <c r="A4" s="28" t="s">
        <v>30</v>
      </c>
      <c r="B4" s="20">
        <f>[1]RECEITA!$B$15</f>
        <v>20483.114772158398</v>
      </c>
      <c r="C4" s="12">
        <f>[1]RECEITA!$D$15</f>
        <v>7090.61</v>
      </c>
      <c r="D4" s="6">
        <f>C4/B4</f>
        <v>0.34616854315720996</v>
      </c>
      <c r="E4" s="20">
        <f>[1]RECEITA!$H$15</f>
        <v>59384.475930072935</v>
      </c>
      <c r="F4" s="12">
        <f>[1]RECEITA!$J$15</f>
        <v>70096.28</v>
      </c>
      <c r="G4" s="6">
        <f>F4/E4</f>
        <v>1.1803805439411563</v>
      </c>
      <c r="H4" s="20">
        <f>[1]RECEITA!$N$15</f>
        <v>61593.56520930893</v>
      </c>
      <c r="I4" s="12">
        <f>[1]RECEITA!$P$15</f>
        <v>58236.959999999999</v>
      </c>
      <c r="J4" s="6">
        <f>I4/H4</f>
        <v>0.94550396298862671</v>
      </c>
      <c r="K4" s="20">
        <f>[1]RECEITA!$T$15</f>
        <v>62930.33726758902</v>
      </c>
      <c r="L4" s="12">
        <f>[1]RECEITA!$V$15</f>
        <v>53022.32</v>
      </c>
      <c r="M4" s="6">
        <f>L4/K4</f>
        <v>0.84255578950008359</v>
      </c>
      <c r="N4" s="20">
        <f>[1]RECEITA!$Z$15</f>
        <v>58445.516820870704</v>
      </c>
      <c r="O4" s="12">
        <f>[1]RECEITA!$AB$15</f>
        <v>66113.100000000006</v>
      </c>
      <c r="P4" s="6">
        <f>O4/N4</f>
        <v>1.1311919818012668</v>
      </c>
      <c r="Q4" s="20">
        <f>IF(O4 = 0, IF(L4 = 0, IF(I4 = 0, IF(F4 = 0, B4, SUM(B4, E4)), SUM(B4, E4, H4)), SUM(B4, E4, H4, K4)), SUM(B4, E4, H4, K4, N4))</f>
        <v>262837.01</v>
      </c>
      <c r="R4" s="52">
        <f>O4+L4+I4+F4+C4</f>
        <v>254559.27</v>
      </c>
      <c r="S4" s="6">
        <f>R4/Q4</f>
        <v>0.96850618563953372</v>
      </c>
      <c r="W4" s="61">
        <f>SUM(N4+K4+H4+E4+B4)</f>
        <v>262837.00999999995</v>
      </c>
      <c r="Y4" s="14" t="s">
        <v>31</v>
      </c>
      <c r="Z4" s="56">
        <f>Z3/Z5</f>
        <v>142.92387710712342</v>
      </c>
      <c r="AA4" s="90">
        <f>R5</f>
        <v>153.07232110643415</v>
      </c>
      <c r="AB4" s="6">
        <f t="shared" ref="AB4:AB6" si="0">AA4/Z4</f>
        <v>1.0710059382989192</v>
      </c>
    </row>
    <row r="5" spans="1:28" x14ac:dyDescent="0.25">
      <c r="A5" s="28" t="s">
        <v>32</v>
      </c>
      <c r="B5" s="20">
        <f>B4/B8</f>
        <v>158.62925453714209</v>
      </c>
      <c r="C5" s="7">
        <f>'[1]VENDA MÉDIA'!$D$15</f>
        <v>116.2395081967213</v>
      </c>
      <c r="D5" s="6">
        <f t="shared" ref="D5:D24" si="1">C5/B5</f>
        <v>0.73277472390506959</v>
      </c>
      <c r="E5" s="20">
        <f>E4/E8</f>
        <v>129.60722785667704</v>
      </c>
      <c r="F5" s="7">
        <f>'[1]VENDA MÉDIA'!$I$15</f>
        <v>148.50906779661017</v>
      </c>
      <c r="G5" s="6">
        <f t="shared" ref="G5:G24" si="2">F5/E5</f>
        <v>1.145839396864774</v>
      </c>
      <c r="H5" s="20">
        <f>H4/H8</f>
        <v>130.57081382366553</v>
      </c>
      <c r="I5" s="7">
        <f>'[1]VENDA MÉDIA'!$N$15</f>
        <v>158.68381471389645</v>
      </c>
      <c r="J5" s="6">
        <f t="shared" ref="J5:J24" si="3">I5/H5</f>
        <v>1.2153084603439572</v>
      </c>
      <c r="K5" s="20">
        <f>K4/K8</f>
        <v>157.78664987720683</v>
      </c>
      <c r="L5" s="7">
        <f>'[1]VENDA MÉDIA'!$S$15</f>
        <v>155.94800000000001</v>
      </c>
      <c r="M5" s="6">
        <f t="shared" ref="M5:M24" si="4">L5/K5</f>
        <v>0.9883472405388054</v>
      </c>
      <c r="N5" s="20">
        <f>N4/N8</f>
        <v>153.34834313263869</v>
      </c>
      <c r="O5" s="7">
        <f>'[1]VENDA MÉDIA'!$X$15</f>
        <v>156.29574468085107</v>
      </c>
      <c r="P5" s="6">
        <f t="shared" ref="P5:P24" si="5">O5/N5</f>
        <v>1.0192203025347526</v>
      </c>
      <c r="Q5" s="60">
        <f>Q4/Q8</f>
        <v>142.92387710712345</v>
      </c>
      <c r="R5" s="8">
        <f>R4/R8</f>
        <v>153.07232110643415</v>
      </c>
      <c r="S5" s="6">
        <f t="shared" ref="S5:S24" si="6">R5/Q5</f>
        <v>1.071005938298919</v>
      </c>
      <c r="Y5" s="14" t="s">
        <v>33</v>
      </c>
      <c r="Z5" s="14">
        <f>[1]BOLETOS!$AB$14</f>
        <v>1839</v>
      </c>
      <c r="AA5" s="91">
        <f>R8</f>
        <v>1663</v>
      </c>
      <c r="AB5" s="6">
        <f t="shared" si="0"/>
        <v>0.90429581294181616</v>
      </c>
    </row>
    <row r="6" spans="1:28" x14ac:dyDescent="0.25">
      <c r="A6" s="28" t="s">
        <v>34</v>
      </c>
      <c r="B6" s="41">
        <f>'[1]ITENS POR BOLETO'!$A$14</f>
        <v>2.77</v>
      </c>
      <c r="C6" s="10">
        <f>'[1]ITENS POR BOLETO'!$D$14</f>
        <v>2.3934426229508197</v>
      </c>
      <c r="D6" s="6">
        <f t="shared" si="1"/>
        <v>0.86405870864650525</v>
      </c>
      <c r="E6" s="17">
        <f t="shared" ref="E6:E21" si="7">B6</f>
        <v>2.77</v>
      </c>
      <c r="F6" s="11">
        <f>'[1]ITENS POR BOLETO'!$I$14</f>
        <v>2.6334745762711864</v>
      </c>
      <c r="G6" s="6">
        <f t="shared" si="2"/>
        <v>0.95071284341920081</v>
      </c>
      <c r="H6" s="17">
        <f t="shared" ref="H6:H21" si="8">E6</f>
        <v>2.77</v>
      </c>
      <c r="I6" s="11">
        <f>'[1]ITENS POR BOLETO'!$N$14</f>
        <v>2.8228882833787465</v>
      </c>
      <c r="J6" s="6">
        <f t="shared" si="3"/>
        <v>1.0190932430970203</v>
      </c>
      <c r="K6" s="17">
        <f t="shared" ref="K6:K21" si="9">H6</f>
        <v>2.77</v>
      </c>
      <c r="L6" s="11">
        <f>'[1]ITENS POR BOLETO'!$S$14</f>
        <v>2.9352941176470586</v>
      </c>
      <c r="M6" s="6">
        <f t="shared" si="4"/>
        <v>1.0596729666595879</v>
      </c>
      <c r="N6" s="17">
        <f t="shared" ref="N6:N21" si="10">K6</f>
        <v>2.77</v>
      </c>
      <c r="O6" s="11">
        <f>'[1]ITENS POR BOLETO'!$X$14</f>
        <v>2.7825059101654848</v>
      </c>
      <c r="P6" s="6">
        <f t="shared" si="5"/>
        <v>1.0045147690128104</v>
      </c>
      <c r="Q6" s="17">
        <f>B6</f>
        <v>2.77</v>
      </c>
      <c r="R6" s="11">
        <f>'[1]ITENS POR BOLETO'!$AC$14</f>
        <v>2.7660853878532774</v>
      </c>
      <c r="S6" s="6">
        <f t="shared" si="6"/>
        <v>0.99858678261851164</v>
      </c>
      <c r="Y6" s="93" t="s">
        <v>35</v>
      </c>
      <c r="Z6" s="93">
        <v>13</v>
      </c>
      <c r="AA6" s="93">
        <f>R17</f>
        <v>30</v>
      </c>
      <c r="AB6" s="99">
        <f t="shared" si="0"/>
        <v>2.3076923076923075</v>
      </c>
    </row>
    <row r="7" spans="1:28" x14ac:dyDescent="0.25">
      <c r="A7" s="29" t="s">
        <v>36</v>
      </c>
      <c r="B7" s="27">
        <f>'[1]PREÇO MÉDIO'!$A$14</f>
        <v>51.60162454873646</v>
      </c>
      <c r="C7" s="12">
        <f>'[1]PREÇO MÉDIO'!$D$14</f>
        <v>48.565821917808215</v>
      </c>
      <c r="D7" s="6">
        <f t="shared" si="1"/>
        <v>0.94116846790238151</v>
      </c>
      <c r="E7" s="27">
        <f t="shared" si="7"/>
        <v>51.60162454873646</v>
      </c>
      <c r="F7" s="12">
        <f>'[1]PREÇO MÉDIO'!$I$14</f>
        <v>56.392823813354788</v>
      </c>
      <c r="G7" s="6">
        <f t="shared" si="2"/>
        <v>1.0928497756905533</v>
      </c>
      <c r="H7" s="27">
        <f t="shared" si="8"/>
        <v>51.60162454873646</v>
      </c>
      <c r="I7" s="12">
        <f>'[1]PREÇO MÉDIO'!$N$14</f>
        <v>56.213281853281849</v>
      </c>
      <c r="J7" s="6">
        <f t="shared" si="3"/>
        <v>1.0893703898835547</v>
      </c>
      <c r="K7" s="27">
        <f t="shared" si="9"/>
        <v>51.60162454873646</v>
      </c>
      <c r="L7" s="12">
        <f>'[1]PREÇO MÉDIO'!$S$14</f>
        <v>53.128577154308616</v>
      </c>
      <c r="M7" s="6">
        <f t="shared" si="4"/>
        <v>1.0295911731253728</v>
      </c>
      <c r="N7" s="27">
        <f t="shared" si="10"/>
        <v>51.60162454873646</v>
      </c>
      <c r="O7" s="12">
        <f>'[1]PREÇO MÉDIO'!$X$14</f>
        <v>56.170858113848773</v>
      </c>
      <c r="P7" s="6">
        <f t="shared" si="5"/>
        <v>1.0885482502745003</v>
      </c>
      <c r="Q7" s="27">
        <f>B7</f>
        <v>51.60162454873646</v>
      </c>
      <c r="R7" s="12">
        <f>'[1]PREÇO MÉDIO'!$AC$14</f>
        <v>55.338971739130436</v>
      </c>
      <c r="S7" s="6">
        <f t="shared" si="6"/>
        <v>1.0724269288627559</v>
      </c>
    </row>
    <row r="8" spans="1:28" x14ac:dyDescent="0.25">
      <c r="A8" s="28" t="s">
        <v>37</v>
      </c>
      <c r="B8" s="58">
        <f>[1]BOLETOS!$C$14</f>
        <v>129.12570781426953</v>
      </c>
      <c r="C8" s="10">
        <f>[1]BOLETOS!$D$14</f>
        <v>61</v>
      </c>
      <c r="D8" s="6">
        <f t="shared" si="1"/>
        <v>0.47240786542475749</v>
      </c>
      <c r="E8" s="58">
        <f>[1]BOLETOS!$H$14</f>
        <v>458.18799546998866</v>
      </c>
      <c r="F8" s="59">
        <f>[1]BOLETOS!$I$14</f>
        <v>472</v>
      </c>
      <c r="G8" s="6">
        <f t="shared" si="2"/>
        <v>1.0301448415640913</v>
      </c>
      <c r="H8" s="58">
        <f>[1]BOLETOS!$M$14</f>
        <v>471.72536806342015</v>
      </c>
      <c r="I8" s="59">
        <f>[1]BOLETOS!$N$14</f>
        <v>367</v>
      </c>
      <c r="J8" s="6">
        <f t="shared" si="3"/>
        <v>0.77799504721709056</v>
      </c>
      <c r="K8" s="58">
        <f>[1]BOLETOS!$R$14</f>
        <v>398.83182332955829</v>
      </c>
      <c r="L8" s="59">
        <f>[1]BOLETOS!$S$14</f>
        <v>340</v>
      </c>
      <c r="M8" s="6">
        <f t="shared" si="4"/>
        <v>0.85248964629147705</v>
      </c>
      <c r="N8" s="58">
        <f>[1]BOLETOS!$W$14</f>
        <v>381.12910532276334</v>
      </c>
      <c r="O8" s="59">
        <f>[1]BOLETOS!$X$14</f>
        <v>423</v>
      </c>
      <c r="P8" s="6">
        <f t="shared" si="5"/>
        <v>1.1098601342497258</v>
      </c>
      <c r="Q8" s="51">
        <f>IF(O8 = 0, IF(L8 = 0, IF(I8 = 0, IF(F8 = 0, B8, SUM(B8, E8)), SUM(B8, E8, H8)), SUM(B8, E8, H8, K8)), SUM(B8, E8, H8, K8, N8))</f>
        <v>1839</v>
      </c>
      <c r="R8" s="59">
        <f>C8+F8+I8+L8+O8</f>
        <v>1663</v>
      </c>
      <c r="S8" s="6">
        <f t="shared" si="6"/>
        <v>0.90429581294181616</v>
      </c>
      <c r="W8" s="62">
        <f>SUM(N8+K8+H8+E8+B8)</f>
        <v>1839</v>
      </c>
    </row>
    <row r="9" spans="1:28" x14ac:dyDescent="0.25">
      <c r="A9" s="18" t="s">
        <v>38</v>
      </c>
      <c r="B9" s="19">
        <v>0.34</v>
      </c>
      <c r="C9" s="5">
        <f>'[1]TAXA DE CONVERSÃO'!$D$14</f>
        <v>0.379</v>
      </c>
      <c r="D9" s="6">
        <f>C9/B9</f>
        <v>1.1147058823529412</v>
      </c>
      <c r="E9" s="19">
        <f>Tabela12425[[#This Row],[1° SEMANA ]]</f>
        <v>0.34</v>
      </c>
      <c r="F9" s="5">
        <f>'[1]TAXA DE CONVERSÃO'!$I$14</f>
        <v>0.41699999999999998</v>
      </c>
      <c r="G9" s="6">
        <f>F9/E9</f>
        <v>1.226470588235294</v>
      </c>
      <c r="H9" s="19">
        <f>Tabela12425[[#This Row],[2° SEMANA ]]</f>
        <v>0.34</v>
      </c>
      <c r="I9" s="5">
        <f>'[1]TAXA DE CONVERSÃO'!$N$14</f>
        <v>0.40600000000000003</v>
      </c>
      <c r="J9" s="6">
        <f>I9/H9</f>
        <v>1.1941176470588235</v>
      </c>
      <c r="K9" s="19">
        <f>Tabela12425[[#This Row],[3° SEMANA ]]</f>
        <v>0.34</v>
      </c>
      <c r="L9" s="5">
        <f>'[1]TAXA DE CONVERSÃO'!$S$14</f>
        <v>0.4</v>
      </c>
      <c r="M9" s="6">
        <f>L9/K9</f>
        <v>1.1764705882352942</v>
      </c>
      <c r="N9" s="19">
        <f>Tabela12425[[#This Row],[4° SEMANA ]]</f>
        <v>0.34</v>
      </c>
      <c r="O9" s="65">
        <f>'[1]TAXA DE CONVERSÃO'!$X$14</f>
        <v>0.40600000000000003</v>
      </c>
      <c r="P9" s="6">
        <f>O9/N9</f>
        <v>1.1941176470588235</v>
      </c>
      <c r="Q9" s="19">
        <f>Tabela1[[#This Row],[5° SEMANA ]]</f>
        <v>0.34</v>
      </c>
      <c r="R9" s="65">
        <f t="shared" ref="R9:R16" si="11">O9</f>
        <v>0.40600000000000003</v>
      </c>
      <c r="S9" s="6">
        <f t="shared" si="6"/>
        <v>1.1941176470588235</v>
      </c>
    </row>
    <row r="10" spans="1:28" x14ac:dyDescent="0.25">
      <c r="A10" s="28" t="s">
        <v>39</v>
      </c>
      <c r="B10" s="19">
        <v>0.88</v>
      </c>
      <c r="C10" s="5">
        <f>'[1]PENETRAÇÃO D BOLETOS FIDELIDADE'!$D$15</f>
        <v>0.96230000000000004</v>
      </c>
      <c r="D10" s="6">
        <f t="shared" si="1"/>
        <v>1.0935227272727273</v>
      </c>
      <c r="E10" s="19">
        <f t="shared" si="7"/>
        <v>0.88</v>
      </c>
      <c r="F10" s="5">
        <f>'[1]PENETRAÇÃO D BOLETOS FIDELIDADE'!$I$15</f>
        <v>0.91910000000000003</v>
      </c>
      <c r="G10" s="6">
        <f t="shared" si="2"/>
        <v>1.0444318181818182</v>
      </c>
      <c r="H10" s="19">
        <f t="shared" si="8"/>
        <v>0.88</v>
      </c>
      <c r="I10" s="5">
        <f>'[1]PENETRAÇÃO D BOLETOS FIDELIDADE'!$N$15</f>
        <v>0.93720000000000003</v>
      </c>
      <c r="J10" s="6">
        <f t="shared" si="3"/>
        <v>1.0649999999999999</v>
      </c>
      <c r="K10" s="19">
        <f t="shared" si="9"/>
        <v>0.88</v>
      </c>
      <c r="L10" s="5">
        <f>'[1]PENETRAÇÃO D BOLETOS FIDELIDADE'!$S$15</f>
        <v>0.94679999999999997</v>
      </c>
      <c r="M10" s="6">
        <f t="shared" si="4"/>
        <v>1.0759090909090909</v>
      </c>
      <c r="N10" s="19">
        <f t="shared" si="10"/>
        <v>0.88</v>
      </c>
      <c r="O10" s="5">
        <f>'[1]PENETRAÇÃO D BOLETOS FIDELIDADE'!$X$15</f>
        <v>0.93359999999999999</v>
      </c>
      <c r="P10" s="6">
        <f t="shared" si="5"/>
        <v>1.0609090909090908</v>
      </c>
      <c r="Q10" s="19">
        <f t="shared" ref="Q10:Q16" si="12">B10</f>
        <v>0.88</v>
      </c>
      <c r="R10" s="5">
        <f t="shared" si="11"/>
        <v>0.93359999999999999</v>
      </c>
      <c r="S10" s="6">
        <f t="shared" si="6"/>
        <v>1.0609090909090908</v>
      </c>
      <c r="U10" s="48"/>
    </row>
    <row r="11" spans="1:28" x14ac:dyDescent="0.25">
      <c r="A11" s="18" t="s">
        <v>40</v>
      </c>
      <c r="B11" s="21">
        <v>0.45</v>
      </c>
      <c r="C11" s="5">
        <f>'[1]RESGATE FIDELIDADE'!$D$14</f>
        <v>0.7843</v>
      </c>
      <c r="D11" s="6">
        <f t="shared" si="1"/>
        <v>1.7428888888888889</v>
      </c>
      <c r="E11" s="21">
        <f t="shared" si="7"/>
        <v>0.45</v>
      </c>
      <c r="F11" s="5">
        <f>'[1]RESGATE FIDELIDADE'!$I$14</f>
        <v>0.66520000000000001</v>
      </c>
      <c r="G11" s="6">
        <f t="shared" si="2"/>
        <v>1.4782222222222223</v>
      </c>
      <c r="H11" s="21">
        <f t="shared" si="8"/>
        <v>0.45</v>
      </c>
      <c r="I11" s="5">
        <f>'[1]RESGATE FIDELIDADE'!$N$14</f>
        <v>0.65610000000000002</v>
      </c>
      <c r="J11" s="6">
        <f t="shared" si="3"/>
        <v>1.458</v>
      </c>
      <c r="K11" s="21">
        <f t="shared" si="9"/>
        <v>0.45</v>
      </c>
      <c r="L11" s="5">
        <f>'[1]RESGATE FIDELIDADE'!$S$14</f>
        <v>0.65280000000000005</v>
      </c>
      <c r="M11" s="6">
        <f t="shared" si="4"/>
        <v>1.4506666666666668</v>
      </c>
      <c r="N11" s="21">
        <f t="shared" si="10"/>
        <v>0.45</v>
      </c>
      <c r="O11" s="5">
        <f>'[1]RESGATE FIDELIDADE'!$X$14</f>
        <v>0.63560000000000005</v>
      </c>
      <c r="P11" s="6">
        <f t="shared" si="5"/>
        <v>1.4124444444444446</v>
      </c>
      <c r="Q11" s="21">
        <f t="shared" si="12"/>
        <v>0.45</v>
      </c>
      <c r="R11" s="5">
        <f t="shared" si="11"/>
        <v>0.63560000000000005</v>
      </c>
      <c r="S11" s="6">
        <f t="shared" si="6"/>
        <v>1.4124444444444446</v>
      </c>
    </row>
    <row r="12" spans="1:28" x14ac:dyDescent="0.25">
      <c r="A12" s="18" t="s">
        <v>41</v>
      </c>
      <c r="B12" s="21">
        <v>1.7000000000000001E-2</v>
      </c>
      <c r="C12" s="5">
        <f>'[1]GESTÃO CATEGORIAS LOJAS (SKIN)'!$D$14</f>
        <v>2.35E-2</v>
      </c>
      <c r="D12" s="6">
        <f t="shared" si="1"/>
        <v>1.3823529411764706</v>
      </c>
      <c r="E12" s="21">
        <f t="shared" si="7"/>
        <v>1.7000000000000001E-2</v>
      </c>
      <c r="F12" s="5">
        <f>'[1]GESTÃO CATEGORIAS LOJAS (SKIN)'!$I$14</f>
        <v>2.1299999999999999E-2</v>
      </c>
      <c r="G12" s="6">
        <f t="shared" si="2"/>
        <v>1.2529411764705882</v>
      </c>
      <c r="H12" s="21">
        <f t="shared" si="8"/>
        <v>1.7000000000000001E-2</v>
      </c>
      <c r="I12" s="5">
        <f>'[1]GESTÃO CATEGORIAS LOJAS (SKIN)'!$N$14</f>
        <v>2.4E-2</v>
      </c>
      <c r="J12" s="6">
        <f t="shared" si="3"/>
        <v>1.4117647058823528</v>
      </c>
      <c r="K12" s="21">
        <f t="shared" si="9"/>
        <v>1.7000000000000001E-2</v>
      </c>
      <c r="L12" s="5">
        <f>'[1]GESTÃO CATEGORIAS LOJAS (SKIN)'!$S$14</f>
        <v>2.2800000000000001E-2</v>
      </c>
      <c r="M12" s="6">
        <f t="shared" si="4"/>
        <v>1.3411764705882352</v>
      </c>
      <c r="N12" s="21">
        <f t="shared" si="10"/>
        <v>1.7000000000000001E-2</v>
      </c>
      <c r="O12" s="5">
        <f>'[1]GESTÃO CATEGORIAS LOJAS (SKIN)'!$X$14</f>
        <v>2.29E-2</v>
      </c>
      <c r="P12" s="6">
        <f t="shared" si="5"/>
        <v>1.3470588235294116</v>
      </c>
      <c r="Q12" s="21">
        <f t="shared" si="12"/>
        <v>1.7000000000000001E-2</v>
      </c>
      <c r="R12" s="5">
        <f t="shared" si="11"/>
        <v>2.29E-2</v>
      </c>
      <c r="S12" s="6">
        <f t="shared" si="6"/>
        <v>1.3470588235294116</v>
      </c>
    </row>
    <row r="13" spans="1:28" s="101" customFormat="1" x14ac:dyDescent="0.25">
      <c r="A13" s="18" t="s">
        <v>42</v>
      </c>
      <c r="B13" s="21">
        <v>0.27</v>
      </c>
      <c r="C13" s="5">
        <f>'[1]PENETRAÇÃO BP'!$D$14</f>
        <v>0.26669999999999999</v>
      </c>
      <c r="D13" s="6">
        <f t="shared" si="1"/>
        <v>0.98777777777777764</v>
      </c>
      <c r="E13" s="21">
        <f t="shared" si="7"/>
        <v>0.27</v>
      </c>
      <c r="F13" s="5">
        <f>'[1]PENETRAÇÃO BP'!$I$14</f>
        <v>0.24779999999999999</v>
      </c>
      <c r="G13" s="6">
        <f t="shared" si="2"/>
        <v>0.91777777777777769</v>
      </c>
      <c r="H13" s="21">
        <f t="shared" si="8"/>
        <v>0.27</v>
      </c>
      <c r="I13" s="5">
        <f>'[1]PENETRAÇÃO BP'!$N$14</f>
        <v>0.2792</v>
      </c>
      <c r="J13" s="6">
        <f t="shared" si="3"/>
        <v>1.0340740740740739</v>
      </c>
      <c r="K13" s="21">
        <f t="shared" si="9"/>
        <v>0.27</v>
      </c>
      <c r="L13" s="5">
        <f>'[1]PENETRAÇÃO BP'!$S$14</f>
        <v>0.2888</v>
      </c>
      <c r="M13" s="6">
        <f t="shared" si="4"/>
        <v>1.0696296296296295</v>
      </c>
      <c r="N13" s="21">
        <f t="shared" si="10"/>
        <v>0.27</v>
      </c>
      <c r="O13" s="5">
        <f>'[1]PENETRAÇÃO BP'!$X$14</f>
        <v>0.2722</v>
      </c>
      <c r="P13" s="6">
        <f t="shared" si="5"/>
        <v>1.008148148148148</v>
      </c>
      <c r="Q13" s="21">
        <f t="shared" si="12"/>
        <v>0.27</v>
      </c>
      <c r="R13" s="5">
        <f t="shared" si="11"/>
        <v>0.2722</v>
      </c>
      <c r="S13" s="6">
        <f t="shared" si="6"/>
        <v>1.008148148148148</v>
      </c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5">
      <c r="A14" s="28" t="s">
        <v>43</v>
      </c>
      <c r="B14" s="21">
        <v>0.22</v>
      </c>
      <c r="C14" s="5">
        <f>'[1]PENETRAÇÃO BT'!$D$14</f>
        <v>0.25</v>
      </c>
      <c r="D14" s="6">
        <f t="shared" si="1"/>
        <v>1.1363636363636365</v>
      </c>
      <c r="E14" s="21">
        <f t="shared" si="7"/>
        <v>0.22</v>
      </c>
      <c r="F14" s="5">
        <f>'[1]PENETRAÇÃO BT'!$I$14</f>
        <v>0.29530000000000001</v>
      </c>
      <c r="G14" s="6">
        <f t="shared" si="2"/>
        <v>1.3422727272727273</v>
      </c>
      <c r="H14" s="21">
        <f t="shared" si="8"/>
        <v>0.22</v>
      </c>
      <c r="I14" s="5">
        <f>'[1]PENETRAÇÃO BT'!$N$14</f>
        <v>0.32269999999999999</v>
      </c>
      <c r="J14" s="6">
        <f t="shared" si="3"/>
        <v>1.4668181818181818</v>
      </c>
      <c r="K14" s="21">
        <f t="shared" si="9"/>
        <v>0.22</v>
      </c>
      <c r="L14" s="5">
        <f>'[1]PENETRAÇÃO BT'!$S$14</f>
        <v>0.32669999999999999</v>
      </c>
      <c r="M14" s="6">
        <f t="shared" si="4"/>
        <v>1.4849999999999999</v>
      </c>
      <c r="N14" s="21">
        <f t="shared" si="10"/>
        <v>0.22</v>
      </c>
      <c r="O14" s="5">
        <f>'[1]PENETRAÇÃO BT'!$X$14</f>
        <v>0.30739999999999995</v>
      </c>
      <c r="P14" s="6">
        <f t="shared" si="5"/>
        <v>1.397272727272727</v>
      </c>
      <c r="Q14" s="21">
        <f t="shared" si="12"/>
        <v>0.22</v>
      </c>
      <c r="R14" s="5">
        <f t="shared" si="11"/>
        <v>0.30739999999999995</v>
      </c>
      <c r="S14" s="6">
        <f t="shared" si="6"/>
        <v>1.397272727272727</v>
      </c>
    </row>
    <row r="15" spans="1:28" x14ac:dyDescent="0.25">
      <c r="A15" s="28" t="s">
        <v>44</v>
      </c>
      <c r="B15" s="22">
        <v>0.6</v>
      </c>
      <c r="C15" s="5">
        <f>'[1]ID DO CLIENTE'!$D$14</f>
        <v>0.8548</v>
      </c>
      <c r="D15" s="6">
        <f t="shared" si="1"/>
        <v>1.4246666666666667</v>
      </c>
      <c r="E15" s="22">
        <f t="shared" si="7"/>
        <v>0.6</v>
      </c>
      <c r="F15" s="5">
        <f>'[1]ID DO CLIENTE'!$I$14</f>
        <v>0.84409999999999996</v>
      </c>
      <c r="G15" s="6">
        <f t="shared" si="2"/>
        <v>1.4068333333333334</v>
      </c>
      <c r="H15" s="22">
        <f t="shared" si="8"/>
        <v>0.6</v>
      </c>
      <c r="I15" s="5">
        <f>'[1]ID DO CLIENTE'!$N$14</f>
        <v>0.85780000000000001</v>
      </c>
      <c r="J15" s="6">
        <f t="shared" si="3"/>
        <v>1.4296666666666666</v>
      </c>
      <c r="K15" s="22">
        <f t="shared" si="9"/>
        <v>0.6</v>
      </c>
      <c r="L15" s="5">
        <f>'[1]ID DO CLIENTE'!$S$14</f>
        <v>0.8599</v>
      </c>
      <c r="M15" s="6">
        <f t="shared" si="4"/>
        <v>1.4331666666666667</v>
      </c>
      <c r="N15" s="22">
        <f t="shared" si="10"/>
        <v>0.6</v>
      </c>
      <c r="O15" s="5">
        <f>'[1]ID DO CLIENTE'!$X$14</f>
        <v>0.85120000000000007</v>
      </c>
      <c r="P15" s="6">
        <f t="shared" si="5"/>
        <v>1.4186666666666667</v>
      </c>
      <c r="Q15" s="22">
        <f t="shared" si="12"/>
        <v>0.6</v>
      </c>
      <c r="R15" s="5">
        <f t="shared" si="11"/>
        <v>0.85120000000000007</v>
      </c>
      <c r="S15" s="6">
        <f t="shared" si="6"/>
        <v>1.4186666666666667</v>
      </c>
    </row>
    <row r="16" spans="1:28" x14ac:dyDescent="0.25">
      <c r="A16" s="28" t="s">
        <v>45</v>
      </c>
      <c r="B16" s="22">
        <v>0.98</v>
      </c>
      <c r="C16" s="55">
        <f>'[1]SEPARAÇÃO NO PRAZO C&amp;R'!$D$14</f>
        <v>1</v>
      </c>
      <c r="D16" s="6">
        <f t="shared" si="1"/>
        <v>1.0204081632653061</v>
      </c>
      <c r="E16" s="22">
        <f t="shared" si="7"/>
        <v>0.98</v>
      </c>
      <c r="F16" s="55">
        <f>'[1]SEPARAÇÃO NO PRAZO C&amp;R'!$I$14</f>
        <v>1</v>
      </c>
      <c r="G16" s="6">
        <f t="shared" si="2"/>
        <v>1.0204081632653061</v>
      </c>
      <c r="H16" s="22">
        <f t="shared" si="8"/>
        <v>0.98</v>
      </c>
      <c r="I16" s="55">
        <f>'[1]SEPARAÇÃO NO PRAZO C&amp;R'!$N$14</f>
        <v>1</v>
      </c>
      <c r="J16" s="6">
        <f t="shared" si="3"/>
        <v>1.0204081632653061</v>
      </c>
      <c r="K16" s="22">
        <f t="shared" si="9"/>
        <v>0.98</v>
      </c>
      <c r="L16" s="55">
        <f>'[1]SEPARAÇÃO NO PRAZO C&amp;R'!$S$14</f>
        <v>1</v>
      </c>
      <c r="M16" s="6">
        <f t="shared" si="4"/>
        <v>1.0204081632653061</v>
      </c>
      <c r="N16" s="22">
        <f t="shared" si="10"/>
        <v>0.98</v>
      </c>
      <c r="O16" s="55">
        <f>'[1]SEPARAÇÃO NO PRAZO C&amp;R'!$X$14</f>
        <v>1</v>
      </c>
      <c r="P16" s="6">
        <f t="shared" si="5"/>
        <v>1.0204081632653061</v>
      </c>
      <c r="Q16" s="22">
        <f t="shared" si="12"/>
        <v>0.98</v>
      </c>
      <c r="R16" s="5">
        <f t="shared" si="11"/>
        <v>1</v>
      </c>
      <c r="S16" s="6">
        <f t="shared" si="6"/>
        <v>1.0204081632653061</v>
      </c>
    </row>
    <row r="17" spans="1:19" x14ac:dyDescent="0.25">
      <c r="A17" s="28" t="s">
        <v>46</v>
      </c>
      <c r="B17" s="23">
        <v>3</v>
      </c>
      <c r="C17" s="59">
        <f>'[1]Q° DE SERVIÇOS'!$D$12</f>
        <v>0</v>
      </c>
      <c r="D17" s="6">
        <f t="shared" si="1"/>
        <v>0</v>
      </c>
      <c r="E17" s="23">
        <f t="shared" si="7"/>
        <v>3</v>
      </c>
      <c r="F17" s="59">
        <f>'[1]Q° DE SERVIÇOS'!$I$12</f>
        <v>7</v>
      </c>
      <c r="G17" s="6">
        <f t="shared" si="2"/>
        <v>2.3333333333333335</v>
      </c>
      <c r="H17" s="23">
        <f t="shared" si="8"/>
        <v>3</v>
      </c>
      <c r="I17" s="10">
        <f>'[1]Q° DE SERVIÇOS'!$N$12</f>
        <v>5</v>
      </c>
      <c r="J17" s="6">
        <f t="shared" si="3"/>
        <v>1.6666666666666667</v>
      </c>
      <c r="K17" s="23">
        <v>2</v>
      </c>
      <c r="L17" s="10">
        <f>'[1]Q° DE SERVIÇOS'!$S$12</f>
        <v>10</v>
      </c>
      <c r="M17" s="6">
        <f t="shared" si="4"/>
        <v>5</v>
      </c>
      <c r="N17" s="23">
        <v>2</v>
      </c>
      <c r="O17" s="11">
        <f>'[1]Q° DE SERVIÇOS'!$X$12</f>
        <v>8</v>
      </c>
      <c r="P17" s="6">
        <f t="shared" si="5"/>
        <v>4</v>
      </c>
      <c r="Q17" s="78">
        <f>IF(O17 = 0, IF(L17 = 0, IF(I17 = 0, IF(F17 = 0, B17, SUM(B17, E17)), SUM(B17, E17, H17)), SUM(B17, E17, H17, K17)), SUM(B17, E17, H17, K17, N17))</f>
        <v>13</v>
      </c>
      <c r="R17" s="10">
        <f>C17+F17+I17+L17+O17</f>
        <v>30</v>
      </c>
      <c r="S17" s="6">
        <f t="shared" si="6"/>
        <v>2.3076923076923075</v>
      </c>
    </row>
    <row r="18" spans="1:19" x14ac:dyDescent="0.25">
      <c r="A18" s="28" t="s">
        <v>47</v>
      </c>
      <c r="B18" s="19">
        <v>0.25</v>
      </c>
      <c r="C18" s="9">
        <f>'[1]CONVERSÃO AÇÃO DE FLUXO'!$D$14</f>
        <v>0</v>
      </c>
      <c r="D18" s="6">
        <f t="shared" si="1"/>
        <v>0</v>
      </c>
      <c r="E18" s="19">
        <f t="shared" si="7"/>
        <v>0.25</v>
      </c>
      <c r="F18" s="9">
        <f>'[1]CONVERSÃO AÇÃO DE FLUXO'!$I$14</f>
        <v>0</v>
      </c>
      <c r="G18" s="6">
        <f t="shared" si="2"/>
        <v>0</v>
      </c>
      <c r="H18" s="19">
        <f t="shared" si="8"/>
        <v>0.25</v>
      </c>
      <c r="I18" s="9">
        <f>'[1]CONVERSÃO AÇÃO DE FLUXO'!$N$14</f>
        <v>0</v>
      </c>
      <c r="J18" s="6">
        <f t="shared" si="3"/>
        <v>0</v>
      </c>
      <c r="K18" s="19">
        <f t="shared" si="9"/>
        <v>0.25</v>
      </c>
      <c r="L18" s="9">
        <f>'[1]CONVERSÃO AÇÃO DE FLUXO'!$S$14</f>
        <v>0</v>
      </c>
      <c r="M18" s="6">
        <f t="shared" si="4"/>
        <v>0</v>
      </c>
      <c r="N18" s="19">
        <f t="shared" si="10"/>
        <v>0.25</v>
      </c>
      <c r="O18" s="9">
        <f>'[1]CONVERSÃO AÇÃO DE FLUXO'!$X$14</f>
        <v>0</v>
      </c>
      <c r="P18" s="6">
        <f t="shared" si="5"/>
        <v>0</v>
      </c>
      <c r="Q18" s="19">
        <f t="shared" ref="Q18:Q21" si="13">B18</f>
        <v>0.25</v>
      </c>
      <c r="R18" s="5">
        <f>O18</f>
        <v>0</v>
      </c>
      <c r="S18" s="6">
        <f t="shared" si="6"/>
        <v>0</v>
      </c>
    </row>
    <row r="19" spans="1:19" x14ac:dyDescent="0.25">
      <c r="A19" s="28" t="s">
        <v>48</v>
      </c>
      <c r="B19" s="19">
        <v>0.86099999999999999</v>
      </c>
      <c r="C19" s="5">
        <f>[1]NPS!$D$14</f>
        <v>0.66669999999999996</v>
      </c>
      <c r="D19" s="6">
        <f t="shared" si="1"/>
        <v>0.77433217189314751</v>
      </c>
      <c r="E19" s="19">
        <f t="shared" si="7"/>
        <v>0.86099999999999999</v>
      </c>
      <c r="F19" s="5">
        <f>[1]NPS!$I$14</f>
        <v>0.92859999999999998</v>
      </c>
      <c r="G19" s="6">
        <f t="shared" si="2"/>
        <v>1.078513356562137</v>
      </c>
      <c r="H19" s="19">
        <f t="shared" si="8"/>
        <v>0.86099999999999999</v>
      </c>
      <c r="I19" s="5">
        <f>[1]NPS!$N$14</f>
        <v>0.95</v>
      </c>
      <c r="J19" s="6">
        <f t="shared" si="3"/>
        <v>1.1033681765389083</v>
      </c>
      <c r="K19" s="19">
        <f t="shared" si="9"/>
        <v>0.86099999999999999</v>
      </c>
      <c r="L19" s="5">
        <f>[1]NPS!$S$14</f>
        <v>0.94920000000000004</v>
      </c>
      <c r="M19" s="6">
        <f t="shared" si="4"/>
        <v>1.102439024390244</v>
      </c>
      <c r="N19" s="19">
        <f t="shared" si="10"/>
        <v>0.86099999999999999</v>
      </c>
      <c r="O19" s="5">
        <f>[1]NPS!$X$14</f>
        <v>0.95520000000000005</v>
      </c>
      <c r="P19" s="6">
        <f t="shared" si="5"/>
        <v>1.1094076655052265</v>
      </c>
      <c r="Q19" s="19">
        <f t="shared" si="13"/>
        <v>0.86099999999999999</v>
      </c>
      <c r="R19" s="5">
        <f>O19</f>
        <v>0.95520000000000005</v>
      </c>
      <c r="S19" s="6">
        <f t="shared" si="6"/>
        <v>1.1094076655052265</v>
      </c>
    </row>
    <row r="20" spans="1:19" ht="15.75" customHeight="1" x14ac:dyDescent="0.25">
      <c r="A20" s="28" t="s">
        <v>49</v>
      </c>
      <c r="B20" s="22">
        <v>0.95</v>
      </c>
      <c r="C20" s="5">
        <f>'[1]LOJA DIGITAL ATIVO (BEXD)'!$D$14</f>
        <v>1</v>
      </c>
      <c r="D20" s="6">
        <f t="shared" si="1"/>
        <v>1.0526315789473684</v>
      </c>
      <c r="E20" s="22">
        <f t="shared" si="7"/>
        <v>0.95</v>
      </c>
      <c r="F20" s="5">
        <f>'[1]LOJA DIGITAL ATIVO (BEXD)'!$I$14</f>
        <v>1</v>
      </c>
      <c r="G20" s="6">
        <f t="shared" si="2"/>
        <v>1.0526315789473684</v>
      </c>
      <c r="H20" s="22">
        <f t="shared" si="8"/>
        <v>0.95</v>
      </c>
      <c r="I20" s="5">
        <f>'[1]LOJA DIGITAL ATIVO (BEXD)'!$N$14</f>
        <v>0.91379999999999995</v>
      </c>
      <c r="J20" s="6">
        <f t="shared" si="3"/>
        <v>0.96189473684210525</v>
      </c>
      <c r="K20" s="22">
        <f t="shared" si="9"/>
        <v>0.95</v>
      </c>
      <c r="L20" s="5">
        <f>'[1]LOJA DIGITAL ATIVO (BEXD)'!$S$14</f>
        <v>0.85750000000000004</v>
      </c>
      <c r="M20" s="6">
        <f t="shared" si="4"/>
        <v>0.90263157894736845</v>
      </c>
      <c r="N20" s="22">
        <f t="shared" si="10"/>
        <v>0.95</v>
      </c>
      <c r="O20" s="5">
        <f>'[1]LOJA DIGITAL ATIVO (BEXD)'!$X$14</f>
        <v>0.89890000000000003</v>
      </c>
      <c r="P20" s="6">
        <f t="shared" si="5"/>
        <v>0.9462105263157895</v>
      </c>
      <c r="Q20" s="22">
        <f t="shared" si="13"/>
        <v>0.95</v>
      </c>
      <c r="R20" s="5">
        <f>O20</f>
        <v>0.89890000000000003</v>
      </c>
      <c r="S20" s="6">
        <f t="shared" si="6"/>
        <v>0.9462105263157895</v>
      </c>
    </row>
    <row r="21" spans="1:19" x14ac:dyDescent="0.25">
      <c r="A21" s="28" t="s">
        <v>50</v>
      </c>
      <c r="B21" s="22">
        <v>0.85</v>
      </c>
      <c r="C21" s="70">
        <f>'[1]TREINAMENTOS FV (UB)'!$D$14</f>
        <v>0.96794871794871795</v>
      </c>
      <c r="D21" s="6">
        <f t="shared" si="1"/>
        <v>1.1387631975867269</v>
      </c>
      <c r="E21" s="22">
        <f t="shared" si="7"/>
        <v>0.85</v>
      </c>
      <c r="F21" s="70">
        <f>'[1]TREINAMENTOS FV (UB)'!$I$14</f>
        <v>0.97115384615384615</v>
      </c>
      <c r="G21" s="6">
        <f t="shared" si="2"/>
        <v>1.1425339366515836</v>
      </c>
      <c r="H21" s="22">
        <f t="shared" si="8"/>
        <v>0.85</v>
      </c>
      <c r="I21" s="70">
        <f>'[1]TREINAMENTOS FV (UB)'!$N$14</f>
        <v>0.97435897435897434</v>
      </c>
      <c r="J21" s="6">
        <f t="shared" si="3"/>
        <v>1.1463046757164403</v>
      </c>
      <c r="K21" s="22">
        <f t="shared" si="9"/>
        <v>0.85</v>
      </c>
      <c r="L21" s="70">
        <f>'[1]TREINAMENTOS FV (UB)'!$S$14</f>
        <v>0.97435897435897434</v>
      </c>
      <c r="M21" s="6">
        <f t="shared" si="4"/>
        <v>1.1463046757164403</v>
      </c>
      <c r="N21" s="22">
        <f t="shared" si="10"/>
        <v>0.85</v>
      </c>
      <c r="O21" s="70">
        <f>'[1]TREINAMENTOS FV (UB)'!$X$14</f>
        <v>0.97435897435897434</v>
      </c>
      <c r="P21" s="6">
        <f t="shared" si="5"/>
        <v>1.1463046757164403</v>
      </c>
      <c r="Q21" s="22">
        <f t="shared" si="13"/>
        <v>0.85</v>
      </c>
      <c r="R21" s="5">
        <f>O21</f>
        <v>0.97435897435897434</v>
      </c>
      <c r="S21" s="6">
        <f t="shared" si="6"/>
        <v>1.1463046757164403</v>
      </c>
    </row>
    <row r="22" spans="1:19" hidden="1" x14ac:dyDescent="0.25">
      <c r="A22" s="28" t="s">
        <v>51</v>
      </c>
      <c r="B22" s="24"/>
      <c r="C22" s="10"/>
      <c r="D22" s="6" t="e">
        <f t="shared" si="1"/>
        <v>#DIV/0!</v>
      </c>
      <c r="E22" s="24"/>
      <c r="F22" s="10"/>
      <c r="G22" s="6" t="e">
        <f t="shared" si="2"/>
        <v>#DIV/0!</v>
      </c>
      <c r="H22" s="24"/>
      <c r="I22" s="10"/>
      <c r="J22" s="6" t="e">
        <f t="shared" si="3"/>
        <v>#DIV/0!</v>
      </c>
      <c r="K22" s="24"/>
      <c r="L22" s="10"/>
      <c r="M22" s="6" t="e">
        <f t="shared" si="4"/>
        <v>#DIV/0!</v>
      </c>
      <c r="N22" s="24"/>
      <c r="O22" s="10"/>
      <c r="P22" s="6" t="e">
        <f t="shared" si="5"/>
        <v>#DIV/0!</v>
      </c>
      <c r="Q22" s="23">
        <v>4</v>
      </c>
      <c r="R22" s="10"/>
      <c r="S22" s="6" t="e">
        <f>Q22/R22</f>
        <v>#DIV/0!</v>
      </c>
    </row>
    <row r="23" spans="1:19" ht="14.25" hidden="1" customHeight="1" x14ac:dyDescent="0.25">
      <c r="A23" s="28" t="s">
        <v>52</v>
      </c>
      <c r="B23" s="22"/>
      <c r="C23" s="10"/>
      <c r="D23" s="6" t="e">
        <f t="shared" si="1"/>
        <v>#DIV/0!</v>
      </c>
      <c r="E23" s="22"/>
      <c r="F23" s="10"/>
      <c r="G23" s="6" t="e">
        <f t="shared" si="2"/>
        <v>#DIV/0!</v>
      </c>
      <c r="H23" s="22"/>
      <c r="I23" s="10"/>
      <c r="J23" s="6" t="e">
        <f>H23/I23</f>
        <v>#DIV/0!</v>
      </c>
      <c r="K23" s="22">
        <v>1.7000000000000001E-2</v>
      </c>
      <c r="L23" s="65"/>
      <c r="M23" s="6" t="e">
        <f>K23/L23</f>
        <v>#DIV/0!</v>
      </c>
      <c r="N23" s="22"/>
      <c r="O23" s="10"/>
      <c r="P23" s="6" t="e">
        <f>N23/O23</f>
        <v>#DIV/0!</v>
      </c>
      <c r="Q23" s="22">
        <v>1.7000000000000001E-2</v>
      </c>
      <c r="R23" s="5">
        <f>Tabela12425[[#This Row],[4° SEMANA]]</f>
        <v>0</v>
      </c>
      <c r="S23" s="6" t="e">
        <f>Q23/R23</f>
        <v>#DIV/0!</v>
      </c>
    </row>
    <row r="24" spans="1:19" hidden="1" x14ac:dyDescent="0.25">
      <c r="A24" s="28" t="s">
        <v>53</v>
      </c>
      <c r="B24" s="22"/>
      <c r="C24" s="25"/>
      <c r="D24" s="6" t="e">
        <f t="shared" si="1"/>
        <v>#DIV/0!</v>
      </c>
      <c r="E24" s="22"/>
      <c r="F24" s="25"/>
      <c r="G24" s="6" t="e">
        <f t="shared" si="2"/>
        <v>#DIV/0!</v>
      </c>
      <c r="H24" s="22"/>
      <c r="I24" s="25"/>
      <c r="J24" s="6" t="e">
        <f t="shared" si="3"/>
        <v>#DIV/0!</v>
      </c>
      <c r="K24" s="22"/>
      <c r="L24" s="25"/>
      <c r="M24" s="6" t="e">
        <f t="shared" si="4"/>
        <v>#DIV/0!</v>
      </c>
      <c r="N24" s="22"/>
      <c r="O24" s="25"/>
      <c r="P24" s="6" t="e">
        <f t="shared" si="5"/>
        <v>#DIV/0!</v>
      </c>
      <c r="Q24" s="22"/>
      <c r="R24" s="12"/>
      <c r="S24" s="6" t="e">
        <f t="shared" si="6"/>
        <v>#DIV/0!</v>
      </c>
    </row>
    <row r="25" spans="1:19" x14ac:dyDescent="0.25">
      <c r="C25" s="48"/>
    </row>
  </sheetData>
  <mergeCells count="7">
    <mergeCell ref="Y1:AB1"/>
    <mergeCell ref="Q1:S1"/>
    <mergeCell ref="B1:D1"/>
    <mergeCell ref="E1:G1"/>
    <mergeCell ref="H1:J1"/>
    <mergeCell ref="K1:M1"/>
    <mergeCell ref="N1:P1"/>
  </mergeCells>
  <phoneticPr fontId="9" type="noConversion"/>
  <conditionalFormatting sqref="D4:D24">
    <cfRule type="cellIs" dxfId="215" priority="34" operator="between">
      <formula>1</formula>
      <formula>1.1999</formula>
    </cfRule>
    <cfRule type="containsText" dxfId="214" priority="32" operator="containsText" text="-">
      <formula>NOT(ISERROR(SEARCH("-",D4)))</formula>
    </cfRule>
    <cfRule type="containsErrors" dxfId="213" priority="31">
      <formula>ISERROR(D4)</formula>
    </cfRule>
    <cfRule type="cellIs" dxfId="212" priority="33" operator="greaterThan">
      <formula>1.2</formula>
    </cfRule>
    <cfRule type="cellIs" dxfId="211" priority="36" operator="between">
      <formula>0</formula>
      <formula>0.7999</formula>
    </cfRule>
    <cfRule type="cellIs" dxfId="210" priority="35" operator="between">
      <formula>0.8</formula>
      <formula>0.9999</formula>
    </cfRule>
  </conditionalFormatting>
  <conditionalFormatting sqref="G4:G24">
    <cfRule type="cellIs" dxfId="209" priority="30" operator="between">
      <formula>0</formula>
      <formula>0.7999</formula>
    </cfRule>
    <cfRule type="cellIs" dxfId="208" priority="28" operator="between">
      <formula>1</formula>
      <formula>1.1999</formula>
    </cfRule>
    <cfRule type="cellIs" dxfId="207" priority="29" operator="between">
      <formula>0.8</formula>
      <formula>0.9999</formula>
    </cfRule>
    <cfRule type="containsErrors" dxfId="206" priority="25">
      <formula>ISERROR(G4)</formula>
    </cfRule>
    <cfRule type="containsText" dxfId="205" priority="26" operator="containsText" text="-">
      <formula>NOT(ISERROR(SEARCH("-",G4)))</formula>
    </cfRule>
    <cfRule type="cellIs" dxfId="204" priority="27" operator="greaterThan">
      <formula>1.2</formula>
    </cfRule>
  </conditionalFormatting>
  <conditionalFormatting sqref="J4:J24">
    <cfRule type="cellIs" dxfId="203" priority="57" operator="greaterThan">
      <formula>1.2</formula>
    </cfRule>
    <cfRule type="cellIs" dxfId="202" priority="58" operator="between">
      <formula>1</formula>
      <formula>1.1999</formula>
    </cfRule>
    <cfRule type="cellIs" dxfId="201" priority="59" operator="between">
      <formula>0.8</formula>
      <formula>0.9999</formula>
    </cfRule>
    <cfRule type="cellIs" dxfId="200" priority="60" operator="between">
      <formula>0</formula>
      <formula>0.7999</formula>
    </cfRule>
    <cfRule type="containsErrors" dxfId="199" priority="55">
      <formula>ISERROR(J4)</formula>
    </cfRule>
    <cfRule type="containsText" dxfId="198" priority="56" operator="containsText" text="-">
      <formula>NOT(ISERROR(SEARCH("-",J4)))</formula>
    </cfRule>
  </conditionalFormatting>
  <conditionalFormatting sqref="M4:M24">
    <cfRule type="containsErrors" dxfId="197" priority="49">
      <formula>ISERROR(M4)</formula>
    </cfRule>
    <cfRule type="cellIs" dxfId="196" priority="51" operator="greaterThan">
      <formula>1.2</formula>
    </cfRule>
    <cfRule type="cellIs" dxfId="195" priority="52" operator="between">
      <formula>1</formula>
      <formula>1.1999</formula>
    </cfRule>
    <cfRule type="cellIs" dxfId="194" priority="53" operator="between">
      <formula>0.8</formula>
      <formula>0.9999</formula>
    </cfRule>
    <cfRule type="cellIs" dxfId="193" priority="54" operator="between">
      <formula>0</formula>
      <formula>0.7999</formula>
    </cfRule>
    <cfRule type="containsText" dxfId="192" priority="50" operator="containsText" text="-">
      <formula>NOT(ISERROR(SEARCH("-",M4)))</formula>
    </cfRule>
  </conditionalFormatting>
  <conditionalFormatting sqref="P4:P24">
    <cfRule type="containsErrors" dxfId="191" priority="19">
      <formula>ISERROR(P4)</formula>
    </cfRule>
    <cfRule type="cellIs" dxfId="190" priority="24" operator="between">
      <formula>0</formula>
      <formula>0.7999</formula>
    </cfRule>
    <cfRule type="cellIs" dxfId="189" priority="22" operator="between">
      <formula>1</formula>
      <formula>1.1999</formula>
    </cfRule>
    <cfRule type="cellIs" dxfId="188" priority="21" operator="greaterThan">
      <formula>1.2</formula>
    </cfRule>
    <cfRule type="containsText" dxfId="187" priority="20" operator="containsText" text="-">
      <formula>NOT(ISERROR(SEARCH("-",P4)))</formula>
    </cfRule>
    <cfRule type="cellIs" dxfId="186" priority="23" operator="between">
      <formula>0.8</formula>
      <formula>0.9999</formula>
    </cfRule>
  </conditionalFormatting>
  <conditionalFormatting sqref="S4:S24">
    <cfRule type="cellIs" dxfId="185" priority="17" operator="between">
      <formula>0.8</formula>
      <formula>0.9999</formula>
    </cfRule>
    <cfRule type="containsErrors" dxfId="184" priority="13">
      <formula>ISERROR(S4)</formula>
    </cfRule>
    <cfRule type="containsText" dxfId="183" priority="14" operator="containsText" text="-">
      <formula>NOT(ISERROR(SEARCH("-",S4)))</formula>
    </cfRule>
    <cfRule type="cellIs" dxfId="182" priority="15" operator="greaterThan">
      <formula>1.2</formula>
    </cfRule>
    <cfRule type="cellIs" dxfId="181" priority="16" operator="between">
      <formula>1</formula>
      <formula>1.1999</formula>
    </cfRule>
    <cfRule type="cellIs" dxfId="180" priority="18" operator="between">
      <formula>0</formula>
      <formula>0.7999</formula>
    </cfRule>
  </conditionalFormatting>
  <conditionalFormatting sqref="AB3:AB6">
    <cfRule type="containsText" dxfId="179" priority="2" operator="containsText" text="-">
      <formula>NOT(ISERROR(SEARCH("-",AB3)))</formula>
    </cfRule>
    <cfRule type="cellIs" dxfId="178" priority="3" operator="greaterThan">
      <formula>1.2</formula>
    </cfRule>
    <cfRule type="cellIs" dxfId="177" priority="4" operator="between">
      <formula>1</formula>
      <formula>1.1999</formula>
    </cfRule>
    <cfRule type="cellIs" dxfId="176" priority="5" operator="between">
      <formula>0.8</formula>
      <formula>0.9999</formula>
    </cfRule>
    <cfRule type="cellIs" dxfId="175" priority="6" operator="between">
      <formula>0</formula>
      <formula>0.7999</formula>
    </cfRule>
    <cfRule type="containsErrors" dxfId="174" priority="1">
      <formula>ISERROR(AB3)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5DE39-D164-439A-8CEB-085801546B33}">
  <sheetPr>
    <tabColor rgb="FF00B0F0"/>
  </sheetPr>
  <dimension ref="A1:AB25"/>
  <sheetViews>
    <sheetView zoomScale="85" zoomScaleNormal="85" workbookViewId="0">
      <selection activeCell="B1" sqref="B1:S1"/>
    </sheetView>
  </sheetViews>
  <sheetFormatPr defaultColWidth="9.140625" defaultRowHeight="15" x14ac:dyDescent="0.25"/>
  <cols>
    <col min="1" max="1" width="30.28515625" style="79" customWidth="1"/>
    <col min="2" max="2" width="14.7109375" style="2" customWidth="1"/>
    <col min="3" max="3" width="16.140625" style="2" customWidth="1"/>
    <col min="4" max="4" width="14.42578125" style="2" customWidth="1"/>
    <col min="5" max="5" width="16.140625" style="2" customWidth="1"/>
    <col min="6" max="6" width="15.7109375" style="2" customWidth="1"/>
    <col min="7" max="7" width="9.140625" style="2" customWidth="1"/>
    <col min="8" max="8" width="14.85546875" style="2" customWidth="1"/>
    <col min="9" max="9" width="15.42578125" style="2" customWidth="1"/>
    <col min="10" max="10" width="13.5703125" style="2" customWidth="1"/>
    <col min="11" max="11" width="15.42578125" style="2" customWidth="1"/>
    <col min="12" max="12" width="15.85546875" style="2" customWidth="1"/>
    <col min="13" max="13" width="12.28515625" style="2" customWidth="1"/>
    <col min="14" max="14" width="15.140625" style="2" customWidth="1"/>
    <col min="15" max="15" width="16.140625" style="2" bestFit="1" customWidth="1"/>
    <col min="16" max="16" width="12.42578125" style="2" customWidth="1"/>
    <col min="17" max="17" width="16.140625" style="2" customWidth="1"/>
    <col min="18" max="18" width="16.85546875" style="2" customWidth="1"/>
    <col min="19" max="19" width="11.5703125" style="2" customWidth="1"/>
    <col min="20" max="20" width="15.42578125" style="2" customWidth="1"/>
    <col min="21" max="21" width="14.28515625" style="2" customWidth="1"/>
    <col min="22" max="22" width="3.7109375" style="2" customWidth="1"/>
    <col min="23" max="23" width="14.42578125" style="2" customWidth="1"/>
    <col min="24" max="24" width="9.140625" style="2" customWidth="1"/>
    <col min="25" max="25" width="18.140625" style="2" bestFit="1" customWidth="1"/>
    <col min="26" max="26" width="18.28515625" style="2" customWidth="1"/>
    <col min="27" max="27" width="15" style="2" customWidth="1"/>
    <col min="28" max="28" width="16.85546875" style="2" customWidth="1"/>
    <col min="29" max="16384" width="9.140625" style="2"/>
  </cols>
  <sheetData>
    <row r="1" spans="1:28" ht="27" customHeight="1" x14ac:dyDescent="0.25">
      <c r="B1" s="113" t="s">
        <v>114</v>
      </c>
      <c r="C1" s="113"/>
      <c r="D1" s="113"/>
      <c r="E1" s="113" t="s">
        <v>115</v>
      </c>
      <c r="F1" s="113"/>
      <c r="G1" s="113"/>
      <c r="H1" s="113" t="s">
        <v>116</v>
      </c>
      <c r="I1" s="113"/>
      <c r="J1" s="113"/>
      <c r="K1" s="113" t="s">
        <v>117</v>
      </c>
      <c r="L1" s="113"/>
      <c r="M1" s="113"/>
      <c r="N1" s="113" t="s">
        <v>118</v>
      </c>
      <c r="O1" s="113"/>
      <c r="P1" s="113"/>
      <c r="Q1" s="110" t="s">
        <v>1</v>
      </c>
      <c r="R1" s="111"/>
      <c r="S1" s="112"/>
      <c r="Y1" s="109" t="s">
        <v>2</v>
      </c>
      <c r="Z1" s="109"/>
      <c r="AA1" s="109"/>
      <c r="AB1" s="109"/>
    </row>
    <row r="2" spans="1:28" ht="45" x14ac:dyDescent="0.25">
      <c r="A2" s="15" t="s">
        <v>72</v>
      </c>
      <c r="B2" s="16" t="s">
        <v>4</v>
      </c>
      <c r="C2" s="16" t="s">
        <v>5</v>
      </c>
      <c r="D2" s="16" t="s">
        <v>6</v>
      </c>
      <c r="E2" s="16" t="s">
        <v>7</v>
      </c>
      <c r="F2" s="16" t="s">
        <v>8</v>
      </c>
      <c r="G2" s="16" t="s">
        <v>9</v>
      </c>
      <c r="H2" s="16" t="s">
        <v>10</v>
      </c>
      <c r="I2" s="16" t="s">
        <v>11</v>
      </c>
      <c r="J2" s="16" t="s">
        <v>12</v>
      </c>
      <c r="K2" s="16" t="s">
        <v>13</v>
      </c>
      <c r="L2" s="16" t="s">
        <v>14</v>
      </c>
      <c r="M2" s="16" t="s">
        <v>15</v>
      </c>
      <c r="N2" s="16" t="s">
        <v>16</v>
      </c>
      <c r="O2" s="16" t="s">
        <v>17</v>
      </c>
      <c r="P2" s="16" t="s">
        <v>18</v>
      </c>
      <c r="Q2" s="16" t="s">
        <v>19</v>
      </c>
      <c r="R2" s="16" t="s">
        <v>20</v>
      </c>
      <c r="S2" s="16" t="s">
        <v>21</v>
      </c>
      <c r="Y2" s="17" t="s">
        <v>22</v>
      </c>
      <c r="Z2" s="17" t="s">
        <v>23</v>
      </c>
      <c r="AA2" s="92" t="s">
        <v>24</v>
      </c>
      <c r="AB2" s="92" t="s">
        <v>25</v>
      </c>
    </row>
    <row r="3" spans="1:28" x14ac:dyDescent="0.25">
      <c r="A3" s="73"/>
      <c r="B3" s="17" t="s">
        <v>26</v>
      </c>
      <c r="C3" s="10" t="s">
        <v>27</v>
      </c>
      <c r="D3" s="17" t="s">
        <v>28</v>
      </c>
      <c r="E3" s="17" t="s">
        <v>26</v>
      </c>
      <c r="F3" s="10" t="s">
        <v>27</v>
      </c>
      <c r="G3" s="17" t="s">
        <v>28</v>
      </c>
      <c r="H3" s="17" t="s">
        <v>26</v>
      </c>
      <c r="I3" s="10" t="s">
        <v>27</v>
      </c>
      <c r="J3" s="17" t="s">
        <v>28</v>
      </c>
      <c r="K3" s="17" t="s">
        <v>26</v>
      </c>
      <c r="L3" s="10" t="s">
        <v>27</v>
      </c>
      <c r="M3" s="17" t="s">
        <v>28</v>
      </c>
      <c r="N3" s="17" t="s">
        <v>26</v>
      </c>
      <c r="O3" s="10" t="s">
        <v>27</v>
      </c>
      <c r="P3" s="17" t="s">
        <v>28</v>
      </c>
      <c r="Q3" s="17" t="s">
        <v>26</v>
      </c>
      <c r="R3" s="10" t="s">
        <v>27</v>
      </c>
      <c r="S3" s="26" t="s">
        <v>28</v>
      </c>
      <c r="Y3" s="14" t="s">
        <v>29</v>
      </c>
      <c r="Z3" s="56">
        <f>[1]RECEITA!$AF$17</f>
        <v>808551.59000000008</v>
      </c>
      <c r="AA3" s="90">
        <f>R4</f>
        <v>894673.33</v>
      </c>
      <c r="AB3" s="6">
        <f>AA3/Z3</f>
        <v>1.1065135992126363</v>
      </c>
    </row>
    <row r="4" spans="1:28" ht="30" x14ac:dyDescent="0.25">
      <c r="A4" s="28" t="s">
        <v>30</v>
      </c>
      <c r="B4" s="20">
        <f>[1]RECEITA!$B$17</f>
        <v>69324.972782204452</v>
      </c>
      <c r="C4" s="12">
        <f>[1]RECEITA!$D$17</f>
        <v>27961.58</v>
      </c>
      <c r="D4" s="6">
        <f>C4/B4</f>
        <v>0.40334065601216751</v>
      </c>
      <c r="E4" s="20">
        <f>[1]RECEITA!$H$17</f>
        <v>168054.66080029085</v>
      </c>
      <c r="F4" s="12">
        <f>[1]RECEITA!$J$17</f>
        <v>220403.62</v>
      </c>
      <c r="G4" s="6">
        <f>F4/E4</f>
        <v>1.3114995975143973</v>
      </c>
      <c r="H4" s="20">
        <f>[1]RECEITA!$N$17</f>
        <v>182346.18534177018</v>
      </c>
      <c r="I4" s="12">
        <f>[1]RECEITA!$P$17</f>
        <v>201690.12</v>
      </c>
      <c r="J4" s="6">
        <f t="shared" ref="J4:J22" si="0">L4/H4</f>
        <v>1.0075469341771559</v>
      </c>
      <c r="K4" s="20">
        <f>[1]RECEITA!$T$17</f>
        <v>204377.45626551344</v>
      </c>
      <c r="L4" s="12">
        <f>[1]RECEITA!$V$17</f>
        <v>183722.34</v>
      </c>
      <c r="M4" s="6">
        <f>L4/K4</f>
        <v>0.89893642555820974</v>
      </c>
      <c r="N4" s="20">
        <f>[1]RECEITA!$Z$17</f>
        <v>184448.3148102212</v>
      </c>
      <c r="O4" s="12">
        <f>[1]RECEITA!$AB$17</f>
        <v>260895.67</v>
      </c>
      <c r="P4" s="6">
        <f>O4/N4</f>
        <v>1.4144649153798747</v>
      </c>
      <c r="Q4" s="20">
        <f>IF(O4 = 0, IF(L4 = 0, IF(I4 = 0, IF(F4 = 0, B4, SUM(B4, E4)), SUM(B4, E4, H4)), SUM(B4, E4, H4, K4)), SUM(B4, E4, H4, K4, N4))</f>
        <v>808551.59000000008</v>
      </c>
      <c r="R4" s="52">
        <f>O4+L4+I4+F4+C4</f>
        <v>894673.33</v>
      </c>
      <c r="S4" s="6">
        <f>R4/Q4</f>
        <v>1.1065135992126363</v>
      </c>
      <c r="W4" s="61">
        <f>N4+K4+H4+E4+B4</f>
        <v>808551.59000000008</v>
      </c>
      <c r="X4" s="47"/>
      <c r="Y4" s="14" t="s">
        <v>31</v>
      </c>
      <c r="Z4" s="56">
        <f>Z3/Z5</f>
        <v>166.84927569129181</v>
      </c>
      <c r="AA4" s="90">
        <f>R5</f>
        <v>167.98222493428463</v>
      </c>
      <c r="AB4" s="6">
        <f t="shared" ref="AB4:AB6" si="1">AA4/Z4</f>
        <v>1.0067902556861501</v>
      </c>
    </row>
    <row r="5" spans="1:28" x14ac:dyDescent="0.25">
      <c r="A5" s="28" t="s">
        <v>32</v>
      </c>
      <c r="B5" s="20">
        <f>B4/B8</f>
        <v>172.24724417168846</v>
      </c>
      <c r="C5" s="7">
        <f>'[1]VENDA MÉDIA'!$D$17</f>
        <v>157.08752808988766</v>
      </c>
      <c r="D5" s="6">
        <f t="shared" ref="D5:D24" si="2">C5/B5</f>
        <v>0.91198862916674428</v>
      </c>
      <c r="E5" s="20">
        <f>E4/E8</f>
        <v>147.72444956260057</v>
      </c>
      <c r="F5" s="7">
        <f>'[1]VENDA MÉDIA'!$I$17</f>
        <v>168.50429663608563</v>
      </c>
      <c r="G5" s="6">
        <f t="shared" ref="G5:G24" si="3">F5/E5</f>
        <v>1.1406662684140128</v>
      </c>
      <c r="H5" s="20">
        <f>H4/H8</f>
        <v>166.66137359369549</v>
      </c>
      <c r="I5" s="7">
        <f>'[1]VENDA MÉDIA'!$N$17</f>
        <v>165.59123152709358</v>
      </c>
      <c r="J5" s="6">
        <f t="shared" si="0"/>
        <v>1.014138959999008</v>
      </c>
      <c r="K5" s="20">
        <f>K4/K8</f>
        <v>178.51519291329475</v>
      </c>
      <c r="L5" s="7">
        <f>'[1]VENDA MÉDIA'!$S$17</f>
        <v>169.01779208831647</v>
      </c>
      <c r="M5" s="6">
        <f t="shared" ref="M5:M24" si="4">L5/K5</f>
        <v>0.94679780096032951</v>
      </c>
      <c r="N5" s="20">
        <f>N4/N8</f>
        <v>172.87960973260053</v>
      </c>
      <c r="O5" s="7">
        <f>'[1]VENDA MÉDIA'!$X$17</f>
        <v>169.96460586319219</v>
      </c>
      <c r="P5" s="6">
        <f t="shared" ref="P5:P24" si="5">O5/N5</f>
        <v>0.98313853279795638</v>
      </c>
      <c r="Q5" s="60">
        <f>Q4/Q8</f>
        <v>166.84927569129181</v>
      </c>
      <c r="R5" s="8">
        <f>R4/R8</f>
        <v>167.98222493428463</v>
      </c>
      <c r="S5" s="6">
        <f t="shared" ref="S5:S24" si="6">R5/Q5</f>
        <v>1.0067902556861501</v>
      </c>
      <c r="Y5" s="14" t="s">
        <v>33</v>
      </c>
      <c r="Z5" s="14">
        <f>[1]BOLETOS!$AB$16</f>
        <v>4846</v>
      </c>
      <c r="AA5" s="91">
        <f>R8</f>
        <v>5326</v>
      </c>
      <c r="AB5" s="6">
        <f t="shared" si="1"/>
        <v>1.099050763516302</v>
      </c>
    </row>
    <row r="6" spans="1:28" x14ac:dyDescent="0.25">
      <c r="A6" s="28" t="s">
        <v>34</v>
      </c>
      <c r="B6" s="41">
        <f>'[1]ITENS POR BOLETO'!$A$16</f>
        <v>2.76</v>
      </c>
      <c r="C6" s="10">
        <f>'[1]ITENS POR BOLETO'!$D$16</f>
        <v>2.7471910112359552</v>
      </c>
      <c r="D6" s="6">
        <f t="shared" si="2"/>
        <v>0.99535906204201285</v>
      </c>
      <c r="E6" s="41">
        <f t="shared" ref="E6:E21" si="7">B6</f>
        <v>2.76</v>
      </c>
      <c r="F6" s="11">
        <f>'[1]ITENS POR BOLETO'!$I$16</f>
        <v>2.8310397553516822</v>
      </c>
      <c r="G6" s="6">
        <f t="shared" si="3"/>
        <v>1.0257390417940879</v>
      </c>
      <c r="H6" s="41">
        <f t="shared" ref="H6:H21" si="8">E6</f>
        <v>2.76</v>
      </c>
      <c r="I6" s="11">
        <f>'[1]ITENS POR BOLETO'!$N$16</f>
        <v>2.7192118226600983</v>
      </c>
      <c r="J6" s="6">
        <f t="shared" si="0"/>
        <v>0.98062744156900394</v>
      </c>
      <c r="K6" s="41">
        <f t="shared" ref="K6:K21" si="9">H6</f>
        <v>2.76</v>
      </c>
      <c r="L6" s="11">
        <f>'[1]ITENS POR BOLETO'!$S$16</f>
        <v>2.7065317387304506</v>
      </c>
      <c r="M6" s="6">
        <f t="shared" si="4"/>
        <v>0.98062744156900394</v>
      </c>
      <c r="N6" s="41">
        <f t="shared" ref="N6:N21" si="10">K6</f>
        <v>2.76</v>
      </c>
      <c r="O6" s="11">
        <f>'[1]ITENS POR BOLETO'!$X$16</f>
        <v>2.6592833876221498</v>
      </c>
      <c r="P6" s="6">
        <f t="shared" si="5"/>
        <v>0.96350847377614135</v>
      </c>
      <c r="Q6" s="41">
        <f>B6</f>
        <v>2.76</v>
      </c>
      <c r="R6" s="11">
        <f>'[1]ITENS POR BOLETO'!$AC$16</f>
        <v>2.7277506571535861</v>
      </c>
      <c r="S6" s="6">
        <f t="shared" si="6"/>
        <v>0.98831545549042987</v>
      </c>
      <c r="Y6" s="93" t="s">
        <v>35</v>
      </c>
      <c r="Z6" s="93">
        <v>13</v>
      </c>
      <c r="AA6" s="93">
        <f>R17</f>
        <v>72</v>
      </c>
      <c r="AB6" s="99">
        <f t="shared" si="1"/>
        <v>5.5384615384615383</v>
      </c>
    </row>
    <row r="7" spans="1:28" x14ac:dyDescent="0.25">
      <c r="A7" s="29" t="s">
        <v>36</v>
      </c>
      <c r="B7" s="27">
        <f>'[1]PREÇO MÉDIO'!$A$16</f>
        <v>60.458695652173915</v>
      </c>
      <c r="C7" s="12">
        <f>'[1]PREÇO MÉDIO'!$D$16</f>
        <v>57.181145194274031</v>
      </c>
      <c r="D7" s="6">
        <f t="shared" si="2"/>
        <v>0.94578860125008279</v>
      </c>
      <c r="E7" s="27">
        <f t="shared" si="7"/>
        <v>60.458695652173915</v>
      </c>
      <c r="F7" s="12">
        <f>'[1]PREÇO MÉDIO'!$I$16</f>
        <v>59.520286254388331</v>
      </c>
      <c r="G7" s="6">
        <f t="shared" si="3"/>
        <v>0.98447850408178894</v>
      </c>
      <c r="H7" s="27">
        <f t="shared" si="8"/>
        <v>60.458695652173915</v>
      </c>
      <c r="I7" s="12">
        <f>'[1]PREÇO MÉDIO'!$N$16</f>
        <v>60.896775362318841</v>
      </c>
      <c r="J7" s="6">
        <f t="shared" si="0"/>
        <v>1.0329053489416189</v>
      </c>
      <c r="K7" s="27">
        <f t="shared" si="9"/>
        <v>60.458695652173915</v>
      </c>
      <c r="L7" s="12">
        <f>'[1]PREÇO MÉDIO'!$S$16</f>
        <v>62.44811012916383</v>
      </c>
      <c r="M7" s="6">
        <f t="shared" si="4"/>
        <v>1.0329053489416189</v>
      </c>
      <c r="N7" s="27">
        <f t="shared" si="10"/>
        <v>60.458695652173915</v>
      </c>
      <c r="O7" s="12">
        <f>'[1]PREÇO MÉDIO'!$X$16</f>
        <v>63.913686918177369</v>
      </c>
      <c r="P7" s="6">
        <f t="shared" si="5"/>
        <v>1.0571463083801944</v>
      </c>
      <c r="Q7" s="27">
        <f>B7</f>
        <v>60.458695652173915</v>
      </c>
      <c r="R7" s="12">
        <f>'[1]PREÇO MÉDIO'!$AC$16</f>
        <v>61.582690666299555</v>
      </c>
      <c r="S7" s="6">
        <f t="shared" si="6"/>
        <v>1.0185911224514685</v>
      </c>
    </row>
    <row r="8" spans="1:28" x14ac:dyDescent="0.25">
      <c r="A8" s="28" t="s">
        <v>37</v>
      </c>
      <c r="B8" s="58">
        <f>[1]BOLETOS!$C$16</f>
        <v>402.4736251402918</v>
      </c>
      <c r="C8" s="10">
        <f>[1]BOLETOS!$D$16</f>
        <v>178</v>
      </c>
      <c r="D8" s="6">
        <f t="shared" si="2"/>
        <v>0.44226500540986718</v>
      </c>
      <c r="E8" s="58">
        <f>[1]BOLETOS!$H$16</f>
        <v>1137.6225215114105</v>
      </c>
      <c r="F8" s="10">
        <f>[1]BOLETOS!$I$16</f>
        <v>1308</v>
      </c>
      <c r="G8" s="6">
        <f t="shared" si="3"/>
        <v>1.1497662671641127</v>
      </c>
      <c r="H8" s="58">
        <f>[1]BOLETOS!$M$16</f>
        <v>1094.1118593340816</v>
      </c>
      <c r="I8" s="10">
        <f>[1]BOLETOS!$N$16</f>
        <v>1218</v>
      </c>
      <c r="J8" s="6">
        <f t="shared" si="0"/>
        <v>0.99349987912715787</v>
      </c>
      <c r="K8" s="58">
        <f>[1]BOLETOS!$R$16</f>
        <v>1144.8742985409654</v>
      </c>
      <c r="L8" s="71">
        <f>[1]BOLETOS!$S$16</f>
        <v>1087</v>
      </c>
      <c r="M8" s="6">
        <f t="shared" si="4"/>
        <v>0.94944921148573191</v>
      </c>
      <c r="N8" s="58">
        <f>[1]BOLETOS!$W$16</f>
        <v>1066.9176954732511</v>
      </c>
      <c r="O8" s="71">
        <f>[1]BOLETOS!$X$16</f>
        <v>1535</v>
      </c>
      <c r="P8" s="6">
        <f t="shared" si="5"/>
        <v>1.438723911425166</v>
      </c>
      <c r="Q8" s="51">
        <f>IF(O8 = 0, IF(L8 = 0, IF(I8 = 0, IF(F8 = 0, B8, SUM(B8, E8)), SUM(B8, E8, H8)), SUM(B8, E8, H8, K8)), SUM(B8, E8, H8, K8, N8))</f>
        <v>4846</v>
      </c>
      <c r="R8" s="59">
        <f>C8+F8+I8+L8+O8</f>
        <v>5326</v>
      </c>
      <c r="S8" s="6">
        <f t="shared" si="6"/>
        <v>1.099050763516302</v>
      </c>
      <c r="W8" s="62">
        <f>N8+K8+H8+E8+B8</f>
        <v>4846</v>
      </c>
    </row>
    <row r="9" spans="1:28" x14ac:dyDescent="0.25">
      <c r="A9" s="18" t="s">
        <v>38</v>
      </c>
      <c r="B9" s="19">
        <v>0.34</v>
      </c>
      <c r="C9" s="5">
        <f>'[1]TAXA DE CONVERSÃO'!$D$16</f>
        <v>0.28100000000000003</v>
      </c>
      <c r="D9" s="6">
        <f>C9/B9</f>
        <v>0.82647058823529418</v>
      </c>
      <c r="E9" s="19">
        <f>Tabela1242526[[#This Row],[1° SEMANA ]]</f>
        <v>0.34</v>
      </c>
      <c r="F9" s="5">
        <f>'[1]TAXA DE CONVERSÃO'!$I$16</f>
        <v>0.29699999999999999</v>
      </c>
      <c r="G9" s="6">
        <f>F9/E9</f>
        <v>0.87352941176470578</v>
      </c>
      <c r="H9" s="19">
        <f>Tabela1242526[[#This Row],[2° SEMANA ]]</f>
        <v>0.34</v>
      </c>
      <c r="I9" s="5">
        <f>'[1]TAXA DE CONVERSÃO'!$N$16</f>
        <v>0.29399999999999998</v>
      </c>
      <c r="J9" s="6">
        <f t="shared" si="0"/>
        <v>0.83529411764705874</v>
      </c>
      <c r="K9" s="19">
        <f>Tabela1242526[[#This Row],[3° SEMANA ]]</f>
        <v>0.34</v>
      </c>
      <c r="L9" s="5">
        <f>'[1]TAXA DE CONVERSÃO'!$S$16</f>
        <v>0.28399999999999997</v>
      </c>
      <c r="M9" s="6">
        <f>L9/K9</f>
        <v>0.83529411764705874</v>
      </c>
      <c r="N9" s="19">
        <v>0.34</v>
      </c>
      <c r="O9" s="65">
        <f>'[1]TAXA DE CONVERSÃO'!$X$16</f>
        <v>0.29099999999999998</v>
      </c>
      <c r="P9" s="6">
        <f>O9/N9</f>
        <v>0.85588235294117632</v>
      </c>
      <c r="Q9" s="19">
        <f>Tabela1[[#This Row],[5° SEMANA ]]</f>
        <v>0.34</v>
      </c>
      <c r="R9" s="105">
        <f t="shared" ref="R9:R16" si="11">O9</f>
        <v>0.29099999999999998</v>
      </c>
      <c r="S9" s="6">
        <f t="shared" si="6"/>
        <v>0.85588235294117632</v>
      </c>
    </row>
    <row r="10" spans="1:28" ht="30" x14ac:dyDescent="0.25">
      <c r="A10" s="28" t="s">
        <v>39</v>
      </c>
      <c r="B10" s="19">
        <v>0.88</v>
      </c>
      <c r="C10" s="5">
        <f>'[1]PENETRAÇÃO D BOLETOS FIDELIDADE'!$D$17</f>
        <v>0.90400000000000003</v>
      </c>
      <c r="D10" s="6">
        <f t="shared" si="2"/>
        <v>1.0272727272727273</v>
      </c>
      <c r="E10" s="19">
        <f t="shared" si="7"/>
        <v>0.88</v>
      </c>
      <c r="F10" s="5">
        <f>'[1]PENETRAÇÃO D BOLETOS FIDELIDADE'!$I$17</f>
        <v>0.90890000000000004</v>
      </c>
      <c r="G10" s="6">
        <f t="shared" si="3"/>
        <v>1.0328409090909092</v>
      </c>
      <c r="H10" s="19">
        <f t="shared" si="8"/>
        <v>0.88</v>
      </c>
      <c r="I10" s="5">
        <f>'[1]PENETRAÇÃO D BOLETOS FIDELIDADE'!$N$17</f>
        <v>0.93059999999999998</v>
      </c>
      <c r="J10" s="6">
        <f t="shared" si="0"/>
        <v>1.0552272727272727</v>
      </c>
      <c r="K10" s="19">
        <f t="shared" si="9"/>
        <v>0.88</v>
      </c>
      <c r="L10" s="5">
        <f>'[1]PENETRAÇÃO D BOLETOS FIDELIDADE'!$S$17</f>
        <v>0.92859999999999998</v>
      </c>
      <c r="M10" s="6">
        <f t="shared" si="4"/>
        <v>1.0552272727272727</v>
      </c>
      <c r="N10" s="19">
        <f>K10</f>
        <v>0.88</v>
      </c>
      <c r="O10" s="5">
        <f>'[1]PENETRAÇÃO D BOLETOS FIDELIDADE'!$X$17</f>
        <v>0.91869999999999996</v>
      </c>
      <c r="P10" s="6">
        <f t="shared" si="5"/>
        <v>1.0439772727272727</v>
      </c>
      <c r="Q10" s="19">
        <f t="shared" ref="Q10:Q16" si="12">B10</f>
        <v>0.88</v>
      </c>
      <c r="R10" s="5">
        <f t="shared" si="11"/>
        <v>0.91869999999999996</v>
      </c>
      <c r="S10" s="6">
        <f t="shared" si="6"/>
        <v>1.0439772727272727</v>
      </c>
      <c r="U10" s="48"/>
      <c r="W10" s="48"/>
    </row>
    <row r="11" spans="1:28" x14ac:dyDescent="0.25">
      <c r="A11" s="18" t="s">
        <v>40</v>
      </c>
      <c r="B11" s="21">
        <v>0.45</v>
      </c>
      <c r="C11" s="5">
        <f>'[1]RESGATE FIDELIDADE'!$D$16</f>
        <v>0.89439999999999997</v>
      </c>
      <c r="D11" s="6">
        <f t="shared" si="2"/>
        <v>1.9875555555555555</v>
      </c>
      <c r="E11" s="21">
        <f t="shared" si="7"/>
        <v>0.45</v>
      </c>
      <c r="F11" s="5">
        <f>'[1]RESGATE FIDELIDADE'!$I$16</f>
        <v>0.58169999999999999</v>
      </c>
      <c r="G11" s="6">
        <f t="shared" si="3"/>
        <v>1.2926666666666666</v>
      </c>
      <c r="H11" s="21">
        <f t="shared" si="8"/>
        <v>0.45</v>
      </c>
      <c r="I11" s="5">
        <f>'[1]RESGATE FIDELIDADE'!$N$16</f>
        <v>0.55859999999999999</v>
      </c>
      <c r="J11" s="6">
        <f t="shared" si="0"/>
        <v>1.2042222222222223</v>
      </c>
      <c r="K11" s="21">
        <f t="shared" si="9"/>
        <v>0.45</v>
      </c>
      <c r="L11" s="5">
        <f>'[1]RESGATE FIDELIDADE'!$S$16</f>
        <v>0.54190000000000005</v>
      </c>
      <c r="M11" s="6">
        <f t="shared" si="4"/>
        <v>1.2042222222222223</v>
      </c>
      <c r="N11" s="21">
        <f t="shared" si="10"/>
        <v>0.45</v>
      </c>
      <c r="O11" s="5">
        <f>'[1]RESGATE FIDELIDADE'!$X$16</f>
        <v>0.52810000000000001</v>
      </c>
      <c r="P11" s="6">
        <f t="shared" si="5"/>
        <v>1.1735555555555555</v>
      </c>
      <c r="Q11" s="21">
        <f t="shared" si="12"/>
        <v>0.45</v>
      </c>
      <c r="R11" s="5">
        <f t="shared" si="11"/>
        <v>0.52810000000000001</v>
      </c>
      <c r="S11" s="6">
        <f t="shared" si="6"/>
        <v>1.1735555555555555</v>
      </c>
    </row>
    <row r="12" spans="1:28" x14ac:dyDescent="0.25">
      <c r="A12" s="18" t="s">
        <v>41</v>
      </c>
      <c r="B12" s="21">
        <v>1.7000000000000001E-2</v>
      </c>
      <c r="C12" s="5">
        <f>'[1]GESTÃO CATEGORIAS LOJAS (SKIN)'!$D$16</f>
        <v>1.4E-2</v>
      </c>
      <c r="D12" s="6">
        <f t="shared" si="2"/>
        <v>0.82352941176470584</v>
      </c>
      <c r="E12" s="21">
        <f t="shared" si="7"/>
        <v>1.7000000000000001E-2</v>
      </c>
      <c r="F12" s="5">
        <f>'[1]GESTÃO CATEGORIAS LOJAS (SKIN)'!$I$16</f>
        <v>0.03</v>
      </c>
      <c r="G12" s="6">
        <f t="shared" si="3"/>
        <v>1.7647058823529409</v>
      </c>
      <c r="H12" s="21">
        <f t="shared" si="8"/>
        <v>1.7000000000000001E-2</v>
      </c>
      <c r="I12" s="5">
        <f>'[1]GESTÃO CATEGORIAS LOJAS (SKIN)'!$N$16</f>
        <v>3.0599999999999999E-2</v>
      </c>
      <c r="J12" s="6">
        <f t="shared" si="0"/>
        <v>1.5941176470588234</v>
      </c>
      <c r="K12" s="21">
        <f t="shared" si="9"/>
        <v>1.7000000000000001E-2</v>
      </c>
      <c r="L12" s="5">
        <f>'[1]GESTÃO CATEGORIAS LOJAS (SKIN)'!$S$16</f>
        <v>2.7099999999999999E-2</v>
      </c>
      <c r="M12" s="6">
        <f t="shared" si="4"/>
        <v>1.5941176470588234</v>
      </c>
      <c r="N12" s="21">
        <f t="shared" si="10"/>
        <v>1.7000000000000001E-2</v>
      </c>
      <c r="O12" s="5">
        <f>'[1]GESTÃO CATEGORIAS LOJAS (SKIN)'!$X$16</f>
        <v>2.75E-2</v>
      </c>
      <c r="P12" s="6">
        <f t="shared" si="5"/>
        <v>1.6176470588235292</v>
      </c>
      <c r="Q12" s="21">
        <f t="shared" si="12"/>
        <v>1.7000000000000001E-2</v>
      </c>
      <c r="R12" s="5">
        <f t="shared" si="11"/>
        <v>2.75E-2</v>
      </c>
      <c r="S12" s="6">
        <f t="shared" si="6"/>
        <v>1.6176470588235292</v>
      </c>
    </row>
    <row r="13" spans="1:28" x14ac:dyDescent="0.25">
      <c r="A13" s="18" t="s">
        <v>42</v>
      </c>
      <c r="B13" s="21">
        <v>0.27</v>
      </c>
      <c r="C13" s="5">
        <f>'[1]PENETRAÇÃO BP'!$D$16</f>
        <v>0.28789999999999999</v>
      </c>
      <c r="D13" s="6">
        <f t="shared" si="2"/>
        <v>1.0662962962962961</v>
      </c>
      <c r="E13" s="21">
        <f t="shared" si="7"/>
        <v>0.27</v>
      </c>
      <c r="F13" s="5">
        <f>'[1]PENETRAÇÃO BP'!$I$16</f>
        <v>0.32079999999999997</v>
      </c>
      <c r="G13" s="6">
        <f t="shared" si="3"/>
        <v>1.188148148148148</v>
      </c>
      <c r="H13" s="21">
        <f t="shared" si="8"/>
        <v>0.27</v>
      </c>
      <c r="I13" s="5">
        <f>'[1]PENETRAÇÃO BP'!$N$16</f>
        <v>0.31240000000000001</v>
      </c>
      <c r="J13" s="6">
        <f t="shared" si="0"/>
        <v>1.075185185185185</v>
      </c>
      <c r="K13" s="21">
        <f t="shared" si="9"/>
        <v>0.27</v>
      </c>
      <c r="L13" s="5">
        <f>'[1]PENETRAÇÃO BP'!$S$16</f>
        <v>0.2903</v>
      </c>
      <c r="M13" s="6">
        <f t="shared" si="4"/>
        <v>1.075185185185185</v>
      </c>
      <c r="N13" s="21">
        <f t="shared" si="10"/>
        <v>0.27</v>
      </c>
      <c r="O13" s="5">
        <f>'[1]PENETRAÇÃO BP'!$X$16</f>
        <v>0.27139999999999997</v>
      </c>
      <c r="P13" s="6">
        <f t="shared" si="5"/>
        <v>1.005185185185185</v>
      </c>
      <c r="Q13" s="21">
        <f t="shared" si="12"/>
        <v>0.27</v>
      </c>
      <c r="R13" s="5">
        <f t="shared" si="11"/>
        <v>0.27139999999999997</v>
      </c>
      <c r="S13" s="6">
        <f t="shared" si="6"/>
        <v>1.005185185185185</v>
      </c>
    </row>
    <row r="14" spans="1:28" x14ac:dyDescent="0.25">
      <c r="A14" s="28" t="s">
        <v>43</v>
      </c>
      <c r="B14" s="21">
        <v>0.22</v>
      </c>
      <c r="C14" s="5">
        <f>'[1]PENETRAÇÃO BT'!$D$16</f>
        <v>0.25269999999999998</v>
      </c>
      <c r="D14" s="6">
        <f t="shared" si="2"/>
        <v>1.1486363636363635</v>
      </c>
      <c r="E14" s="21">
        <f t="shared" si="7"/>
        <v>0.22</v>
      </c>
      <c r="F14" s="5">
        <f>'[1]PENETRAÇÃO BT'!$I$16</f>
        <v>0.26850000000000002</v>
      </c>
      <c r="G14" s="6">
        <f t="shared" si="3"/>
        <v>1.2204545454545455</v>
      </c>
      <c r="H14" s="21">
        <f t="shared" si="8"/>
        <v>0.22</v>
      </c>
      <c r="I14" s="5">
        <f>'[1]PENETRAÇÃO BT'!$N$16</f>
        <v>0.27489999999999998</v>
      </c>
      <c r="J14" s="6">
        <f t="shared" si="0"/>
        <v>1.21</v>
      </c>
      <c r="K14" s="21">
        <f t="shared" si="9"/>
        <v>0.22</v>
      </c>
      <c r="L14" s="5">
        <f>'[1]PENETRAÇÃO BT'!$S$16</f>
        <v>0.26619999999999999</v>
      </c>
      <c r="M14" s="6">
        <f t="shared" si="4"/>
        <v>1.21</v>
      </c>
      <c r="N14" s="21">
        <f t="shared" si="10"/>
        <v>0.22</v>
      </c>
      <c r="O14" s="5">
        <f>'[1]PENETRAÇÃO BT'!$X$16</f>
        <v>0.23959999999999998</v>
      </c>
      <c r="P14" s="6">
        <f t="shared" si="5"/>
        <v>1.0890909090909089</v>
      </c>
      <c r="Q14" s="21">
        <f t="shared" si="12"/>
        <v>0.22</v>
      </c>
      <c r="R14" s="5">
        <f t="shared" si="11"/>
        <v>0.23959999999999998</v>
      </c>
      <c r="S14" s="6">
        <f t="shared" si="6"/>
        <v>1.0890909090909089</v>
      </c>
    </row>
    <row r="15" spans="1:28" x14ac:dyDescent="0.25">
      <c r="A15" s="28" t="s">
        <v>44</v>
      </c>
      <c r="B15" s="22">
        <v>0.6</v>
      </c>
      <c r="C15" s="5">
        <f>'[1]ID DO CLIENTE'!$D$16</f>
        <v>0.8306</v>
      </c>
      <c r="D15" s="6">
        <f t="shared" si="2"/>
        <v>1.3843333333333334</v>
      </c>
      <c r="E15" s="22">
        <f t="shared" si="7"/>
        <v>0.6</v>
      </c>
      <c r="F15" s="5">
        <f>'[1]ID DO CLIENTE'!$I$16</f>
        <v>0.83050000000000002</v>
      </c>
      <c r="G15" s="6">
        <f t="shared" si="3"/>
        <v>1.3841666666666668</v>
      </c>
      <c r="H15" s="22">
        <f t="shared" si="8"/>
        <v>0.6</v>
      </c>
      <c r="I15" s="5">
        <f>'[1]ID DO CLIENTE'!$N$16</f>
        <v>0.83239999999999992</v>
      </c>
      <c r="J15" s="6">
        <f t="shared" si="0"/>
        <v>1.3975</v>
      </c>
      <c r="K15" s="22">
        <f t="shared" si="9"/>
        <v>0.6</v>
      </c>
      <c r="L15" s="5">
        <f>'[1]ID DO CLIENTE'!$S$16</f>
        <v>0.83849999999999991</v>
      </c>
      <c r="M15" s="6">
        <f t="shared" si="4"/>
        <v>1.3975</v>
      </c>
      <c r="N15" s="22">
        <f t="shared" si="10"/>
        <v>0.6</v>
      </c>
      <c r="O15" s="5">
        <f>'[1]ID DO CLIENTE'!$X$16</f>
        <v>0.83569999999999989</v>
      </c>
      <c r="P15" s="6">
        <f t="shared" si="5"/>
        <v>1.3928333333333331</v>
      </c>
      <c r="Q15" s="22">
        <f t="shared" si="12"/>
        <v>0.6</v>
      </c>
      <c r="R15" s="5">
        <f t="shared" si="11"/>
        <v>0.83569999999999989</v>
      </c>
      <c r="S15" s="6">
        <f t="shared" si="6"/>
        <v>1.3928333333333331</v>
      </c>
    </row>
    <row r="16" spans="1:28" x14ac:dyDescent="0.25">
      <c r="A16" s="28" t="s">
        <v>45</v>
      </c>
      <c r="B16" s="22">
        <v>0.98</v>
      </c>
      <c r="C16" s="9">
        <f>'[1]SEPARAÇÃO NO PRAZO C&amp;R'!$D$16</f>
        <v>1</v>
      </c>
      <c r="D16" s="6">
        <f t="shared" si="2"/>
        <v>1.0204081632653061</v>
      </c>
      <c r="E16" s="22">
        <f t="shared" si="7"/>
        <v>0.98</v>
      </c>
      <c r="F16" s="55">
        <f>'[1]SEPARAÇÃO NO PRAZO C&amp;R'!$I$16</f>
        <v>1</v>
      </c>
      <c r="G16" s="6">
        <f t="shared" si="3"/>
        <v>1.0204081632653061</v>
      </c>
      <c r="H16" s="22">
        <f t="shared" si="8"/>
        <v>0.98</v>
      </c>
      <c r="I16" s="55">
        <f>'[1]SEPARAÇÃO NO PRAZO C&amp;R'!$N$16</f>
        <v>1</v>
      </c>
      <c r="J16" s="6">
        <f t="shared" si="0"/>
        <v>1.0204081632653061</v>
      </c>
      <c r="K16" s="22">
        <f t="shared" si="9"/>
        <v>0.98</v>
      </c>
      <c r="L16" s="9">
        <f>'[1]SEPARAÇÃO NO PRAZO C&amp;R'!$S$16</f>
        <v>1</v>
      </c>
      <c r="M16" s="6">
        <f t="shared" si="4"/>
        <v>1.0204081632653061</v>
      </c>
      <c r="N16" s="22">
        <f t="shared" si="10"/>
        <v>0.98</v>
      </c>
      <c r="O16" s="9">
        <f>'[1]SEPARAÇÃO NO PRAZO C&amp;R'!$X$16</f>
        <v>1</v>
      </c>
      <c r="P16" s="6">
        <f t="shared" si="5"/>
        <v>1.0204081632653061</v>
      </c>
      <c r="Q16" s="22">
        <f t="shared" si="12"/>
        <v>0.98</v>
      </c>
      <c r="R16" s="5">
        <f t="shared" si="11"/>
        <v>1</v>
      </c>
      <c r="S16" s="6">
        <f t="shared" si="6"/>
        <v>1.0204081632653061</v>
      </c>
    </row>
    <row r="17" spans="1:19" ht="30" x14ac:dyDescent="0.25">
      <c r="A17" s="28" t="s">
        <v>46</v>
      </c>
      <c r="B17" s="23">
        <v>3</v>
      </c>
      <c r="C17" s="10">
        <f>'[1]Q° DE SERVIÇOS'!$D$14</f>
        <v>2</v>
      </c>
      <c r="D17" s="6">
        <f t="shared" si="2"/>
        <v>0.66666666666666663</v>
      </c>
      <c r="E17" s="23">
        <f t="shared" si="7"/>
        <v>3</v>
      </c>
      <c r="F17" s="59">
        <f>'[1]Q° DE SERVIÇOS'!$I$14</f>
        <v>5</v>
      </c>
      <c r="G17" s="6">
        <f t="shared" si="3"/>
        <v>1.6666666666666667</v>
      </c>
      <c r="H17" s="23">
        <f t="shared" si="8"/>
        <v>3</v>
      </c>
      <c r="I17" s="10">
        <f>'[1]Q° DE SERVIÇOS'!$N$14</f>
        <v>8</v>
      </c>
      <c r="J17" s="6">
        <f t="shared" si="0"/>
        <v>8.3333333333333339</v>
      </c>
      <c r="K17" s="23">
        <v>2</v>
      </c>
      <c r="L17" s="10">
        <f>'[1]Q° DE SERVIÇOS'!$S$14</f>
        <v>25</v>
      </c>
      <c r="M17" s="6">
        <f t="shared" si="4"/>
        <v>12.5</v>
      </c>
      <c r="N17" s="23">
        <v>2</v>
      </c>
      <c r="O17" s="11">
        <f>'[1]Q° DE SERVIÇOS'!$X$14</f>
        <v>32</v>
      </c>
      <c r="P17" s="6">
        <f t="shared" si="5"/>
        <v>16</v>
      </c>
      <c r="Q17" s="78">
        <f>IF(O17 = 0, IF(L17 = 0, IF(I17 = 0, IF(F17 = 0, B17, SUM(B17, E17)), SUM(B17, E17, H17)), SUM(B17, E17, H17, K17)), SUM(B17, E17, H17, K17, N17))</f>
        <v>13</v>
      </c>
      <c r="R17" s="10">
        <f>C17+F17+I17+L17+O17</f>
        <v>72</v>
      </c>
      <c r="S17" s="6">
        <f t="shared" si="6"/>
        <v>5.5384615384615383</v>
      </c>
    </row>
    <row r="18" spans="1:19" x14ac:dyDescent="0.25">
      <c r="A18" s="28" t="s">
        <v>47</v>
      </c>
      <c r="B18" s="19">
        <v>0.25</v>
      </c>
      <c r="C18" s="9">
        <f>'[1]CONVERSÃO AÇÃO DE FLUXO'!$D$16</f>
        <v>0</v>
      </c>
      <c r="D18" s="6">
        <f t="shared" si="2"/>
        <v>0</v>
      </c>
      <c r="E18" s="19">
        <f t="shared" si="7"/>
        <v>0.25</v>
      </c>
      <c r="F18" s="9">
        <f>'[1]CONVERSÃO AÇÃO DE FLUXO'!$I$16</f>
        <v>0</v>
      </c>
      <c r="G18" s="6">
        <f t="shared" si="3"/>
        <v>0</v>
      </c>
      <c r="H18" s="19">
        <f t="shared" si="8"/>
        <v>0.25</v>
      </c>
      <c r="I18" s="9">
        <f>'[1]CONVERSÃO AÇÃO DE FLUXO'!$N$16</f>
        <v>0</v>
      </c>
      <c r="J18" s="6">
        <f t="shared" si="0"/>
        <v>0</v>
      </c>
      <c r="K18" s="19">
        <f t="shared" si="9"/>
        <v>0.25</v>
      </c>
      <c r="L18" s="9">
        <f>'[1]CONVERSÃO AÇÃO DE FLUXO'!$S$16</f>
        <v>0</v>
      </c>
      <c r="M18" s="6">
        <f t="shared" si="4"/>
        <v>0</v>
      </c>
      <c r="N18" s="19">
        <f t="shared" si="10"/>
        <v>0.25</v>
      </c>
      <c r="O18" s="9">
        <f>'[1]CONVERSÃO AÇÃO DE FLUXO'!$X$16</f>
        <v>0</v>
      </c>
      <c r="P18" s="6">
        <f t="shared" si="5"/>
        <v>0</v>
      </c>
      <c r="Q18" s="19">
        <f t="shared" ref="Q18:Q21" si="13">B18</f>
        <v>0.25</v>
      </c>
      <c r="R18" s="5">
        <f>O18</f>
        <v>0</v>
      </c>
      <c r="S18" s="6">
        <f t="shared" si="6"/>
        <v>0</v>
      </c>
    </row>
    <row r="19" spans="1:19" x14ac:dyDescent="0.25">
      <c r="A19" s="28" t="s">
        <v>48</v>
      </c>
      <c r="B19" s="19">
        <v>0.86099999999999999</v>
      </c>
      <c r="C19" s="5">
        <f>[1]NPS!$D$16</f>
        <v>1</v>
      </c>
      <c r="D19" s="6">
        <f t="shared" si="2"/>
        <v>1.1614401858304297</v>
      </c>
      <c r="E19" s="19">
        <f t="shared" si="7"/>
        <v>0.86099999999999999</v>
      </c>
      <c r="F19" s="5">
        <f>[1]NPS!$I$16</f>
        <v>0.875</v>
      </c>
      <c r="G19" s="6">
        <f t="shared" si="3"/>
        <v>1.0162601626016261</v>
      </c>
      <c r="H19" s="19">
        <f t="shared" si="8"/>
        <v>0.86099999999999999</v>
      </c>
      <c r="I19" s="5">
        <f>[1]NPS!$N$16</f>
        <v>0.82809999999999995</v>
      </c>
      <c r="J19" s="6">
        <f t="shared" si="0"/>
        <v>0.97874564459930313</v>
      </c>
      <c r="K19" s="19">
        <f t="shared" si="9"/>
        <v>0.86099999999999999</v>
      </c>
      <c r="L19" s="5">
        <f>[1]NPS!$S$16</f>
        <v>0.8427</v>
      </c>
      <c r="M19" s="6">
        <f t="shared" si="4"/>
        <v>0.97874564459930313</v>
      </c>
      <c r="N19" s="19">
        <f t="shared" si="10"/>
        <v>0.86099999999999999</v>
      </c>
      <c r="O19" s="5">
        <f>[1]NPS!$X$16</f>
        <v>0.83899999999999997</v>
      </c>
      <c r="P19" s="6">
        <f t="shared" si="5"/>
        <v>0.97444831591173053</v>
      </c>
      <c r="Q19" s="19">
        <f t="shared" si="13"/>
        <v>0.86099999999999999</v>
      </c>
      <c r="R19" s="5">
        <f>O19</f>
        <v>0.83899999999999997</v>
      </c>
      <c r="S19" s="6">
        <f t="shared" si="6"/>
        <v>0.97444831591173053</v>
      </c>
    </row>
    <row r="20" spans="1:19" x14ac:dyDescent="0.25">
      <c r="A20" s="28" t="s">
        <v>49</v>
      </c>
      <c r="B20" s="22">
        <v>0.95</v>
      </c>
      <c r="C20" s="5">
        <f>'[1]LOJA DIGITAL ATIVO (BEXD)'!$D$16</f>
        <v>1</v>
      </c>
      <c r="D20" s="6">
        <f t="shared" si="2"/>
        <v>1.0526315789473684</v>
      </c>
      <c r="E20" s="22">
        <f t="shared" si="7"/>
        <v>0.95</v>
      </c>
      <c r="F20" s="5">
        <f>'[1]LOJA DIGITAL ATIVO (BEXD)'!$I$16</f>
        <v>1</v>
      </c>
      <c r="G20" s="6">
        <f t="shared" si="3"/>
        <v>1.0526315789473684</v>
      </c>
      <c r="H20" s="22">
        <f t="shared" si="8"/>
        <v>0.95</v>
      </c>
      <c r="I20" s="5">
        <f>'[1]LOJA DIGITAL ATIVO (BEXD)'!$N$16</f>
        <v>0.94700000000000006</v>
      </c>
      <c r="J20" s="6">
        <f t="shared" si="0"/>
        <v>0.89505263157894743</v>
      </c>
      <c r="K20" s="22">
        <f t="shared" si="9"/>
        <v>0.95</v>
      </c>
      <c r="L20" s="5">
        <f>'[1]LOJA DIGITAL ATIVO (BEXD)'!$S$16</f>
        <v>0.85030000000000006</v>
      </c>
      <c r="M20" s="6">
        <f t="shared" si="4"/>
        <v>0.89505263157894743</v>
      </c>
      <c r="N20" s="22">
        <f t="shared" si="10"/>
        <v>0.95</v>
      </c>
      <c r="O20" s="5">
        <f>'[1]LOJA DIGITAL ATIVO (BEXD)'!$X$16</f>
        <v>0.89230000000000009</v>
      </c>
      <c r="P20" s="6">
        <f t="shared" si="5"/>
        <v>0.93926315789473702</v>
      </c>
      <c r="Q20" s="22">
        <f t="shared" si="13"/>
        <v>0.95</v>
      </c>
      <c r="R20" s="5">
        <f>O20</f>
        <v>0.89230000000000009</v>
      </c>
      <c r="S20" s="6">
        <f t="shared" si="6"/>
        <v>0.93926315789473702</v>
      </c>
    </row>
    <row r="21" spans="1:19" x14ac:dyDescent="0.25">
      <c r="A21" s="28" t="s">
        <v>50</v>
      </c>
      <c r="B21" s="22">
        <v>0.85</v>
      </c>
      <c r="C21" s="70">
        <f>'[1]TREINAMENTOS FV (UB)'!$D$16</f>
        <v>0.88548387096774195</v>
      </c>
      <c r="D21" s="6">
        <f t="shared" si="2"/>
        <v>1.0417457305502846</v>
      </c>
      <c r="E21" s="22">
        <f t="shared" si="7"/>
        <v>0.85</v>
      </c>
      <c r="F21" s="70">
        <f>'[1]TREINAMENTOS FV (UB)'!$I$16</f>
        <v>0.89457831325301218</v>
      </c>
      <c r="G21" s="6">
        <f t="shared" si="3"/>
        <v>1.0524450744153084</v>
      </c>
      <c r="H21" s="22">
        <f t="shared" si="8"/>
        <v>0.85</v>
      </c>
      <c r="I21" s="70">
        <f>'[1]TREINAMENTOS FV (UB)'!$N$16</f>
        <v>0.9006024096385542</v>
      </c>
      <c r="J21" s="6">
        <f t="shared" si="0"/>
        <v>1.0772501771793055</v>
      </c>
      <c r="K21" s="22">
        <f t="shared" si="9"/>
        <v>0.85</v>
      </c>
      <c r="L21" s="70">
        <f>'[1]TREINAMENTOS FV (UB)'!$S$16</f>
        <v>0.9156626506024097</v>
      </c>
      <c r="M21" s="6">
        <f t="shared" si="4"/>
        <v>1.0772501771793055</v>
      </c>
      <c r="N21" s="22">
        <f t="shared" si="10"/>
        <v>0.85</v>
      </c>
      <c r="O21" s="70">
        <f>'[1]TREINAMENTOS FV (UB)'!$X$16</f>
        <v>0.8665730337078652</v>
      </c>
      <c r="P21" s="6">
        <f t="shared" si="5"/>
        <v>1.0194976867151355</v>
      </c>
      <c r="Q21" s="22">
        <f t="shared" si="13"/>
        <v>0.85</v>
      </c>
      <c r="R21" s="5">
        <f>O21</f>
        <v>0.8665730337078652</v>
      </c>
      <c r="S21" s="6">
        <f t="shared" si="6"/>
        <v>1.0194976867151355</v>
      </c>
    </row>
    <row r="22" spans="1:19" hidden="1" x14ac:dyDescent="0.25">
      <c r="A22" s="28" t="s">
        <v>51</v>
      </c>
      <c r="B22" s="24"/>
      <c r="C22" s="10"/>
      <c r="D22" s="6" t="e">
        <f t="shared" si="2"/>
        <v>#DIV/0!</v>
      </c>
      <c r="E22" s="24"/>
      <c r="F22" s="10"/>
      <c r="G22" s="6" t="e">
        <f t="shared" si="3"/>
        <v>#DIV/0!</v>
      </c>
      <c r="H22" s="24"/>
      <c r="I22" s="10"/>
      <c r="J22" s="6" t="e">
        <f t="shared" si="0"/>
        <v>#DIV/0!</v>
      </c>
      <c r="K22" s="24"/>
      <c r="L22" s="10"/>
      <c r="M22" s="6" t="e">
        <f t="shared" si="4"/>
        <v>#DIV/0!</v>
      </c>
      <c r="N22" s="24"/>
      <c r="O22" s="10"/>
      <c r="P22" s="6" t="e">
        <f t="shared" si="5"/>
        <v>#DIV/0!</v>
      </c>
      <c r="Q22" s="23">
        <v>8</v>
      </c>
      <c r="R22" s="5">
        <f t="shared" ref="R22:R23" si="14">L22</f>
        <v>0</v>
      </c>
      <c r="S22" s="6" t="e">
        <f>Q22/R22</f>
        <v>#DIV/0!</v>
      </c>
    </row>
    <row r="23" spans="1:19" hidden="1" x14ac:dyDescent="0.25">
      <c r="A23" s="28" t="s">
        <v>52</v>
      </c>
      <c r="B23" s="22"/>
      <c r="C23" s="10"/>
      <c r="D23" s="6" t="e">
        <f t="shared" si="2"/>
        <v>#DIV/0!</v>
      </c>
      <c r="E23" s="22"/>
      <c r="F23" s="10"/>
      <c r="G23" s="6" t="e">
        <f t="shared" si="3"/>
        <v>#DIV/0!</v>
      </c>
      <c r="H23" s="22">
        <v>1.7000000000000001E-2</v>
      </c>
      <c r="I23" s="65"/>
      <c r="J23" s="6" t="e">
        <f>H23/I23</f>
        <v>#DIV/0!</v>
      </c>
      <c r="K23" s="22"/>
      <c r="L23" s="10"/>
      <c r="M23" s="6" t="e">
        <f>K23/L23</f>
        <v>#DIV/0!</v>
      </c>
      <c r="N23" s="22"/>
      <c r="O23" s="10"/>
      <c r="P23" s="6" t="e">
        <f>N23/O23</f>
        <v>#DIV/0!</v>
      </c>
      <c r="Q23" s="22">
        <v>1.7000000000000001E-2</v>
      </c>
      <c r="R23" s="5">
        <f t="shared" si="14"/>
        <v>0</v>
      </c>
      <c r="S23" s="6" t="e">
        <f>Q23/R23</f>
        <v>#DIV/0!</v>
      </c>
    </row>
    <row r="24" spans="1:19" hidden="1" x14ac:dyDescent="0.25">
      <c r="A24" s="28" t="s">
        <v>53</v>
      </c>
      <c r="B24" s="22"/>
      <c r="C24" s="25"/>
      <c r="D24" s="6" t="e">
        <f t="shared" si="2"/>
        <v>#DIV/0!</v>
      </c>
      <c r="E24" s="22"/>
      <c r="F24" s="25"/>
      <c r="G24" s="6" t="e">
        <f t="shared" si="3"/>
        <v>#DIV/0!</v>
      </c>
      <c r="H24" s="22"/>
      <c r="I24" s="25"/>
      <c r="J24" s="103" t="e">
        <f>L24/H24</f>
        <v>#DIV/0!</v>
      </c>
      <c r="K24" s="22"/>
      <c r="L24" s="25"/>
      <c r="M24" s="6" t="e">
        <f t="shared" si="4"/>
        <v>#DIV/0!</v>
      </c>
      <c r="N24" s="22"/>
      <c r="O24" s="25"/>
      <c r="P24" s="6" t="e">
        <f t="shared" si="5"/>
        <v>#DIV/0!</v>
      </c>
      <c r="Q24" s="22"/>
      <c r="R24" s="12"/>
      <c r="S24" s="6" t="e">
        <f t="shared" si="6"/>
        <v>#DIV/0!</v>
      </c>
    </row>
    <row r="25" spans="1:19" x14ac:dyDescent="0.25">
      <c r="C25" s="48"/>
    </row>
  </sheetData>
  <mergeCells count="7">
    <mergeCell ref="Y1:AB1"/>
    <mergeCell ref="Q1:S1"/>
    <mergeCell ref="B1:D1"/>
    <mergeCell ref="E1:G1"/>
    <mergeCell ref="H1:J1"/>
    <mergeCell ref="K1:M1"/>
    <mergeCell ref="N1:P1"/>
  </mergeCells>
  <phoneticPr fontId="9" type="noConversion"/>
  <conditionalFormatting sqref="D4:D24">
    <cfRule type="cellIs" dxfId="173" priority="34" operator="between">
      <formula>1</formula>
      <formula>1.1999</formula>
    </cfRule>
    <cfRule type="containsText" dxfId="172" priority="32" operator="containsText" text="-">
      <formula>NOT(ISERROR(SEARCH("-",D4)))</formula>
    </cfRule>
    <cfRule type="containsErrors" dxfId="171" priority="31">
      <formula>ISERROR(D4)</formula>
    </cfRule>
    <cfRule type="cellIs" dxfId="170" priority="33" operator="greaterThan">
      <formula>1.2</formula>
    </cfRule>
    <cfRule type="cellIs" dxfId="169" priority="36" operator="between">
      <formula>0</formula>
      <formula>0.7999</formula>
    </cfRule>
    <cfRule type="cellIs" dxfId="168" priority="35" operator="between">
      <formula>0.8</formula>
      <formula>0.9999</formula>
    </cfRule>
  </conditionalFormatting>
  <conditionalFormatting sqref="G4:G24">
    <cfRule type="cellIs" dxfId="167" priority="30" operator="between">
      <formula>0</formula>
      <formula>0.7999</formula>
    </cfRule>
    <cfRule type="cellIs" dxfId="166" priority="28" operator="between">
      <formula>1</formula>
      <formula>1.1999</formula>
    </cfRule>
    <cfRule type="cellIs" dxfId="165" priority="29" operator="between">
      <formula>0.8</formula>
      <formula>0.9999</formula>
    </cfRule>
    <cfRule type="containsErrors" dxfId="164" priority="25">
      <formula>ISERROR(G4)</formula>
    </cfRule>
    <cfRule type="containsText" dxfId="163" priority="26" operator="containsText" text="-">
      <formula>NOT(ISERROR(SEARCH("-",G4)))</formula>
    </cfRule>
    <cfRule type="cellIs" dxfId="162" priority="27" operator="greaterThan">
      <formula>1.2</formula>
    </cfRule>
  </conditionalFormatting>
  <conditionalFormatting sqref="J4:J24">
    <cfRule type="cellIs" dxfId="161" priority="57" operator="greaterThan">
      <formula>1.2</formula>
    </cfRule>
    <cfRule type="cellIs" dxfId="160" priority="58" operator="between">
      <formula>1</formula>
      <formula>1.1999</formula>
    </cfRule>
    <cfRule type="cellIs" dxfId="159" priority="59" operator="between">
      <formula>0.8</formula>
      <formula>0.9999</formula>
    </cfRule>
    <cfRule type="cellIs" dxfId="158" priority="60" operator="between">
      <formula>0</formula>
      <formula>0.7999</formula>
    </cfRule>
    <cfRule type="containsErrors" dxfId="157" priority="55">
      <formula>ISERROR(J4)</formula>
    </cfRule>
    <cfRule type="containsText" dxfId="156" priority="56" operator="containsText" text="-">
      <formula>NOT(ISERROR(SEARCH("-",J4)))</formula>
    </cfRule>
  </conditionalFormatting>
  <conditionalFormatting sqref="M4:M24">
    <cfRule type="containsErrors" dxfId="155" priority="49">
      <formula>ISERROR(M4)</formula>
    </cfRule>
    <cfRule type="cellIs" dxfId="154" priority="51" operator="greaterThan">
      <formula>1.2</formula>
    </cfRule>
    <cfRule type="cellIs" dxfId="153" priority="52" operator="between">
      <formula>1</formula>
      <formula>1.1999</formula>
    </cfRule>
    <cfRule type="cellIs" dxfId="152" priority="53" operator="between">
      <formula>0.8</formula>
      <formula>0.9999</formula>
    </cfRule>
    <cfRule type="cellIs" dxfId="151" priority="54" operator="between">
      <formula>0</formula>
      <formula>0.7999</formula>
    </cfRule>
    <cfRule type="containsText" dxfId="150" priority="50" operator="containsText" text="-">
      <formula>NOT(ISERROR(SEARCH("-",M4)))</formula>
    </cfRule>
  </conditionalFormatting>
  <conditionalFormatting sqref="P4:P24">
    <cfRule type="containsErrors" dxfId="149" priority="19">
      <formula>ISERROR(P4)</formula>
    </cfRule>
    <cfRule type="cellIs" dxfId="148" priority="24" operator="between">
      <formula>0</formula>
      <formula>0.7999</formula>
    </cfRule>
    <cfRule type="cellIs" dxfId="147" priority="22" operator="between">
      <formula>1</formula>
      <formula>1.1999</formula>
    </cfRule>
    <cfRule type="cellIs" dxfId="146" priority="21" operator="greaterThan">
      <formula>1.2</formula>
    </cfRule>
    <cfRule type="containsText" dxfId="145" priority="20" operator="containsText" text="-">
      <formula>NOT(ISERROR(SEARCH("-",P4)))</formula>
    </cfRule>
    <cfRule type="cellIs" dxfId="144" priority="23" operator="between">
      <formula>0.8</formula>
      <formula>0.9999</formula>
    </cfRule>
  </conditionalFormatting>
  <conditionalFormatting sqref="S4:S24">
    <cfRule type="cellIs" dxfId="143" priority="17" operator="between">
      <formula>0.8</formula>
      <formula>0.9999</formula>
    </cfRule>
    <cfRule type="containsErrors" dxfId="142" priority="13">
      <formula>ISERROR(S4)</formula>
    </cfRule>
    <cfRule type="containsText" dxfId="141" priority="14" operator="containsText" text="-">
      <formula>NOT(ISERROR(SEARCH("-",S4)))</formula>
    </cfRule>
    <cfRule type="cellIs" dxfId="140" priority="15" operator="greaterThan">
      <formula>1.2</formula>
    </cfRule>
    <cfRule type="cellIs" dxfId="139" priority="16" operator="between">
      <formula>1</formula>
      <formula>1.1999</formula>
    </cfRule>
    <cfRule type="cellIs" dxfId="138" priority="18" operator="between">
      <formula>0</formula>
      <formula>0.7999</formula>
    </cfRule>
  </conditionalFormatting>
  <conditionalFormatting sqref="AB3:AB6">
    <cfRule type="containsText" dxfId="137" priority="2" operator="containsText" text="-">
      <formula>NOT(ISERROR(SEARCH("-",AB3)))</formula>
    </cfRule>
    <cfRule type="cellIs" dxfId="136" priority="3" operator="greaterThan">
      <formula>1.2</formula>
    </cfRule>
    <cfRule type="cellIs" dxfId="135" priority="4" operator="between">
      <formula>1</formula>
      <formula>1.1999</formula>
    </cfRule>
    <cfRule type="cellIs" dxfId="134" priority="5" operator="between">
      <formula>0.8</formula>
      <formula>0.9999</formula>
    </cfRule>
    <cfRule type="cellIs" dxfId="133" priority="6" operator="between">
      <formula>0</formula>
      <formula>0.7999</formula>
    </cfRule>
    <cfRule type="containsErrors" dxfId="132" priority="1">
      <formula>ISERROR(AB3)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672B9-3CC2-494E-A0E1-BEE46BDFAAB5}">
  <sheetPr>
    <tabColor rgb="FF00B0F0"/>
  </sheetPr>
  <dimension ref="A1:AB25"/>
  <sheetViews>
    <sheetView zoomScale="85" zoomScaleNormal="85" workbookViewId="0">
      <selection activeCell="B1" sqref="B1:S1"/>
    </sheetView>
  </sheetViews>
  <sheetFormatPr defaultColWidth="9.140625" defaultRowHeight="15" x14ac:dyDescent="0.25"/>
  <cols>
    <col min="1" max="1" width="30.28515625" style="79" customWidth="1"/>
    <col min="2" max="2" width="14.7109375" style="2" customWidth="1"/>
    <col min="3" max="3" width="14.140625" style="2" customWidth="1"/>
    <col min="4" max="4" width="14.42578125" style="2" customWidth="1"/>
    <col min="5" max="5" width="16.140625" style="2" customWidth="1"/>
    <col min="6" max="6" width="15.7109375" style="2" customWidth="1"/>
    <col min="7" max="7" width="9.140625" style="2" customWidth="1"/>
    <col min="8" max="8" width="14.85546875" style="2" customWidth="1"/>
    <col min="9" max="9" width="17.85546875" style="2" customWidth="1"/>
    <col min="10" max="10" width="13.5703125" style="2" customWidth="1"/>
    <col min="11" max="11" width="15.42578125" style="2" customWidth="1"/>
    <col min="12" max="12" width="16.140625" style="2" customWidth="1"/>
    <col min="13" max="13" width="12.28515625" style="2" customWidth="1"/>
    <col min="14" max="14" width="15.140625" style="2" customWidth="1"/>
    <col min="15" max="15" width="11.7109375" style="2" customWidth="1"/>
    <col min="16" max="16" width="12.42578125" style="2" customWidth="1"/>
    <col min="17" max="17" width="16.140625" style="2" customWidth="1"/>
    <col min="18" max="18" width="16.85546875" style="2" customWidth="1"/>
    <col min="19" max="19" width="11.5703125" style="2" customWidth="1"/>
    <col min="20" max="21" width="14.42578125" style="2" customWidth="1"/>
    <col min="22" max="22" width="3.7109375" style="2" customWidth="1"/>
    <col min="23" max="23" width="14.42578125" style="2" customWidth="1"/>
    <col min="24" max="24" width="9.140625" style="2" customWidth="1"/>
    <col min="25" max="25" width="18.140625" style="2" bestFit="1" customWidth="1"/>
    <col min="26" max="26" width="18.28515625" style="2" customWidth="1"/>
    <col min="27" max="27" width="15" style="2" customWidth="1"/>
    <col min="28" max="28" width="16.85546875" style="2" customWidth="1"/>
    <col min="29" max="16384" width="9.140625" style="2"/>
  </cols>
  <sheetData>
    <row r="1" spans="1:28" ht="27.75" customHeight="1" x14ac:dyDescent="0.25">
      <c r="B1" s="113" t="s">
        <v>114</v>
      </c>
      <c r="C1" s="113"/>
      <c r="D1" s="113"/>
      <c r="E1" s="113" t="s">
        <v>115</v>
      </c>
      <c r="F1" s="113"/>
      <c r="G1" s="113"/>
      <c r="H1" s="113" t="s">
        <v>116</v>
      </c>
      <c r="I1" s="113"/>
      <c r="J1" s="113"/>
      <c r="K1" s="113" t="s">
        <v>117</v>
      </c>
      <c r="L1" s="113"/>
      <c r="M1" s="113"/>
      <c r="N1" s="113" t="s">
        <v>118</v>
      </c>
      <c r="O1" s="113"/>
      <c r="P1" s="113"/>
      <c r="Q1" s="110" t="s">
        <v>1</v>
      </c>
      <c r="R1" s="111"/>
      <c r="S1" s="112"/>
      <c r="Y1" s="109" t="s">
        <v>2</v>
      </c>
      <c r="Z1" s="109"/>
      <c r="AA1" s="109"/>
      <c r="AB1" s="109"/>
    </row>
    <row r="2" spans="1:28" ht="45" x14ac:dyDescent="0.25">
      <c r="A2" s="15" t="s">
        <v>73</v>
      </c>
      <c r="B2" s="16" t="s">
        <v>4</v>
      </c>
      <c r="C2" s="16" t="s">
        <v>5</v>
      </c>
      <c r="D2" s="16" t="s">
        <v>6</v>
      </c>
      <c r="E2" s="16" t="s">
        <v>7</v>
      </c>
      <c r="F2" s="16" t="s">
        <v>8</v>
      </c>
      <c r="G2" s="16" t="s">
        <v>9</v>
      </c>
      <c r="H2" s="16" t="s">
        <v>10</v>
      </c>
      <c r="I2" s="16" t="s">
        <v>11</v>
      </c>
      <c r="J2" s="16" t="s">
        <v>12</v>
      </c>
      <c r="K2" s="16" t="s">
        <v>13</v>
      </c>
      <c r="L2" s="16" t="s">
        <v>14</v>
      </c>
      <c r="M2" s="16" t="s">
        <v>15</v>
      </c>
      <c r="N2" s="16" t="s">
        <v>16</v>
      </c>
      <c r="O2" s="16" t="s">
        <v>17</v>
      </c>
      <c r="P2" s="16" t="s">
        <v>18</v>
      </c>
      <c r="Q2" s="16" t="s">
        <v>19</v>
      </c>
      <c r="R2" s="16" t="s">
        <v>20</v>
      </c>
      <c r="S2" s="16" t="s">
        <v>21</v>
      </c>
      <c r="Y2" s="17" t="s">
        <v>22</v>
      </c>
      <c r="Z2" s="17" t="s">
        <v>23</v>
      </c>
      <c r="AA2" s="92" t="s">
        <v>24</v>
      </c>
      <c r="AB2" s="92" t="s">
        <v>25</v>
      </c>
    </row>
    <row r="3" spans="1:28" x14ac:dyDescent="0.25">
      <c r="A3" s="73"/>
      <c r="B3" s="17" t="s">
        <v>26</v>
      </c>
      <c r="C3" s="10" t="s">
        <v>27</v>
      </c>
      <c r="D3" s="17" t="s">
        <v>28</v>
      </c>
      <c r="E3" s="17" t="s">
        <v>26</v>
      </c>
      <c r="F3" s="10" t="s">
        <v>27</v>
      </c>
      <c r="G3" s="17" t="s">
        <v>28</v>
      </c>
      <c r="H3" s="17" t="s">
        <v>26</v>
      </c>
      <c r="I3" s="10" t="s">
        <v>27</v>
      </c>
      <c r="J3" s="17" t="s">
        <v>28</v>
      </c>
      <c r="K3" s="17" t="s">
        <v>26</v>
      </c>
      <c r="L3" s="10" t="s">
        <v>27</v>
      </c>
      <c r="M3" s="17" t="s">
        <v>28</v>
      </c>
      <c r="N3" s="17" t="s">
        <v>26</v>
      </c>
      <c r="O3" s="10" t="s">
        <v>27</v>
      </c>
      <c r="P3" s="17" t="s">
        <v>28</v>
      </c>
      <c r="Q3" s="17" t="s">
        <v>26</v>
      </c>
      <c r="R3" s="10" t="s">
        <v>27</v>
      </c>
      <c r="S3" s="26" t="s">
        <v>28</v>
      </c>
      <c r="Y3" s="14" t="s">
        <v>29</v>
      </c>
      <c r="Z3" s="12">
        <f>[1]RECEITA!$AF$18</f>
        <v>525364.12</v>
      </c>
      <c r="AA3" s="90">
        <f>R4</f>
        <v>546075.15</v>
      </c>
      <c r="AB3" s="6">
        <f>AA3/Z3</f>
        <v>1.0394222391890791</v>
      </c>
    </row>
    <row r="4" spans="1:28" ht="30" x14ac:dyDescent="0.25">
      <c r="A4" s="28" t="s">
        <v>30</v>
      </c>
      <c r="B4" s="20">
        <f>[1]RECEITA!$B$18</f>
        <v>40008.848588089117</v>
      </c>
      <c r="C4" s="12">
        <f>[1]RECEITA!$D$18</f>
        <v>32634.28</v>
      </c>
      <c r="D4" s="6">
        <f>C4/B4</f>
        <v>0.81567656035258729</v>
      </c>
      <c r="E4" s="20">
        <f>[1]RECEITA!$H$18</f>
        <v>125030.26068974889</v>
      </c>
      <c r="F4" s="12">
        <f>[1]RECEITA!$J$18</f>
        <v>133888.92000000001</v>
      </c>
      <c r="G4" s="6">
        <f>F4/E4</f>
        <v>1.0708521222093033</v>
      </c>
      <c r="H4" s="20">
        <f>[1]RECEITA!$N$18</f>
        <v>131120.14820227932</v>
      </c>
      <c r="I4" s="12">
        <f>[1]RECEITA!$P$18</f>
        <v>122619.5</v>
      </c>
      <c r="J4" s="6">
        <f>I4/H4</f>
        <v>0.93516901621278403</v>
      </c>
      <c r="K4" s="20">
        <f>[1]RECEITA!$T$18</f>
        <v>116279.04944982876</v>
      </c>
      <c r="L4" s="12">
        <f>[1]RECEITA!$V$18</f>
        <v>120308.71</v>
      </c>
      <c r="M4" s="6">
        <f>L4/K4</f>
        <v>1.0346550867868072</v>
      </c>
      <c r="N4" s="20">
        <f>[1]RECEITA!$Z$18</f>
        <v>112925.81307005389</v>
      </c>
      <c r="O4" s="12">
        <f>[1]RECEITA!$AB$18</f>
        <v>136623.74</v>
      </c>
      <c r="P4" s="6">
        <f>O4/N4</f>
        <v>1.209853941146698</v>
      </c>
      <c r="Q4" s="20">
        <f>IF(O4 = 0, IF(L4 = 0, IF(I4 = 0, IF(F4 = 0, B4, SUM(B4, E4)), SUM(B4, E4, H4)), SUM(B4, E4, H4, K4)), SUM(B4, E4, H4, K4, N4))</f>
        <v>525364.12</v>
      </c>
      <c r="R4" s="52">
        <f>O4+L4+I4+F4+C4</f>
        <v>546075.15</v>
      </c>
      <c r="S4" s="6">
        <f>R4/Q4</f>
        <v>1.0394222391890791</v>
      </c>
      <c r="W4" s="61">
        <f>N4+K4+H4+E4+B4</f>
        <v>525364.12</v>
      </c>
      <c r="X4" s="47"/>
      <c r="Y4" s="14" t="s">
        <v>31</v>
      </c>
      <c r="Z4" s="56">
        <f>Z3/Z5</f>
        <v>165.83463383838381</v>
      </c>
      <c r="AA4" s="90">
        <f>R5</f>
        <v>172.80859177215191</v>
      </c>
      <c r="AB4" s="6">
        <f t="shared" ref="AB4:AB6" si="0">AA4/Z4</f>
        <v>1.042053687895887</v>
      </c>
    </row>
    <row r="5" spans="1:28" x14ac:dyDescent="0.25">
      <c r="A5" s="28" t="s">
        <v>32</v>
      </c>
      <c r="B5" s="20">
        <f>B4/B8</f>
        <v>178.96615260183395</v>
      </c>
      <c r="C5" s="7">
        <f>'[1]VENDA MÉDIA'!$D$18</f>
        <v>182.31441340782123</v>
      </c>
      <c r="D5" s="6">
        <f t="shared" ref="D5:D24" si="1">C5/B5</f>
        <v>1.0187089053282412</v>
      </c>
      <c r="E5" s="20">
        <f>E4/E8</f>
        <v>156.43654067233163</v>
      </c>
      <c r="F5" s="7">
        <f>'[1]VENDA MÉDIA'!$I$18</f>
        <v>166.73589041095892</v>
      </c>
      <c r="G5" s="6">
        <f t="shared" ref="G5:G24" si="2">F5/E5</f>
        <v>1.0658372378624765</v>
      </c>
      <c r="H5" s="20">
        <f>H4/H8</f>
        <v>170.2236677551995</v>
      </c>
      <c r="I5" s="7">
        <f>'[1]VENDA MÉDIA'!$N$18</f>
        <v>176.43093525179856</v>
      </c>
      <c r="J5" s="6">
        <f t="shared" ref="J5:J24" si="3">I5/H5</f>
        <v>1.0364653610068242</v>
      </c>
      <c r="K5" s="20">
        <f>K4/K8</f>
        <v>163.76200846416944</v>
      </c>
      <c r="L5" s="7">
        <f>'[1]VENDA MÉDIA'!$S$18</f>
        <v>175.37712827988338</v>
      </c>
      <c r="M5" s="6">
        <f t="shared" ref="M5:M24" si="4">L5/K5</f>
        <v>1.0709268280515458</v>
      </c>
      <c r="N5" s="20">
        <f>N4/N8</f>
        <v>169.84528359960524</v>
      </c>
      <c r="O5" s="7">
        <f>'[1]VENDA MÉDIA'!$X$18</f>
        <v>171.42250941028857</v>
      </c>
      <c r="P5" s="6">
        <f t="shared" ref="P5:P24" si="5">O5/N5</f>
        <v>1.0092862502699897</v>
      </c>
      <c r="Q5" s="60">
        <f>Q4/Q8</f>
        <v>165.83463383838384</v>
      </c>
      <c r="R5" s="8">
        <f>R4/R8</f>
        <v>172.80859177215191</v>
      </c>
      <c r="S5" s="6">
        <f>R5/Q5</f>
        <v>1.0420536878958868</v>
      </c>
      <c r="Y5" s="14" t="s">
        <v>33</v>
      </c>
      <c r="Z5" s="14">
        <f>[1]BOLETOS!$AB$17</f>
        <v>3168.0000000000005</v>
      </c>
      <c r="AA5" s="91">
        <f>R8</f>
        <v>3160</v>
      </c>
      <c r="AB5" s="6">
        <f t="shared" si="0"/>
        <v>0.99747474747474729</v>
      </c>
    </row>
    <row r="6" spans="1:28" x14ac:dyDescent="0.25">
      <c r="A6" s="28" t="s">
        <v>34</v>
      </c>
      <c r="B6" s="41">
        <f>'[1]ITENS POR BOLETO'!$A$17</f>
        <v>3.11</v>
      </c>
      <c r="C6" s="11">
        <f>'[1]ITENS POR BOLETO'!$D$17</f>
        <v>2.7932960893854748</v>
      </c>
      <c r="D6" s="6">
        <f t="shared" si="1"/>
        <v>0.89816594514002412</v>
      </c>
      <c r="E6" s="17">
        <f t="shared" ref="E6:E21" si="6">B6</f>
        <v>3.11</v>
      </c>
      <c r="F6" s="11">
        <f>'[1]ITENS POR BOLETO'!$I$17</f>
        <v>2.9265255292652554</v>
      </c>
      <c r="G6" s="6">
        <f t="shared" si="2"/>
        <v>0.94100499333287957</v>
      </c>
      <c r="H6" s="17">
        <f t="shared" ref="H6:H21" si="7">E6</f>
        <v>3.11</v>
      </c>
      <c r="I6" s="11">
        <f>'[1]ITENS POR BOLETO'!$N$17</f>
        <v>3.0172661870503599</v>
      </c>
      <c r="J6" s="6">
        <f t="shared" si="3"/>
        <v>0.97018205371394217</v>
      </c>
      <c r="K6" s="17">
        <f t="shared" ref="K6:K21" si="8">H6</f>
        <v>3.11</v>
      </c>
      <c r="L6" s="11">
        <f>'[1]ITENS POR BOLETO'!$S$17</f>
        <v>3.0029154518950438</v>
      </c>
      <c r="M6" s="6">
        <f t="shared" si="4"/>
        <v>0.96556766941962824</v>
      </c>
      <c r="N6" s="17">
        <f t="shared" ref="N6:N21" si="9">K6</f>
        <v>3.11</v>
      </c>
      <c r="O6" s="11">
        <f>'[1]ITENS POR BOLETO'!$X$17</f>
        <v>2.8030112923462984</v>
      </c>
      <c r="P6" s="6">
        <f t="shared" si="5"/>
        <v>0.90128980461295771</v>
      </c>
      <c r="Q6" s="17">
        <f>B6</f>
        <v>3.11</v>
      </c>
      <c r="R6" s="11">
        <f>'[1]ITENS POR BOLETO'!$AC$17</f>
        <v>2.9243670886075948</v>
      </c>
      <c r="S6" s="6">
        <f t="shared" ref="S6:S24" si="10">R6/Q6</f>
        <v>0.94031096096707234</v>
      </c>
      <c r="Y6" s="93" t="s">
        <v>35</v>
      </c>
      <c r="Z6" s="93">
        <v>13</v>
      </c>
      <c r="AA6" s="93">
        <f>R17</f>
        <v>30</v>
      </c>
      <c r="AB6" s="99">
        <f t="shared" si="0"/>
        <v>2.3076923076923075</v>
      </c>
    </row>
    <row r="7" spans="1:28" x14ac:dyDescent="0.25">
      <c r="A7" s="29" t="s">
        <v>36</v>
      </c>
      <c r="B7" s="27">
        <f>'[1]PREÇO MÉDIO'!$A$17</f>
        <v>53.323794212218658</v>
      </c>
      <c r="C7" s="54">
        <f>'[1]PREÇO MÉDIO'!$D$17</f>
        <v>65.268559999999994</v>
      </c>
      <c r="D7" s="6">
        <f t="shared" si="1"/>
        <v>1.2240044236207839</v>
      </c>
      <c r="E7" s="27">
        <f t="shared" si="6"/>
        <v>53.323794212218658</v>
      </c>
      <c r="F7" s="12">
        <f>'[1]PREÇO MÉDIO'!$I$17</f>
        <v>56.974008510638306</v>
      </c>
      <c r="G7" s="6">
        <f t="shared" si="2"/>
        <v>1.0684537616339242</v>
      </c>
      <c r="H7" s="27">
        <f t="shared" si="7"/>
        <v>53.323794212218658</v>
      </c>
      <c r="I7" s="12">
        <f>'[1]PREÇO MÉDIO'!$N$17</f>
        <v>58.47377205531712</v>
      </c>
      <c r="J7" s="6">
        <f t="shared" si="3"/>
        <v>1.0965793585993246</v>
      </c>
      <c r="K7" s="27">
        <f t="shared" si="8"/>
        <v>53.323794212218658</v>
      </c>
      <c r="L7" s="12">
        <f>'[1]PREÇO MÉDIO'!$S$17</f>
        <v>58.402286407766994</v>
      </c>
      <c r="M7" s="6">
        <f t="shared" si="4"/>
        <v>1.0952387629308014</v>
      </c>
      <c r="N7" s="27">
        <f t="shared" si="9"/>
        <v>53.323794212218658</v>
      </c>
      <c r="O7" s="12">
        <f>'[1]PREÇO MÉDIO'!$X$17</f>
        <v>61.156553267681282</v>
      </c>
      <c r="P7" s="6">
        <f t="shared" si="5"/>
        <v>1.1468905049083664</v>
      </c>
      <c r="Q7" s="27">
        <f>B7</f>
        <v>53.323794212218658</v>
      </c>
      <c r="R7" s="12">
        <f>'[1]PREÇO MÉDIO'!$AC$17</f>
        <v>59.092646899686187</v>
      </c>
      <c r="S7" s="6">
        <f t="shared" si="10"/>
        <v>1.108185337759511</v>
      </c>
    </row>
    <row r="8" spans="1:28" x14ac:dyDescent="0.25">
      <c r="A8" s="28" t="s">
        <v>37</v>
      </c>
      <c r="B8" s="58">
        <f>[1]BOLETOS!$C$17</f>
        <v>223.55539305301647</v>
      </c>
      <c r="C8" s="10">
        <f>[1]BOLETOS!$D$17</f>
        <v>179</v>
      </c>
      <c r="D8" s="6">
        <f t="shared" si="1"/>
        <v>0.8006964070759407</v>
      </c>
      <c r="E8" s="58">
        <f>[1]BOLETOS!$H$17</f>
        <v>799.239488117002</v>
      </c>
      <c r="F8" s="10">
        <f>[1]BOLETOS!$I$17</f>
        <v>803</v>
      </c>
      <c r="G8" s="6">
        <f t="shared" si="2"/>
        <v>1.0047051127214168</v>
      </c>
      <c r="H8" s="58">
        <f>[1]BOLETOS!$M$17</f>
        <v>770.28153564899458</v>
      </c>
      <c r="I8" s="10">
        <f>[1]BOLETOS!$N$17</f>
        <v>695</v>
      </c>
      <c r="J8" s="6">
        <f t="shared" si="3"/>
        <v>0.90226750588592686</v>
      </c>
      <c r="K8" s="58">
        <f>[1]BOLETOS!$R$17</f>
        <v>710.04899451553933</v>
      </c>
      <c r="L8" s="10">
        <f>[1]BOLETOS!$S$17</f>
        <v>686</v>
      </c>
      <c r="M8" s="6">
        <f t="shared" si="4"/>
        <v>0.96613051394862159</v>
      </c>
      <c r="N8" s="58">
        <f>[1]BOLETOS!$W$17</f>
        <v>664.87458866544796</v>
      </c>
      <c r="O8" s="10">
        <f>[1]BOLETOS!$X$17</f>
        <v>797</v>
      </c>
      <c r="P8" s="6">
        <f t="shared" si="5"/>
        <v>1.1987223058107204</v>
      </c>
      <c r="Q8" s="51">
        <f>IF(O8 = 0, IF(L8 = 0, IF(I8 = 0, IF(F8 = 0, B8, SUM(B8, E8)), SUM(B8, E8, H8)), SUM(B8, E8, H8, K8)), SUM(B8, E8, H8, K8, N8))</f>
        <v>3168</v>
      </c>
      <c r="R8" s="59">
        <f>C8+F8+I8+L8+O8</f>
        <v>3160</v>
      </c>
      <c r="S8" s="6">
        <f t="shared" si="10"/>
        <v>0.99747474747474751</v>
      </c>
      <c r="W8" s="62">
        <f>N8+K8+H8+E8+B8</f>
        <v>3168.0000000000005</v>
      </c>
    </row>
    <row r="9" spans="1:28" x14ac:dyDescent="0.25">
      <c r="A9" s="18" t="s">
        <v>38</v>
      </c>
      <c r="B9" s="19">
        <v>0.34</v>
      </c>
      <c r="C9" s="5">
        <f>'[1]TAXA DE CONVERSÃO'!$D$17</f>
        <v>0.35099999999999998</v>
      </c>
      <c r="D9" s="6">
        <f>C9/B9</f>
        <v>1.0323529411764705</v>
      </c>
      <c r="E9" s="19">
        <f>Tabela124252627[[#This Row],[1° SEMANA ]]</f>
        <v>0.34</v>
      </c>
      <c r="F9" s="65">
        <f>'[1]TAXA DE CONVERSÃO'!$I$17</f>
        <v>0.378</v>
      </c>
      <c r="G9" s="6">
        <f>F9/E9</f>
        <v>1.1117647058823528</v>
      </c>
      <c r="H9" s="19">
        <f>Tabela124252627[[#This Row],[2° SEMANA ]]</f>
        <v>0.34</v>
      </c>
      <c r="I9" s="65">
        <f>'[1]TAXA DE CONVERSÃO'!$N$17</f>
        <v>0.34200000000000003</v>
      </c>
      <c r="J9" s="6">
        <f>I9/H9</f>
        <v>1.0058823529411764</v>
      </c>
      <c r="K9" s="19">
        <f>Tabela124252627[[#This Row],[3° SEMANA ]]</f>
        <v>0.34</v>
      </c>
      <c r="L9" s="65">
        <f>'[1]TAXA DE CONVERSÃO'!$S$17</f>
        <v>0.32700000000000001</v>
      </c>
      <c r="M9" s="6">
        <f>L9/K9</f>
        <v>0.96176470588235285</v>
      </c>
      <c r="N9" s="19">
        <f>Tabela124252627[[#This Row],[4° SEMANA ]]</f>
        <v>0.34</v>
      </c>
      <c r="O9" s="65">
        <f>'[1]TAXA DE CONVERSÃO'!$X$17</f>
        <v>0.32300000000000001</v>
      </c>
      <c r="P9" s="6">
        <f>O9/N9</f>
        <v>0.95</v>
      </c>
      <c r="Q9" s="19">
        <f>Tabela1[[#This Row],[5° SEMANA ]]</f>
        <v>0.34</v>
      </c>
      <c r="R9" s="65">
        <f t="shared" ref="R9:R16" si="11">O9</f>
        <v>0.32300000000000001</v>
      </c>
      <c r="S9" s="6">
        <f t="shared" si="10"/>
        <v>0.95</v>
      </c>
    </row>
    <row r="10" spans="1:28" ht="30" x14ac:dyDescent="0.25">
      <c r="A10" s="28" t="s">
        <v>39</v>
      </c>
      <c r="B10" s="19">
        <v>0.88</v>
      </c>
      <c r="C10" s="5">
        <f>'[1]PENETRAÇÃO D BOLETOS FIDELIDADE'!$D$18</f>
        <v>0.9143</v>
      </c>
      <c r="D10" s="6">
        <f t="shared" si="1"/>
        <v>1.0389772727272728</v>
      </c>
      <c r="E10" s="19">
        <f t="shared" si="6"/>
        <v>0.88</v>
      </c>
      <c r="F10" s="5">
        <f>'[1]PENETRAÇÃO D BOLETOS FIDELIDADE'!$I$18</f>
        <v>0.91090000000000004</v>
      </c>
      <c r="G10" s="6">
        <f t="shared" si="2"/>
        <v>1.0351136363636364</v>
      </c>
      <c r="H10" s="19">
        <f t="shared" si="7"/>
        <v>0.88</v>
      </c>
      <c r="I10" s="5">
        <f>'[1]PENETRAÇÃO D BOLETOS FIDELIDADE'!$N$18</f>
        <v>0.92510000000000003</v>
      </c>
      <c r="J10" s="6">
        <f t="shared" si="3"/>
        <v>1.05125</v>
      </c>
      <c r="K10" s="19">
        <f t="shared" si="8"/>
        <v>0.88</v>
      </c>
      <c r="L10" s="5">
        <f>'[1]PENETRAÇÃO D BOLETOS FIDELIDADE'!$S$18</f>
        <v>0.91659999999999997</v>
      </c>
      <c r="M10" s="6">
        <f t="shared" si="4"/>
        <v>1.041590909090909</v>
      </c>
      <c r="N10" s="19">
        <f t="shared" si="9"/>
        <v>0.88</v>
      </c>
      <c r="O10" s="5">
        <f>'[1]PENETRAÇÃO D BOLETOS FIDELIDADE'!$X$18</f>
        <v>0.90780000000000005</v>
      </c>
      <c r="P10" s="6">
        <f t="shared" si="5"/>
        <v>1.0315909090909092</v>
      </c>
      <c r="Q10" s="19">
        <f t="shared" ref="Q10:Q16" si="12">B10</f>
        <v>0.88</v>
      </c>
      <c r="R10" s="5">
        <f t="shared" si="11"/>
        <v>0.90780000000000005</v>
      </c>
      <c r="S10" s="6">
        <f t="shared" si="10"/>
        <v>1.0315909090909092</v>
      </c>
      <c r="U10" s="48"/>
    </row>
    <row r="11" spans="1:28" x14ac:dyDescent="0.25">
      <c r="A11" s="18" t="s">
        <v>40</v>
      </c>
      <c r="B11" s="21">
        <v>0.45</v>
      </c>
      <c r="C11" s="5">
        <f>'[1]RESGATE FIDELIDADE'!$D$17</f>
        <v>0.52500000000000002</v>
      </c>
      <c r="D11" s="6">
        <f t="shared" si="1"/>
        <v>1.1666666666666667</v>
      </c>
      <c r="E11" s="21">
        <f t="shared" si="6"/>
        <v>0.45</v>
      </c>
      <c r="F11" s="5">
        <f>'[1]RESGATE FIDELIDADE'!$I$17</f>
        <v>0.50639999999999996</v>
      </c>
      <c r="G11" s="6">
        <f t="shared" si="2"/>
        <v>1.1253333333333333</v>
      </c>
      <c r="H11" s="21">
        <f t="shared" si="7"/>
        <v>0.45</v>
      </c>
      <c r="I11" s="5">
        <f>'[1]RESGATE FIDELIDADE'!$N$17</f>
        <v>0.52890000000000004</v>
      </c>
      <c r="J11" s="6">
        <f t="shared" si="3"/>
        <v>1.1753333333333333</v>
      </c>
      <c r="K11" s="21">
        <f t="shared" si="8"/>
        <v>0.45</v>
      </c>
      <c r="L11" s="5">
        <f>'[1]RESGATE FIDELIDADE'!$S$17</f>
        <v>0.51749999999999996</v>
      </c>
      <c r="M11" s="6">
        <f t="shared" si="4"/>
        <v>1.1499999999999999</v>
      </c>
      <c r="N11" s="21">
        <f t="shared" si="9"/>
        <v>0.45</v>
      </c>
      <c r="O11" s="5">
        <f>'[1]RESGATE FIDELIDADE'!$X$17</f>
        <v>0.51219999999999999</v>
      </c>
      <c r="P11" s="6">
        <f t="shared" si="5"/>
        <v>1.1382222222222222</v>
      </c>
      <c r="Q11" s="21">
        <f t="shared" si="12"/>
        <v>0.45</v>
      </c>
      <c r="R11" s="5">
        <f t="shared" si="11"/>
        <v>0.51219999999999999</v>
      </c>
      <c r="S11" s="6">
        <f t="shared" si="10"/>
        <v>1.1382222222222222</v>
      </c>
    </row>
    <row r="12" spans="1:28" x14ac:dyDescent="0.25">
      <c r="A12" s="18" t="s">
        <v>41</v>
      </c>
      <c r="B12" s="21">
        <v>1.7000000000000001E-2</v>
      </c>
      <c r="C12" s="5">
        <f>'[1]GESTÃO CATEGORIAS LOJAS (SKIN)'!$D$17</f>
        <v>1.4500000000000001E-2</v>
      </c>
      <c r="D12" s="6">
        <f t="shared" si="1"/>
        <v>0.8529411764705882</v>
      </c>
      <c r="E12" s="21">
        <f t="shared" si="6"/>
        <v>1.7000000000000001E-2</v>
      </c>
      <c r="F12" s="5">
        <f>'[1]GESTÃO CATEGORIAS LOJAS (SKIN)'!$I$17</f>
        <v>2.4799999999999999E-2</v>
      </c>
      <c r="G12" s="6">
        <f t="shared" si="2"/>
        <v>1.4588235294117646</v>
      </c>
      <c r="H12" s="21">
        <f t="shared" si="7"/>
        <v>1.7000000000000001E-2</v>
      </c>
      <c r="I12" s="5">
        <f>'[1]GESTÃO CATEGORIAS LOJAS (SKIN)'!$N$17</f>
        <v>2.5600000000000001E-2</v>
      </c>
      <c r="J12" s="6">
        <f t="shared" si="3"/>
        <v>1.5058823529411764</v>
      </c>
      <c r="K12" s="21">
        <f t="shared" si="8"/>
        <v>1.7000000000000001E-2</v>
      </c>
      <c r="L12" s="5">
        <f>'[1]GESTÃO CATEGORIAS LOJAS (SKIN)'!$S$17</f>
        <v>2.46E-2</v>
      </c>
      <c r="M12" s="6">
        <f t="shared" si="4"/>
        <v>1.4470588235294117</v>
      </c>
      <c r="N12" s="21">
        <f t="shared" si="9"/>
        <v>1.7000000000000001E-2</v>
      </c>
      <c r="O12" s="5">
        <f>'[1]GESTÃO CATEGORIAS LOJAS (SKIN)'!$X$17</f>
        <v>2.24E-2</v>
      </c>
      <c r="P12" s="6">
        <f t="shared" si="5"/>
        <v>1.3176470588235294</v>
      </c>
      <c r="Q12" s="21">
        <f t="shared" si="12"/>
        <v>1.7000000000000001E-2</v>
      </c>
      <c r="R12" s="5">
        <f t="shared" si="11"/>
        <v>2.24E-2</v>
      </c>
      <c r="S12" s="6">
        <f t="shared" si="10"/>
        <v>1.3176470588235294</v>
      </c>
    </row>
    <row r="13" spans="1:28" x14ac:dyDescent="0.25">
      <c r="A13" s="18" t="s">
        <v>42</v>
      </c>
      <c r="B13" s="21">
        <v>0.27</v>
      </c>
      <c r="C13" s="5">
        <f>'[1]PENETRAÇÃO BP'!$D$17</f>
        <v>0.3</v>
      </c>
      <c r="D13" s="6">
        <f t="shared" si="1"/>
        <v>1.1111111111111109</v>
      </c>
      <c r="E13" s="21">
        <f t="shared" si="6"/>
        <v>0.27</v>
      </c>
      <c r="F13" s="5">
        <f>'[1]PENETRAÇÃO BP'!$I$17</f>
        <v>0.19620000000000001</v>
      </c>
      <c r="G13" s="6">
        <f t="shared" si="2"/>
        <v>0.72666666666666668</v>
      </c>
      <c r="H13" s="21">
        <f t="shared" si="7"/>
        <v>0.27</v>
      </c>
      <c r="I13" s="5">
        <f>'[1]PENETRAÇÃO BP'!$N$17</f>
        <v>0.23269999999999999</v>
      </c>
      <c r="J13" s="6">
        <f t="shared" si="3"/>
        <v>0.86185185185185176</v>
      </c>
      <c r="K13" s="21">
        <f t="shared" si="8"/>
        <v>0.27</v>
      </c>
      <c r="L13" s="5">
        <f>'[1]PENETRAÇÃO BP'!$S$17</f>
        <v>0.24210000000000001</v>
      </c>
      <c r="M13" s="6">
        <f t="shared" si="4"/>
        <v>0.89666666666666661</v>
      </c>
      <c r="N13" s="21">
        <f t="shared" si="9"/>
        <v>0.27</v>
      </c>
      <c r="O13" s="5">
        <f>'[1]PENETRAÇÃO BP'!$X$17</f>
        <v>0.24759999999999999</v>
      </c>
      <c r="P13" s="6">
        <f t="shared" si="5"/>
        <v>0.91703703703703687</v>
      </c>
      <c r="Q13" s="21">
        <f t="shared" si="12"/>
        <v>0.27</v>
      </c>
      <c r="R13" s="5">
        <f t="shared" si="11"/>
        <v>0.24759999999999999</v>
      </c>
      <c r="S13" s="6">
        <f t="shared" si="10"/>
        <v>0.91703703703703687</v>
      </c>
    </row>
    <row r="14" spans="1:28" x14ac:dyDescent="0.25">
      <c r="A14" s="28" t="s">
        <v>43</v>
      </c>
      <c r="B14" s="21">
        <v>0.22</v>
      </c>
      <c r="C14" s="5">
        <f>'[1]PENETRAÇÃO BT'!$D$17</f>
        <v>0.2291</v>
      </c>
      <c r="D14" s="6">
        <f t="shared" si="1"/>
        <v>1.0413636363636363</v>
      </c>
      <c r="E14" s="21">
        <f t="shared" si="6"/>
        <v>0.22</v>
      </c>
      <c r="F14" s="5">
        <f>'[1]PENETRAÇÃO BT'!$I$17</f>
        <v>0.24399999999999999</v>
      </c>
      <c r="G14" s="6">
        <f t="shared" si="2"/>
        <v>1.1090909090909091</v>
      </c>
      <c r="H14" s="21">
        <f t="shared" si="7"/>
        <v>0.22</v>
      </c>
      <c r="I14" s="5">
        <f>'[1]PENETRAÇÃO BT'!$N$17</f>
        <v>0.27160000000000001</v>
      </c>
      <c r="J14" s="6">
        <f t="shared" si="3"/>
        <v>1.2345454545454546</v>
      </c>
      <c r="K14" s="21">
        <f t="shared" si="8"/>
        <v>0.22</v>
      </c>
      <c r="L14" s="5">
        <f>'[1]PENETRAÇÃO BT'!$S$17</f>
        <v>0.27460000000000001</v>
      </c>
      <c r="M14" s="6">
        <f t="shared" si="4"/>
        <v>1.2481818181818183</v>
      </c>
      <c r="N14" s="21">
        <f t="shared" si="9"/>
        <v>0.22</v>
      </c>
      <c r="O14" s="5">
        <f>'[1]PENETRAÇÃO BT'!$X$17</f>
        <v>0.26200000000000001</v>
      </c>
      <c r="P14" s="6">
        <f t="shared" si="5"/>
        <v>1.1909090909090909</v>
      </c>
      <c r="Q14" s="21">
        <f t="shared" si="12"/>
        <v>0.22</v>
      </c>
      <c r="R14" s="5">
        <f t="shared" si="11"/>
        <v>0.26200000000000001</v>
      </c>
      <c r="S14" s="6">
        <f t="shared" si="10"/>
        <v>1.1909090909090909</v>
      </c>
    </row>
    <row r="15" spans="1:28" x14ac:dyDescent="0.25">
      <c r="A15" s="28" t="s">
        <v>44</v>
      </c>
      <c r="B15" s="22">
        <v>0.6</v>
      </c>
      <c r="C15" s="5">
        <f>'[1]ID DO CLIENTE'!$D$17</f>
        <v>0.79780000000000006</v>
      </c>
      <c r="D15" s="6">
        <f t="shared" si="1"/>
        <v>1.3296666666666668</v>
      </c>
      <c r="E15" s="22">
        <f t="shared" si="6"/>
        <v>0.6</v>
      </c>
      <c r="F15" s="5">
        <f>'[1]ID DO CLIENTE'!$I$17</f>
        <v>0.72150000000000003</v>
      </c>
      <c r="G15" s="6">
        <f t="shared" si="2"/>
        <v>1.2025000000000001</v>
      </c>
      <c r="H15" s="22">
        <f t="shared" si="7"/>
        <v>0.6</v>
      </c>
      <c r="I15" s="5">
        <f>'[1]ID DO CLIENTE'!$N$17</f>
        <v>0.71709999999999996</v>
      </c>
      <c r="J15" s="6">
        <f t="shared" si="3"/>
        <v>1.1951666666666667</v>
      </c>
      <c r="K15" s="22">
        <f t="shared" si="8"/>
        <v>0.6</v>
      </c>
      <c r="L15" s="5">
        <f>'[1]ID DO CLIENTE'!$S$17</f>
        <v>0.69019999999999992</v>
      </c>
      <c r="M15" s="6">
        <f t="shared" si="4"/>
        <v>1.1503333333333332</v>
      </c>
      <c r="N15" s="22">
        <f t="shared" si="9"/>
        <v>0.6</v>
      </c>
      <c r="O15" s="5">
        <f>'[1]ID DO CLIENTE'!$X$17</f>
        <v>0.6825</v>
      </c>
      <c r="P15" s="6">
        <f t="shared" si="5"/>
        <v>1.1375</v>
      </c>
      <c r="Q15" s="22">
        <f t="shared" si="12"/>
        <v>0.6</v>
      </c>
      <c r="R15" s="5">
        <f t="shared" si="11"/>
        <v>0.6825</v>
      </c>
      <c r="S15" s="6">
        <f t="shared" si="10"/>
        <v>1.1375</v>
      </c>
    </row>
    <row r="16" spans="1:28" x14ac:dyDescent="0.25">
      <c r="A16" s="28" t="s">
        <v>45</v>
      </c>
      <c r="B16" s="22">
        <v>0.98</v>
      </c>
      <c r="C16" s="55">
        <f>'[1]SEPARAÇÃO NO PRAZO C&amp;R'!$D$17</f>
        <v>1</v>
      </c>
      <c r="D16" s="6">
        <f t="shared" si="1"/>
        <v>1.0204081632653061</v>
      </c>
      <c r="E16" s="22">
        <f t="shared" si="6"/>
        <v>0.98</v>
      </c>
      <c r="F16" s="55">
        <f>'[1]SEPARAÇÃO NO PRAZO C&amp;R'!$I$17</f>
        <v>1</v>
      </c>
      <c r="G16" s="6">
        <f t="shared" si="2"/>
        <v>1.0204081632653061</v>
      </c>
      <c r="H16" s="22">
        <f t="shared" si="7"/>
        <v>0.98</v>
      </c>
      <c r="I16" s="55">
        <f>'[1]SEPARAÇÃO NO PRAZO C&amp;R'!$N$17</f>
        <v>1</v>
      </c>
      <c r="J16" s="6">
        <f t="shared" si="3"/>
        <v>1.0204081632653061</v>
      </c>
      <c r="K16" s="22">
        <f t="shared" si="8"/>
        <v>0.98</v>
      </c>
      <c r="L16" s="55">
        <f>'[1]SEPARAÇÃO NO PRAZO C&amp;R'!$S$17</f>
        <v>1</v>
      </c>
      <c r="M16" s="6">
        <f t="shared" si="4"/>
        <v>1.0204081632653061</v>
      </c>
      <c r="N16" s="22">
        <f t="shared" si="9"/>
        <v>0.98</v>
      </c>
      <c r="O16" s="55">
        <f>'[1]SEPARAÇÃO NO PRAZO C&amp;R'!$X$17</f>
        <v>1</v>
      </c>
      <c r="P16" s="6">
        <f t="shared" si="5"/>
        <v>1.0204081632653061</v>
      </c>
      <c r="Q16" s="22">
        <f t="shared" si="12"/>
        <v>0.98</v>
      </c>
      <c r="R16" s="5">
        <f t="shared" si="11"/>
        <v>1</v>
      </c>
      <c r="S16" s="6">
        <f t="shared" si="10"/>
        <v>1.0204081632653061</v>
      </c>
    </row>
    <row r="17" spans="1:19" ht="30" x14ac:dyDescent="0.25">
      <c r="A17" s="28" t="s">
        <v>46</v>
      </c>
      <c r="B17" s="23">
        <v>3</v>
      </c>
      <c r="C17" s="10">
        <f>'[1]Q° DE SERVIÇOS'!$D$15</f>
        <v>1</v>
      </c>
      <c r="D17" s="6">
        <f t="shared" si="1"/>
        <v>0.33333333333333331</v>
      </c>
      <c r="E17" s="23">
        <f t="shared" si="6"/>
        <v>3</v>
      </c>
      <c r="F17" s="10">
        <f>'[1]Q° DE SERVIÇOS'!$I$15</f>
        <v>0</v>
      </c>
      <c r="G17" s="6">
        <f t="shared" si="2"/>
        <v>0</v>
      </c>
      <c r="H17" s="23">
        <f t="shared" si="7"/>
        <v>3</v>
      </c>
      <c r="I17" s="10">
        <f>'[1]Q° DE SERVIÇOS'!$N$15</f>
        <v>1</v>
      </c>
      <c r="J17" s="6">
        <f t="shared" si="3"/>
        <v>0.33333333333333331</v>
      </c>
      <c r="K17" s="23">
        <v>2</v>
      </c>
      <c r="L17" s="10">
        <f>'[1]Q° DE SERVIÇOS'!$S$15</f>
        <v>9</v>
      </c>
      <c r="M17" s="6">
        <f t="shared" si="4"/>
        <v>4.5</v>
      </c>
      <c r="N17" s="23">
        <v>2</v>
      </c>
      <c r="O17" s="11">
        <f>'[1]Q° DE SERVIÇOS'!$X$15</f>
        <v>19</v>
      </c>
      <c r="P17" s="6">
        <f t="shared" si="5"/>
        <v>9.5</v>
      </c>
      <c r="Q17" s="78">
        <f>IF(O17 = 0, IF(L17 = 0, IF(I17 = 0, IF(F17 = 0, B17, SUM(B17, E17)), SUM(B17, E17, H17)), SUM(B17, E17, H17, K17)), SUM(B17, E17, H17, K17, N17))</f>
        <v>13</v>
      </c>
      <c r="R17" s="10">
        <f>C17+F17+I17+L17+O17</f>
        <v>30</v>
      </c>
      <c r="S17" s="6">
        <f t="shared" si="10"/>
        <v>2.3076923076923075</v>
      </c>
    </row>
    <row r="18" spans="1:19" x14ac:dyDescent="0.25">
      <c r="A18" s="28" t="s">
        <v>47</v>
      </c>
      <c r="B18" s="19">
        <v>0.25</v>
      </c>
      <c r="C18" s="9">
        <f>'[1]CONVERSÃO AÇÃO DE FLUXO'!$D$17</f>
        <v>0</v>
      </c>
      <c r="D18" s="6">
        <f t="shared" si="1"/>
        <v>0</v>
      </c>
      <c r="E18" s="19">
        <f t="shared" si="6"/>
        <v>0.25</v>
      </c>
      <c r="F18" s="9">
        <f>'[1]CONVERSÃO AÇÃO DE FLUXO'!$I$17</f>
        <v>0</v>
      </c>
      <c r="G18" s="6">
        <f t="shared" si="2"/>
        <v>0</v>
      </c>
      <c r="H18" s="19">
        <f t="shared" si="7"/>
        <v>0.25</v>
      </c>
      <c r="I18" s="9">
        <f>'[1]CONVERSÃO AÇÃO DE FLUXO'!$N$17</f>
        <v>0</v>
      </c>
      <c r="J18" s="6">
        <f t="shared" si="3"/>
        <v>0</v>
      </c>
      <c r="K18" s="19">
        <f t="shared" si="8"/>
        <v>0.25</v>
      </c>
      <c r="L18" s="9">
        <f>'[1]CONVERSÃO AÇÃO DE FLUXO'!$S$17</f>
        <v>0</v>
      </c>
      <c r="M18" s="6">
        <f t="shared" si="4"/>
        <v>0</v>
      </c>
      <c r="N18" s="19">
        <f t="shared" si="9"/>
        <v>0.25</v>
      </c>
      <c r="O18" s="9">
        <f>'[1]CONVERSÃO AÇÃO DE FLUXO'!$X$17</f>
        <v>0</v>
      </c>
      <c r="P18" s="6">
        <f t="shared" si="5"/>
        <v>0</v>
      </c>
      <c r="Q18" s="19">
        <f t="shared" ref="Q18:Q21" si="13">B18</f>
        <v>0.25</v>
      </c>
      <c r="R18" s="5">
        <f>O18</f>
        <v>0</v>
      </c>
      <c r="S18" s="6">
        <f t="shared" si="10"/>
        <v>0</v>
      </c>
    </row>
    <row r="19" spans="1:19" x14ac:dyDescent="0.25">
      <c r="A19" s="28" t="s">
        <v>48</v>
      </c>
      <c r="B19" s="19">
        <v>0.86099999999999999</v>
      </c>
      <c r="C19" s="5">
        <f>[1]NPS!$D$17</f>
        <v>0.33329999999999999</v>
      </c>
      <c r="D19" s="6">
        <f t="shared" si="1"/>
        <v>0.38710801393728222</v>
      </c>
      <c r="E19" s="19">
        <f t="shared" si="6"/>
        <v>0.86099999999999999</v>
      </c>
      <c r="F19" s="5">
        <f>[1]NPS!$I$17</f>
        <v>0.88890000000000002</v>
      </c>
      <c r="G19" s="6">
        <f t="shared" si="2"/>
        <v>1.0324041811846689</v>
      </c>
      <c r="H19" s="19">
        <f t="shared" si="7"/>
        <v>0.86099999999999999</v>
      </c>
      <c r="I19" s="5">
        <f>[1]NPS!$N$17</f>
        <v>0.91890000000000005</v>
      </c>
      <c r="J19" s="6">
        <f t="shared" si="3"/>
        <v>1.067247386759582</v>
      </c>
      <c r="K19" s="19">
        <f t="shared" si="8"/>
        <v>0.86099999999999999</v>
      </c>
      <c r="L19" s="5">
        <f>[1]NPS!$S$17</f>
        <v>0.88239999999999996</v>
      </c>
      <c r="M19" s="6">
        <f t="shared" si="4"/>
        <v>1.0248548199767711</v>
      </c>
      <c r="N19" s="19">
        <f t="shared" si="9"/>
        <v>0.86099999999999999</v>
      </c>
      <c r="O19" s="5">
        <f>[1]NPS!$X$17</f>
        <v>0.89190000000000003</v>
      </c>
      <c r="P19" s="6">
        <f t="shared" si="5"/>
        <v>1.0358885017421604</v>
      </c>
      <c r="Q19" s="19">
        <f t="shared" si="13"/>
        <v>0.86099999999999999</v>
      </c>
      <c r="R19" s="5">
        <f>O19</f>
        <v>0.89190000000000003</v>
      </c>
      <c r="S19" s="6">
        <f t="shared" si="10"/>
        <v>1.0358885017421604</v>
      </c>
    </row>
    <row r="20" spans="1:19" x14ac:dyDescent="0.25">
      <c r="A20" s="28" t="s">
        <v>49</v>
      </c>
      <c r="B20" s="22">
        <v>0.95</v>
      </c>
      <c r="C20" s="5">
        <f>'[1]LOJA DIGITAL ATIVO (BEXD)'!$D$17</f>
        <v>1</v>
      </c>
      <c r="D20" s="6">
        <f t="shared" si="1"/>
        <v>1.0526315789473684</v>
      </c>
      <c r="E20" s="22">
        <f t="shared" si="6"/>
        <v>0.95</v>
      </c>
      <c r="F20" s="5">
        <f>'[1]LOJA DIGITAL ATIVO (BEXD)'!$I$17</f>
        <v>1</v>
      </c>
      <c r="G20" s="6">
        <f t="shared" si="2"/>
        <v>1.0526315789473684</v>
      </c>
      <c r="H20" s="22">
        <f t="shared" si="7"/>
        <v>0.95</v>
      </c>
      <c r="I20" s="5">
        <f>'[1]LOJA DIGITAL ATIVO (BEXD)'!$N$17</f>
        <v>0.88069999999999993</v>
      </c>
      <c r="J20" s="6">
        <f t="shared" si="3"/>
        <v>0.92705263157894735</v>
      </c>
      <c r="K20" s="22">
        <f t="shared" si="8"/>
        <v>0.95</v>
      </c>
      <c r="L20" s="5">
        <f>'[1]LOJA DIGITAL ATIVO (BEXD)'!$S$17</f>
        <v>0.85159999999999991</v>
      </c>
      <c r="M20" s="6">
        <f t="shared" si="4"/>
        <v>0.8964210526315789</v>
      </c>
      <c r="N20" s="22">
        <f t="shared" si="9"/>
        <v>0.95</v>
      </c>
      <c r="O20" s="5">
        <f>'[1]LOJA DIGITAL ATIVO (BEXD)'!$X$17</f>
        <v>0.89290000000000003</v>
      </c>
      <c r="P20" s="6">
        <f t="shared" si="5"/>
        <v>0.93989473684210534</v>
      </c>
      <c r="Q20" s="22">
        <f t="shared" si="13"/>
        <v>0.95</v>
      </c>
      <c r="R20" s="5">
        <f>O20</f>
        <v>0.89290000000000003</v>
      </c>
      <c r="S20" s="6">
        <f t="shared" si="10"/>
        <v>0.93989473684210534</v>
      </c>
    </row>
    <row r="21" spans="1:19" x14ac:dyDescent="0.25">
      <c r="A21" s="28" t="s">
        <v>50</v>
      </c>
      <c r="B21" s="22">
        <v>0.85</v>
      </c>
      <c r="C21" s="49">
        <f>'[1]TREINAMENTOS FV (UB)'!$D$17</f>
        <v>0.8764044943820225</v>
      </c>
      <c r="D21" s="6">
        <f t="shared" si="1"/>
        <v>1.0310641110376735</v>
      </c>
      <c r="E21" s="22">
        <f t="shared" si="6"/>
        <v>0.85</v>
      </c>
      <c r="F21" s="49">
        <f>'[1]TREINAMENTOS FV (UB)'!$I$17</f>
        <v>0.8764044943820225</v>
      </c>
      <c r="G21" s="6">
        <f t="shared" si="2"/>
        <v>1.0310641110376735</v>
      </c>
      <c r="H21" s="22">
        <f t="shared" si="7"/>
        <v>0.85</v>
      </c>
      <c r="I21" s="70">
        <f>'[1]TREINAMENTOS FV (UB)'!$N$17</f>
        <v>0.8764044943820225</v>
      </c>
      <c r="J21" s="6">
        <f t="shared" si="3"/>
        <v>1.0310641110376735</v>
      </c>
      <c r="K21" s="22">
        <f t="shared" si="8"/>
        <v>0.85</v>
      </c>
      <c r="L21" s="70">
        <f>'[1]TREINAMENTOS FV (UB)'!$S$17</f>
        <v>0.87921348314606751</v>
      </c>
      <c r="M21" s="6">
        <f t="shared" si="4"/>
        <v>1.0343688037012559</v>
      </c>
      <c r="N21" s="22">
        <f t="shared" si="9"/>
        <v>0.85</v>
      </c>
      <c r="O21" s="70">
        <f>'[1]TREINAMENTOS FV (UB)'!$X$17</f>
        <v>0.90064102564102566</v>
      </c>
      <c r="P21" s="6">
        <f t="shared" si="5"/>
        <v>1.0595776772247361</v>
      </c>
      <c r="Q21" s="22">
        <f t="shared" si="13"/>
        <v>0.85</v>
      </c>
      <c r="R21" s="5">
        <f>O21</f>
        <v>0.90064102564102566</v>
      </c>
      <c r="S21" s="6">
        <f t="shared" si="10"/>
        <v>1.0595776772247361</v>
      </c>
    </row>
    <row r="22" spans="1:19" hidden="1" x14ac:dyDescent="0.25">
      <c r="A22" s="28" t="s">
        <v>51</v>
      </c>
      <c r="B22" s="24"/>
      <c r="C22" s="10"/>
      <c r="D22" s="6" t="e">
        <f t="shared" si="1"/>
        <v>#DIV/0!</v>
      </c>
      <c r="E22" s="24"/>
      <c r="F22" s="10"/>
      <c r="G22" s="6" t="e">
        <f t="shared" si="2"/>
        <v>#DIV/0!</v>
      </c>
      <c r="H22" s="24"/>
      <c r="I22" s="10"/>
      <c r="J22" s="6" t="e">
        <f t="shared" si="3"/>
        <v>#DIV/0!</v>
      </c>
      <c r="K22" s="24"/>
      <c r="L22" s="10"/>
      <c r="M22" s="6" t="e">
        <f t="shared" si="4"/>
        <v>#DIV/0!</v>
      </c>
      <c r="N22" s="24"/>
      <c r="O22" s="10"/>
      <c r="P22" s="6" t="e">
        <f t="shared" si="5"/>
        <v>#DIV/0!</v>
      </c>
      <c r="Q22" s="23">
        <v>7</v>
      </c>
      <c r="R22" s="10"/>
      <c r="S22" s="6" t="e">
        <f>Q22/R22</f>
        <v>#DIV/0!</v>
      </c>
    </row>
    <row r="23" spans="1:19" ht="14.25" hidden="1" customHeight="1" x14ac:dyDescent="0.25">
      <c r="A23" s="28" t="s">
        <v>52</v>
      </c>
      <c r="B23" s="22"/>
      <c r="C23" s="10"/>
      <c r="D23" s="6" t="e">
        <f t="shared" si="1"/>
        <v>#DIV/0!</v>
      </c>
      <c r="E23" s="22"/>
      <c r="F23" s="10"/>
      <c r="G23" s="6" t="e">
        <f t="shared" si="2"/>
        <v>#DIV/0!</v>
      </c>
      <c r="H23" s="22"/>
      <c r="I23" s="10"/>
      <c r="J23" s="6" t="e">
        <f>H23/I23</f>
        <v>#DIV/0!</v>
      </c>
      <c r="K23" s="22"/>
      <c r="L23" s="10"/>
      <c r="M23" s="6" t="e">
        <f>K23/L23</f>
        <v>#DIV/0!</v>
      </c>
      <c r="N23" s="22"/>
      <c r="O23" s="10"/>
      <c r="P23" s="6" t="e">
        <f>N23/O23</f>
        <v>#DIV/0!</v>
      </c>
      <c r="Q23" s="22">
        <v>1.7000000000000001E-2</v>
      </c>
      <c r="R23" s="5"/>
      <c r="S23" s="6" t="e">
        <f>Q23/R23</f>
        <v>#DIV/0!</v>
      </c>
    </row>
    <row r="24" spans="1:19" hidden="1" x14ac:dyDescent="0.25">
      <c r="A24" s="28" t="s">
        <v>53</v>
      </c>
      <c r="B24" s="22"/>
      <c r="C24" s="25"/>
      <c r="D24" s="6" t="e">
        <f t="shared" si="1"/>
        <v>#DIV/0!</v>
      </c>
      <c r="E24" s="22"/>
      <c r="F24" s="25"/>
      <c r="G24" s="6" t="e">
        <f t="shared" si="2"/>
        <v>#DIV/0!</v>
      </c>
      <c r="H24" s="22"/>
      <c r="I24" s="25"/>
      <c r="J24" s="6" t="e">
        <f t="shared" si="3"/>
        <v>#DIV/0!</v>
      </c>
      <c r="K24" s="22"/>
      <c r="L24" s="25"/>
      <c r="M24" s="6" t="e">
        <f t="shared" si="4"/>
        <v>#DIV/0!</v>
      </c>
      <c r="N24" s="22"/>
      <c r="O24" s="25"/>
      <c r="P24" s="6" t="e">
        <f t="shared" si="5"/>
        <v>#DIV/0!</v>
      </c>
      <c r="Q24" s="22"/>
      <c r="R24" s="12"/>
      <c r="S24" s="6" t="e">
        <f t="shared" si="10"/>
        <v>#DIV/0!</v>
      </c>
    </row>
    <row r="25" spans="1:19" hidden="1" x14ac:dyDescent="0.25">
      <c r="C25" s="48"/>
    </row>
  </sheetData>
  <mergeCells count="7">
    <mergeCell ref="Y1:AB1"/>
    <mergeCell ref="Q1:S1"/>
    <mergeCell ref="B1:D1"/>
    <mergeCell ref="E1:G1"/>
    <mergeCell ref="H1:J1"/>
    <mergeCell ref="K1:M1"/>
    <mergeCell ref="N1:P1"/>
  </mergeCells>
  <phoneticPr fontId="9" type="noConversion"/>
  <conditionalFormatting sqref="D4:D24">
    <cfRule type="cellIs" dxfId="131" priority="40" operator="between">
      <formula>1</formula>
      <formula>1.1999</formula>
    </cfRule>
    <cfRule type="containsText" dxfId="130" priority="38" operator="containsText" text="-">
      <formula>NOT(ISERROR(SEARCH("-",D4)))</formula>
    </cfRule>
    <cfRule type="containsErrors" dxfId="129" priority="37">
      <formula>ISERROR(D4)</formula>
    </cfRule>
    <cfRule type="cellIs" dxfId="128" priority="39" operator="greaterThan">
      <formula>1.2</formula>
    </cfRule>
    <cfRule type="cellIs" dxfId="127" priority="42" operator="between">
      <formula>0</formula>
      <formula>0.7999</formula>
    </cfRule>
    <cfRule type="cellIs" dxfId="126" priority="41" operator="between">
      <formula>0.8</formula>
      <formula>0.9999</formula>
    </cfRule>
  </conditionalFormatting>
  <conditionalFormatting sqref="G4:G24">
    <cfRule type="cellIs" dxfId="125" priority="30" operator="between">
      <formula>0</formula>
      <formula>0.7999</formula>
    </cfRule>
    <cfRule type="cellIs" dxfId="124" priority="28" operator="between">
      <formula>1</formula>
      <formula>1.1999</formula>
    </cfRule>
    <cfRule type="cellIs" dxfId="123" priority="29" operator="between">
      <formula>0.8</formula>
      <formula>0.9999</formula>
    </cfRule>
    <cfRule type="containsErrors" dxfId="122" priority="25">
      <formula>ISERROR(G4)</formula>
    </cfRule>
    <cfRule type="containsText" dxfId="121" priority="26" operator="containsText" text="-">
      <formula>NOT(ISERROR(SEARCH("-",G4)))</formula>
    </cfRule>
    <cfRule type="cellIs" dxfId="120" priority="27" operator="greaterThan">
      <formula>1.2</formula>
    </cfRule>
  </conditionalFormatting>
  <conditionalFormatting sqref="J4:J24">
    <cfRule type="cellIs" dxfId="119" priority="63" operator="greaterThan">
      <formula>1.2</formula>
    </cfRule>
    <cfRule type="cellIs" dxfId="118" priority="64" operator="between">
      <formula>1</formula>
      <formula>1.1999</formula>
    </cfRule>
    <cfRule type="cellIs" dxfId="117" priority="65" operator="between">
      <formula>0.8</formula>
      <formula>0.9999</formula>
    </cfRule>
    <cfRule type="cellIs" dxfId="116" priority="66" operator="between">
      <formula>0</formula>
      <formula>0.7999</formula>
    </cfRule>
    <cfRule type="containsErrors" dxfId="115" priority="61">
      <formula>ISERROR(J4)</formula>
    </cfRule>
    <cfRule type="containsText" dxfId="114" priority="62" operator="containsText" text="-">
      <formula>NOT(ISERROR(SEARCH("-",J4)))</formula>
    </cfRule>
  </conditionalFormatting>
  <conditionalFormatting sqref="M4:M24">
    <cfRule type="containsErrors" dxfId="113" priority="55">
      <formula>ISERROR(M4)</formula>
    </cfRule>
    <cfRule type="cellIs" dxfId="112" priority="57" operator="greaterThan">
      <formula>1.2</formula>
    </cfRule>
    <cfRule type="cellIs" dxfId="111" priority="58" operator="between">
      <formula>1</formula>
      <formula>1.1999</formula>
    </cfRule>
    <cfRule type="cellIs" dxfId="110" priority="59" operator="between">
      <formula>0.8</formula>
      <formula>0.9999</formula>
    </cfRule>
    <cfRule type="cellIs" dxfId="109" priority="60" operator="between">
      <formula>0</formula>
      <formula>0.7999</formula>
    </cfRule>
    <cfRule type="containsText" dxfId="108" priority="56" operator="containsText" text="-">
      <formula>NOT(ISERROR(SEARCH("-",M4)))</formula>
    </cfRule>
  </conditionalFormatting>
  <conditionalFormatting sqref="P4:P24">
    <cfRule type="containsErrors" dxfId="107" priority="19">
      <formula>ISERROR(P4)</formula>
    </cfRule>
    <cfRule type="cellIs" dxfId="106" priority="24" operator="between">
      <formula>0</formula>
      <formula>0.7999</formula>
    </cfRule>
    <cfRule type="cellIs" dxfId="105" priority="22" operator="between">
      <formula>1</formula>
      <formula>1.1999</formula>
    </cfRule>
    <cfRule type="cellIs" dxfId="104" priority="21" operator="greaterThan">
      <formula>1.2</formula>
    </cfRule>
    <cfRule type="containsText" dxfId="103" priority="20" operator="containsText" text="-">
      <formula>NOT(ISERROR(SEARCH("-",P4)))</formula>
    </cfRule>
    <cfRule type="cellIs" dxfId="102" priority="23" operator="between">
      <formula>0.8</formula>
      <formula>0.9999</formula>
    </cfRule>
  </conditionalFormatting>
  <conditionalFormatting sqref="S4:S24">
    <cfRule type="cellIs" dxfId="101" priority="17" operator="between">
      <formula>0.8</formula>
      <formula>0.9999</formula>
    </cfRule>
    <cfRule type="containsErrors" dxfId="100" priority="13">
      <formula>ISERROR(S4)</formula>
    </cfRule>
    <cfRule type="containsText" dxfId="99" priority="14" operator="containsText" text="-">
      <formula>NOT(ISERROR(SEARCH("-",S4)))</formula>
    </cfRule>
    <cfRule type="cellIs" dxfId="98" priority="15" operator="greaterThan">
      <formula>1.2</formula>
    </cfRule>
    <cfRule type="cellIs" dxfId="97" priority="16" operator="between">
      <formula>1</formula>
      <formula>1.1999</formula>
    </cfRule>
    <cfRule type="cellIs" dxfId="96" priority="18" operator="between">
      <formula>0</formula>
      <formula>0.7999</formula>
    </cfRule>
  </conditionalFormatting>
  <conditionalFormatting sqref="AB3:AB6">
    <cfRule type="containsText" dxfId="95" priority="2" operator="containsText" text="-">
      <formula>NOT(ISERROR(SEARCH("-",AB3)))</formula>
    </cfRule>
    <cfRule type="cellIs" dxfId="94" priority="3" operator="greaterThan">
      <formula>1.2</formula>
    </cfRule>
    <cfRule type="cellIs" dxfId="93" priority="4" operator="between">
      <formula>1</formula>
      <formula>1.1999</formula>
    </cfRule>
    <cfRule type="cellIs" dxfId="92" priority="5" operator="between">
      <formula>0.8</formula>
      <formula>0.9999</formula>
    </cfRule>
    <cfRule type="cellIs" dxfId="91" priority="6" operator="between">
      <formula>0</formula>
      <formula>0.7999</formula>
    </cfRule>
    <cfRule type="containsErrors" dxfId="90" priority="1">
      <formula>ISERROR(AB3)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40784-1FF8-4FF1-94F8-E9A06B2BC155}">
  <sheetPr>
    <tabColor rgb="FF00B0F0"/>
  </sheetPr>
  <dimension ref="A1:AB25"/>
  <sheetViews>
    <sheetView zoomScaleNormal="100" workbookViewId="0">
      <selection activeCell="B1" sqref="B1:S1"/>
    </sheetView>
  </sheetViews>
  <sheetFormatPr defaultColWidth="9.140625" defaultRowHeight="15" x14ac:dyDescent="0.25"/>
  <cols>
    <col min="1" max="1" width="30.28515625" style="79" customWidth="1"/>
    <col min="2" max="2" width="14.7109375" style="2" customWidth="1"/>
    <col min="3" max="3" width="14.140625" style="2" customWidth="1"/>
    <col min="4" max="4" width="14.42578125" style="2" customWidth="1"/>
    <col min="5" max="5" width="13.42578125" style="2" customWidth="1"/>
    <col min="6" max="6" width="15.7109375" style="2" customWidth="1"/>
    <col min="7" max="7" width="9.140625" style="2" customWidth="1"/>
    <col min="8" max="8" width="14.85546875" style="2" customWidth="1"/>
    <col min="9" max="9" width="17.140625" style="2" customWidth="1"/>
    <col min="10" max="10" width="13.5703125" style="2" customWidth="1"/>
    <col min="11" max="11" width="15.42578125" style="2" customWidth="1"/>
    <col min="12" max="12" width="16.140625" style="2" customWidth="1"/>
    <col min="13" max="13" width="12.28515625" style="2" customWidth="1"/>
    <col min="14" max="14" width="15.140625" style="2" customWidth="1"/>
    <col min="15" max="15" width="15.5703125" style="2" bestFit="1" customWidth="1"/>
    <col min="16" max="16" width="12.42578125" style="2" customWidth="1"/>
    <col min="17" max="17" width="16.140625" style="2" customWidth="1"/>
    <col min="18" max="18" width="16.85546875" style="2" customWidth="1"/>
    <col min="19" max="19" width="11.5703125" style="2" customWidth="1"/>
    <col min="20" max="21" width="14.42578125" style="2" customWidth="1"/>
    <col min="22" max="22" width="3.7109375" style="2" customWidth="1"/>
    <col min="23" max="23" width="14.42578125" style="2" customWidth="1"/>
    <col min="24" max="24" width="9.140625" style="2" customWidth="1"/>
    <col min="25" max="25" width="18.140625" style="2" bestFit="1" customWidth="1"/>
    <col min="26" max="26" width="18.28515625" style="2" customWidth="1"/>
    <col min="27" max="27" width="15" style="2" customWidth="1"/>
    <col min="28" max="28" width="16.85546875" style="2" customWidth="1"/>
    <col min="29" max="16384" width="9.140625" style="2"/>
  </cols>
  <sheetData>
    <row r="1" spans="1:28" ht="35.25" customHeight="1" x14ac:dyDescent="0.25">
      <c r="B1" s="113" t="s">
        <v>114</v>
      </c>
      <c r="C1" s="113"/>
      <c r="D1" s="113"/>
      <c r="E1" s="113" t="s">
        <v>115</v>
      </c>
      <c r="F1" s="113"/>
      <c r="G1" s="113"/>
      <c r="H1" s="113" t="s">
        <v>116</v>
      </c>
      <c r="I1" s="113"/>
      <c r="J1" s="113"/>
      <c r="K1" s="113" t="s">
        <v>117</v>
      </c>
      <c r="L1" s="113"/>
      <c r="M1" s="113"/>
      <c r="N1" s="113" t="s">
        <v>118</v>
      </c>
      <c r="O1" s="113"/>
      <c r="P1" s="113"/>
      <c r="Q1" s="110" t="s">
        <v>1</v>
      </c>
      <c r="R1" s="111"/>
      <c r="S1" s="112"/>
      <c r="Y1" s="109" t="s">
        <v>2</v>
      </c>
      <c r="Z1" s="109"/>
      <c r="AA1" s="109"/>
      <c r="AB1" s="109"/>
    </row>
    <row r="2" spans="1:28" ht="45" x14ac:dyDescent="0.25">
      <c r="A2" s="15" t="s">
        <v>74</v>
      </c>
      <c r="B2" s="16" t="s">
        <v>4</v>
      </c>
      <c r="C2" s="16" t="s">
        <v>5</v>
      </c>
      <c r="D2" s="16" t="s">
        <v>6</v>
      </c>
      <c r="E2" s="16" t="s">
        <v>7</v>
      </c>
      <c r="F2" s="16" t="s">
        <v>8</v>
      </c>
      <c r="G2" s="16" t="s">
        <v>9</v>
      </c>
      <c r="H2" s="16" t="s">
        <v>10</v>
      </c>
      <c r="I2" s="16" t="s">
        <v>11</v>
      </c>
      <c r="J2" s="16" t="s">
        <v>12</v>
      </c>
      <c r="K2" s="16" t="s">
        <v>13</v>
      </c>
      <c r="L2" s="16" t="s">
        <v>14</v>
      </c>
      <c r="M2" s="16" t="s">
        <v>15</v>
      </c>
      <c r="N2" s="16" t="s">
        <v>16</v>
      </c>
      <c r="O2" s="16" t="s">
        <v>17</v>
      </c>
      <c r="P2" s="16" t="s">
        <v>18</v>
      </c>
      <c r="Q2" s="16" t="s">
        <v>19</v>
      </c>
      <c r="R2" s="16" t="s">
        <v>20</v>
      </c>
      <c r="S2" s="16" t="s">
        <v>21</v>
      </c>
      <c r="Y2" s="17" t="s">
        <v>22</v>
      </c>
      <c r="Z2" s="17" t="s">
        <v>23</v>
      </c>
      <c r="AA2" s="92" t="s">
        <v>24</v>
      </c>
      <c r="AB2" s="92" t="s">
        <v>25</v>
      </c>
    </row>
    <row r="3" spans="1:28" x14ac:dyDescent="0.25">
      <c r="A3" s="73"/>
      <c r="B3" s="17" t="s">
        <v>26</v>
      </c>
      <c r="C3" s="10" t="s">
        <v>27</v>
      </c>
      <c r="D3" s="17" t="s">
        <v>28</v>
      </c>
      <c r="E3" s="17" t="s">
        <v>26</v>
      </c>
      <c r="F3" s="10" t="s">
        <v>27</v>
      </c>
      <c r="G3" s="17" t="s">
        <v>28</v>
      </c>
      <c r="H3" s="17" t="s">
        <v>26</v>
      </c>
      <c r="I3" s="10" t="s">
        <v>27</v>
      </c>
      <c r="J3" s="17" t="s">
        <v>28</v>
      </c>
      <c r="K3" s="17" t="s">
        <v>26</v>
      </c>
      <c r="L3" s="10" t="s">
        <v>27</v>
      </c>
      <c r="M3" s="17" t="s">
        <v>28</v>
      </c>
      <c r="N3" s="17" t="s">
        <v>26</v>
      </c>
      <c r="O3" s="10" t="s">
        <v>27</v>
      </c>
      <c r="P3" s="17" t="s">
        <v>28</v>
      </c>
      <c r="Q3" s="17" t="s">
        <v>26</v>
      </c>
      <c r="R3" s="10" t="s">
        <v>27</v>
      </c>
      <c r="S3" s="26" t="s">
        <v>28</v>
      </c>
      <c r="Y3" s="14" t="s">
        <v>29</v>
      </c>
      <c r="Z3" s="56">
        <f>[1]RECEITA!$AF$23</f>
        <v>270900.39</v>
      </c>
      <c r="AA3" s="90">
        <f>R4</f>
        <v>256190.05999999997</v>
      </c>
      <c r="AB3" s="6">
        <f>AA3/Z3</f>
        <v>0.94569838013153085</v>
      </c>
    </row>
    <row r="4" spans="1:28" ht="30" x14ac:dyDescent="0.25">
      <c r="A4" s="28" t="s">
        <v>30</v>
      </c>
      <c r="B4" s="20">
        <f>[1]RECEITA!$B$23</f>
        <v>21294.008393360324</v>
      </c>
      <c r="C4" s="12">
        <f>[1]RECEITA!$D$23</f>
        <v>8614.9599999999991</v>
      </c>
      <c r="D4" s="6">
        <f>C4/B4</f>
        <v>0.40457202048845942</v>
      </c>
      <c r="E4" s="20">
        <f>[1]RECEITA!$H$23</f>
        <v>58492.784343809166</v>
      </c>
      <c r="F4" s="12">
        <f>[1]RECEITA!$J$23</f>
        <v>69968.429999999993</v>
      </c>
      <c r="G4" s="6">
        <f>F4/E4</f>
        <v>1.1961890818658798</v>
      </c>
      <c r="H4" s="20">
        <f>[1]RECEITA!$N$23</f>
        <v>62845.37444094348</v>
      </c>
      <c r="I4" s="12">
        <f>[1]RECEITA!$P$23</f>
        <v>57806.720000000001</v>
      </c>
      <c r="J4" s="6">
        <f>I4/H4</f>
        <v>0.91982457761185976</v>
      </c>
      <c r="K4" s="20">
        <f>[1]RECEITA!$T$23</f>
        <v>66689.360781002673</v>
      </c>
      <c r="L4" s="12">
        <f>[1]RECEITA!$V$23</f>
        <v>47165.53</v>
      </c>
      <c r="M4" s="6">
        <f>L4/K4</f>
        <v>0.70724219647095055</v>
      </c>
      <c r="N4" s="20">
        <f>[1]RECEITA!$Z$23</f>
        <v>61578.862040884407</v>
      </c>
      <c r="O4" s="12">
        <f>[1]RECEITA!$AB$23</f>
        <v>72634.42</v>
      </c>
      <c r="P4" s="6">
        <f>O4/N4</f>
        <v>1.1795349506747204</v>
      </c>
      <c r="Q4" s="20">
        <f>IF(O4 = 0, IF(L4 = 0, IF(I4 = 0, IF(F4 = 0, B4, SUM(B4, E4)), SUM(B4, E4, H4)), SUM(B4, E4, H4, K4)), SUM(B4, E4, H4, K4, N4))</f>
        <v>270900.39</v>
      </c>
      <c r="R4" s="52">
        <f>O4+L4+I4+F4+C4</f>
        <v>256190.05999999997</v>
      </c>
      <c r="S4" s="6">
        <f>R4/Q4</f>
        <v>0.94569838013153085</v>
      </c>
      <c r="W4" s="61">
        <f>Tabela12425262728[[#This Row],[5° SEMANA ]]+Tabela12425262728[[#This Row],[4° SEMANA ]]+Tabela12425262728[[#This Row],[3° SEMANA ]]+Tabela12425262728[[#This Row],[2° SEMANA ]]+Tabela12425262728[[#This Row],[1° SEMANA ]]</f>
        <v>270900.39</v>
      </c>
      <c r="X4" s="47"/>
      <c r="Y4" s="14" t="s">
        <v>31</v>
      </c>
      <c r="Z4" s="56">
        <f>Z3/Z5</f>
        <v>127.48253647058824</v>
      </c>
      <c r="AA4" s="90">
        <f>R5</f>
        <v>151.14457817109144</v>
      </c>
      <c r="AB4" s="6">
        <f t="shared" ref="AB4:AB6" si="0">AA4/Z4</f>
        <v>1.1856100635867275</v>
      </c>
    </row>
    <row r="5" spans="1:28" x14ac:dyDescent="0.25">
      <c r="A5" s="28" t="s">
        <v>32</v>
      </c>
      <c r="B5" s="20">
        <f>B4/B8</f>
        <v>139.16920036651283</v>
      </c>
      <c r="C5" s="7">
        <f>'[1]VENDA MÉDIA'!$D$23</f>
        <v>151.13964912280701</v>
      </c>
      <c r="D5" s="6">
        <f t="shared" ref="D5:D24" si="1">C5/B5</f>
        <v>1.0860136346603206</v>
      </c>
      <c r="E5" s="20">
        <f>E4/E8</f>
        <v>110.05193204080315</v>
      </c>
      <c r="F5" s="7">
        <f>'[1]VENDA MÉDIA'!$I$23</f>
        <v>153.77676923076922</v>
      </c>
      <c r="G5" s="6">
        <f t="shared" ref="G5:G24" si="2">F5/E5</f>
        <v>1.3973109456520447</v>
      </c>
      <c r="H5" s="20">
        <f>H4/H8</f>
        <v>121.22589189704782</v>
      </c>
      <c r="I5" s="7">
        <f>'[1]VENDA MÉDIA'!$N$23</f>
        <v>151.32649214659685</v>
      </c>
      <c r="J5" s="6">
        <f t="shared" ref="J5:J22" si="3">I5/H5</f>
        <v>1.2483017429569603</v>
      </c>
      <c r="K5" s="20">
        <f>K4/K8</f>
        <v>136.03695191080726</v>
      </c>
      <c r="L5" s="7">
        <f>'[1]VENDA MÉDIA'!$S$23</f>
        <v>142.49404833836857</v>
      </c>
      <c r="M5" s="6">
        <f t="shared" ref="M5:M22" si="4">L5/K5</f>
        <v>1.0474657535093472</v>
      </c>
      <c r="N5" s="20">
        <f>N4/N8</f>
        <v>142.59479256087425</v>
      </c>
      <c r="O5" s="7">
        <f>'[1]VENDA MÉDIA'!$X$23</f>
        <v>154.54131914893617</v>
      </c>
      <c r="P5" s="6">
        <f t="shared" ref="P5:P22" si="5">O5/N5</f>
        <v>1.0837795432323512</v>
      </c>
      <c r="Q5" s="60">
        <f>Q4/Q8</f>
        <v>127.48253647058824</v>
      </c>
      <c r="R5" s="8">
        <f>R4/R8</f>
        <v>151.14457817109144</v>
      </c>
      <c r="S5" s="6">
        <f t="shared" ref="S5:S24" si="6">R5/Q5</f>
        <v>1.1856100635867275</v>
      </c>
      <c r="Y5" s="14" t="s">
        <v>33</v>
      </c>
      <c r="Z5" s="14">
        <f>[1]BOLETOS!$AB$22</f>
        <v>2125</v>
      </c>
      <c r="AA5" s="91">
        <f>R8</f>
        <v>1695</v>
      </c>
      <c r="AB5" s="6">
        <f t="shared" si="0"/>
        <v>0.79764705882352938</v>
      </c>
    </row>
    <row r="6" spans="1:28" x14ac:dyDescent="0.25">
      <c r="A6" s="28" t="s">
        <v>34</v>
      </c>
      <c r="B6" s="41">
        <f>'[1]ITENS POR BOLETO'!$A$22</f>
        <v>2.25</v>
      </c>
      <c r="C6" s="11">
        <f>'[1]ITENS POR BOLETO'!$D$22</f>
        <v>2.3157894736842106</v>
      </c>
      <c r="D6" s="6">
        <f t="shared" si="1"/>
        <v>1.0292397660818713</v>
      </c>
      <c r="E6" s="41">
        <f t="shared" ref="E6:E21" si="7">B6</f>
        <v>2.25</v>
      </c>
      <c r="F6" s="11">
        <f>'[1]ITENS POR BOLETO'!$I$22</f>
        <v>2.7252747252747254</v>
      </c>
      <c r="G6" s="6">
        <f t="shared" si="2"/>
        <v>1.2112332112332114</v>
      </c>
      <c r="H6" s="41">
        <f t="shared" ref="H6:H21" si="8">E6</f>
        <v>2.25</v>
      </c>
      <c r="I6" s="11">
        <f>'[1]ITENS POR BOLETO'!$N$22</f>
        <v>2.8455497382198951</v>
      </c>
      <c r="J6" s="6">
        <f t="shared" si="3"/>
        <v>1.2646887725421756</v>
      </c>
      <c r="K6" s="41">
        <f t="shared" ref="K6:K21" si="9">H6</f>
        <v>2.25</v>
      </c>
      <c r="L6" s="11">
        <f>'[1]ITENS POR BOLETO'!$S$22</f>
        <v>2.7794561933534743</v>
      </c>
      <c r="M6" s="63">
        <f t="shared" si="4"/>
        <v>1.2353138637126553</v>
      </c>
      <c r="N6" s="41">
        <f t="shared" ref="N6:N21" si="10">K6</f>
        <v>2.25</v>
      </c>
      <c r="O6" s="11">
        <f>'[1]ITENS POR BOLETO'!$X$22</f>
        <v>2.8170212765957445</v>
      </c>
      <c r="P6" s="63">
        <f t="shared" si="5"/>
        <v>1.2520094562647754</v>
      </c>
      <c r="Q6" s="17">
        <f>B6</f>
        <v>2.25</v>
      </c>
      <c r="R6" s="11">
        <f>'[1]ITENS POR BOLETO'!$AC$22</f>
        <v>2.7746312684365781</v>
      </c>
      <c r="S6" s="6">
        <f t="shared" si="6"/>
        <v>1.2331694526384791</v>
      </c>
      <c r="Y6" s="93" t="s">
        <v>35</v>
      </c>
      <c r="Z6" s="93">
        <v>13</v>
      </c>
      <c r="AA6" s="93">
        <f>R17</f>
        <v>24</v>
      </c>
      <c r="AB6" s="99">
        <f t="shared" si="0"/>
        <v>1.8461538461538463</v>
      </c>
    </row>
    <row r="7" spans="1:28" x14ac:dyDescent="0.25">
      <c r="A7" s="29" t="s">
        <v>36</v>
      </c>
      <c r="B7" s="27">
        <f>'[1]PREÇO MÉDIO'!$A$22</f>
        <v>56.667333333333325</v>
      </c>
      <c r="C7" s="12">
        <f>'[1]PREÇO MÉDIO'!$D$22</f>
        <v>65.264848484848471</v>
      </c>
      <c r="D7" s="6">
        <f t="shared" si="1"/>
        <v>1.1517190706847298</v>
      </c>
      <c r="E7" s="27">
        <f t="shared" si="7"/>
        <v>56.667333333333325</v>
      </c>
      <c r="F7" s="12">
        <f>'[1]PREÇO MÉDIO'!$I$22</f>
        <v>56.426153225806445</v>
      </c>
      <c r="G7" s="6">
        <f t="shared" si="2"/>
        <v>0.99574393052681354</v>
      </c>
      <c r="H7" s="27">
        <f t="shared" si="8"/>
        <v>56.667333333333325</v>
      </c>
      <c r="I7" s="12">
        <f>'[1]PREÇO MÉDIO'!$N$22</f>
        <v>53.180055197792086</v>
      </c>
      <c r="J7" s="6">
        <f t="shared" si="3"/>
        <v>0.93846052160195925</v>
      </c>
      <c r="K7" s="27">
        <f t="shared" si="9"/>
        <v>56.667333333333325</v>
      </c>
      <c r="L7" s="12">
        <f>'[1]PREÇO MÉDIO'!$S$22</f>
        <v>51.266880434782607</v>
      </c>
      <c r="M7" s="6">
        <f t="shared" si="4"/>
        <v>0.90469901121367891</v>
      </c>
      <c r="N7" s="27">
        <f t="shared" si="10"/>
        <v>56.667333333333325</v>
      </c>
      <c r="O7" s="12">
        <f>'[1]PREÇO MÉDIO'!$X$22</f>
        <v>54.859833836858002</v>
      </c>
      <c r="P7" s="6">
        <f t="shared" si="5"/>
        <v>0.96810332531719645</v>
      </c>
      <c r="Q7" s="27">
        <f>B7</f>
        <v>56.667333333333325</v>
      </c>
      <c r="R7" s="12">
        <f>'[1]PREÇO MÉDIO'!$AC$22</f>
        <v>54.473752923665735</v>
      </c>
      <c r="S7" s="6">
        <f t="shared" si="6"/>
        <v>0.96129021288571448</v>
      </c>
    </row>
    <row r="8" spans="1:28" x14ac:dyDescent="0.25">
      <c r="A8" s="28" t="s">
        <v>37</v>
      </c>
      <c r="B8" s="58">
        <f>[1]BOLETOS!$C$22</f>
        <v>153.00805305542397</v>
      </c>
      <c r="C8" s="10">
        <f>[1]BOLETOS!$D$22</f>
        <v>57</v>
      </c>
      <c r="D8" s="6">
        <f t="shared" si="1"/>
        <v>0.37252941176470589</v>
      </c>
      <c r="E8" s="58">
        <f>[1]BOLETOS!$H$22</f>
        <v>531.50165798199907</v>
      </c>
      <c r="F8" s="10">
        <f>[1]BOLETOS!$I$22</f>
        <v>455</v>
      </c>
      <c r="G8" s="6">
        <f t="shared" si="2"/>
        <v>0.85606506238859181</v>
      </c>
      <c r="H8" s="58">
        <f>[1]BOLETOS!$M$22</f>
        <v>518.41544291804826</v>
      </c>
      <c r="I8" s="10">
        <f>[1]BOLETOS!$N$22</f>
        <v>382</v>
      </c>
      <c r="J8" s="6">
        <f t="shared" si="3"/>
        <v>0.73686076527698463</v>
      </c>
      <c r="K8" s="58">
        <f>[1]BOLETOS!$R$22</f>
        <v>490.22974893415437</v>
      </c>
      <c r="L8" s="10">
        <f>[1]BOLETOS!$S$22</f>
        <v>331</v>
      </c>
      <c r="M8" s="6">
        <f t="shared" si="4"/>
        <v>0.67519362241816649</v>
      </c>
      <c r="N8" s="58">
        <f>[1]BOLETOS!$W$22</f>
        <v>431.84509711037418</v>
      </c>
      <c r="O8" s="10">
        <f>[1]BOLETOS!$X$22</f>
        <v>470</v>
      </c>
      <c r="P8" s="6">
        <f t="shared" si="5"/>
        <v>1.088353215412039</v>
      </c>
      <c r="Q8" s="51">
        <f>IF(O8 = 0, IF(L8 = 0, IF(I8 = 0, IF(F8 = 0, B8, SUM(B8, E8)), SUM(B8, E8, H8)), SUM(B8, E8, H8, K8)), SUM(B8, E8, H8, K8, N8))</f>
        <v>2125</v>
      </c>
      <c r="R8" s="59">
        <f>C8+F8+I8+L8+O8</f>
        <v>1695</v>
      </c>
      <c r="S8" s="6">
        <f t="shared" si="6"/>
        <v>0.79764705882352938</v>
      </c>
      <c r="W8" s="62">
        <f>N8+K8+H8+E8+B8</f>
        <v>2125</v>
      </c>
    </row>
    <row r="9" spans="1:28" x14ac:dyDescent="0.25">
      <c r="A9" s="18" t="s">
        <v>38</v>
      </c>
      <c r="B9" s="19">
        <v>0.34</v>
      </c>
      <c r="C9" s="5">
        <f>'[1]TAXA DE CONVERSÃO'!$D$22</f>
        <v>0.34100000000000003</v>
      </c>
      <c r="D9" s="6">
        <f>C9/B9</f>
        <v>1.0029411764705882</v>
      </c>
      <c r="E9" s="19">
        <f>Tabela12425262728[[#This Row],[1° SEMANA ]]</f>
        <v>0.34</v>
      </c>
      <c r="F9" s="65">
        <f>'[1]TAXA DE CONVERSÃO'!$I$22</f>
        <v>0.33500000000000002</v>
      </c>
      <c r="G9" s="6">
        <f>F9/E9</f>
        <v>0.98529411764705876</v>
      </c>
      <c r="H9" s="19">
        <f>Tabela12425262728[[#This Row],[2° SEMANA ]]</f>
        <v>0.34</v>
      </c>
      <c r="I9" s="65">
        <f>'[1]TAXA DE CONVERSÃO'!$N$22</f>
        <v>0.32</v>
      </c>
      <c r="J9" s="6">
        <f>I9/H9</f>
        <v>0.94117647058823528</v>
      </c>
      <c r="K9" s="19">
        <f>Tabela12425262728[[#This Row],[3° SEMANA ]]</f>
        <v>0.34</v>
      </c>
      <c r="L9" s="65">
        <f>'[1]TAXA DE CONVERSÃO'!$S$22</f>
        <v>0.309</v>
      </c>
      <c r="M9" s="6">
        <f>L9/K9</f>
        <v>0.90882352941176459</v>
      </c>
      <c r="N9" s="19">
        <f>Tabela12425262728[[#This Row],[4° SEMANA ]]</f>
        <v>0.34</v>
      </c>
      <c r="O9" s="65">
        <f>'[1]TAXA DE CONVERSÃO'!$X$22</f>
        <v>0.312</v>
      </c>
      <c r="P9" s="6">
        <f>O9/N9</f>
        <v>0.91764705882352937</v>
      </c>
      <c r="Q9" s="19">
        <f>Tabela1[[#This Row],[5° SEMANA ]]</f>
        <v>0.34</v>
      </c>
      <c r="R9" s="65">
        <f t="shared" ref="R9:R16" si="11">O9</f>
        <v>0.312</v>
      </c>
      <c r="S9" s="6">
        <f t="shared" si="6"/>
        <v>0.91764705882352937</v>
      </c>
    </row>
    <row r="10" spans="1:28" ht="30" x14ac:dyDescent="0.25">
      <c r="A10" s="28" t="s">
        <v>39</v>
      </c>
      <c r="B10" s="19">
        <v>0.88</v>
      </c>
      <c r="C10" s="5">
        <f>'[1]PENETRAÇÃO D BOLETOS FIDELIDADE'!$D$23</f>
        <v>0.91069999999999995</v>
      </c>
      <c r="D10" s="6">
        <f t="shared" si="1"/>
        <v>1.0348863636363637</v>
      </c>
      <c r="E10" s="19">
        <f t="shared" si="7"/>
        <v>0.88</v>
      </c>
      <c r="F10" s="5">
        <f>'[1]PENETRAÇÃO D BOLETOS FIDELIDADE'!$I$23</f>
        <v>0.9103</v>
      </c>
      <c r="G10" s="6">
        <f t="shared" si="2"/>
        <v>1.0344318181818182</v>
      </c>
      <c r="H10" s="19">
        <f t="shared" si="8"/>
        <v>0.88</v>
      </c>
      <c r="I10" s="5">
        <f>'[1]PENETRAÇÃO D BOLETOS FIDELIDADE'!$N$23</f>
        <v>0.93289999999999995</v>
      </c>
      <c r="J10" s="6">
        <f t="shared" si="3"/>
        <v>1.0601136363636363</v>
      </c>
      <c r="K10" s="19">
        <f t="shared" si="9"/>
        <v>0.88</v>
      </c>
      <c r="L10" s="5">
        <f>'[1]PENETRAÇÃO D BOLETOS FIDELIDADE'!$S$23</f>
        <v>0.92689999999999995</v>
      </c>
      <c r="M10" s="6">
        <f t="shared" si="4"/>
        <v>1.0532954545454545</v>
      </c>
      <c r="N10" s="19">
        <f t="shared" si="10"/>
        <v>0.88</v>
      </c>
      <c r="O10" s="5">
        <f>'[1]PENETRAÇÃO D BOLETOS FIDELIDADE'!$X$23</f>
        <v>0.91220000000000001</v>
      </c>
      <c r="P10" s="6">
        <f t="shared" si="5"/>
        <v>1.0365909090909091</v>
      </c>
      <c r="Q10" s="19">
        <f t="shared" ref="Q10:Q16" si="12">B10</f>
        <v>0.88</v>
      </c>
      <c r="R10" s="5">
        <f t="shared" si="11"/>
        <v>0.91220000000000001</v>
      </c>
      <c r="S10" s="6">
        <f t="shared" si="6"/>
        <v>1.0365909090909091</v>
      </c>
      <c r="U10" s="48"/>
    </row>
    <row r="11" spans="1:28" x14ac:dyDescent="0.25">
      <c r="A11" s="18" t="s">
        <v>40</v>
      </c>
      <c r="B11" s="21">
        <v>0.45</v>
      </c>
      <c r="C11" s="5">
        <f>'[1]RESGATE FIDELIDADE'!$D$22</f>
        <v>0.58819999999999995</v>
      </c>
      <c r="D11" s="6">
        <f t="shared" si="1"/>
        <v>1.3071111111111109</v>
      </c>
      <c r="E11" s="21">
        <f t="shared" si="7"/>
        <v>0.45</v>
      </c>
      <c r="F11" s="5">
        <f>'[1]RESGATE FIDELIDADE'!$I$22</f>
        <v>0.61260000000000003</v>
      </c>
      <c r="G11" s="6">
        <f t="shared" si="2"/>
        <v>1.3613333333333333</v>
      </c>
      <c r="H11" s="21">
        <f t="shared" si="8"/>
        <v>0.45</v>
      </c>
      <c r="I11" s="5">
        <f>'[1]RESGATE FIDELIDADE'!$N$22</f>
        <v>0.60780000000000001</v>
      </c>
      <c r="J11" s="6">
        <f t="shared" si="3"/>
        <v>1.3506666666666667</v>
      </c>
      <c r="K11" s="21">
        <f t="shared" si="9"/>
        <v>0.45</v>
      </c>
      <c r="L11" s="5">
        <f>'[1]RESGATE FIDELIDADE'!$S$22</f>
        <v>0.60740000000000005</v>
      </c>
      <c r="M11" s="6">
        <f t="shared" si="4"/>
        <v>1.349777777777778</v>
      </c>
      <c r="N11" s="21">
        <f t="shared" si="10"/>
        <v>0.45</v>
      </c>
      <c r="O11" s="5">
        <f>'[1]RESGATE FIDELIDADE'!$X$22</f>
        <v>0.59860000000000002</v>
      </c>
      <c r="P11" s="6">
        <f t="shared" si="5"/>
        <v>1.3302222222222222</v>
      </c>
      <c r="Q11" s="21">
        <f t="shared" si="12"/>
        <v>0.45</v>
      </c>
      <c r="R11" s="5">
        <f t="shared" si="11"/>
        <v>0.59860000000000002</v>
      </c>
      <c r="S11" s="6">
        <f t="shared" si="6"/>
        <v>1.3302222222222222</v>
      </c>
    </row>
    <row r="12" spans="1:28" x14ac:dyDescent="0.25">
      <c r="A12" s="18" t="s">
        <v>41</v>
      </c>
      <c r="B12" s="21">
        <v>1.7000000000000001E-2</v>
      </c>
      <c r="C12" s="5">
        <f>'[1]GESTÃO CATEGORIAS LOJAS (SKIN)'!$D$22</f>
        <v>3.2000000000000002E-3</v>
      </c>
      <c r="D12" s="6">
        <f t="shared" si="1"/>
        <v>0.18823529411764706</v>
      </c>
      <c r="E12" s="21">
        <f t="shared" si="7"/>
        <v>1.7000000000000001E-2</v>
      </c>
      <c r="F12" s="5">
        <f>'[1]GESTÃO CATEGORIAS LOJAS (SKIN)'!$I$22</f>
        <v>2.3400000000000001E-2</v>
      </c>
      <c r="G12" s="6">
        <f t="shared" si="2"/>
        <v>1.3764705882352941</v>
      </c>
      <c r="H12" s="21">
        <f t="shared" si="8"/>
        <v>1.7000000000000001E-2</v>
      </c>
      <c r="I12" s="5">
        <f>'[1]GESTÃO CATEGORIAS LOJAS (SKIN)'!$N$22</f>
        <v>2.01E-2</v>
      </c>
      <c r="J12" s="6">
        <f t="shared" si="3"/>
        <v>1.1823529411764704</v>
      </c>
      <c r="K12" s="21">
        <f t="shared" si="9"/>
        <v>1.7000000000000001E-2</v>
      </c>
      <c r="L12" s="5">
        <f>'[1]GESTÃO CATEGORIAS LOJAS (SKIN)'!$S$22</f>
        <v>2.0199999999999999E-2</v>
      </c>
      <c r="M12" s="6">
        <f t="shared" si="4"/>
        <v>1.1882352941176468</v>
      </c>
      <c r="N12" s="21">
        <f t="shared" si="10"/>
        <v>1.7000000000000001E-2</v>
      </c>
      <c r="O12" s="5">
        <f>'[1]GESTÃO CATEGORIAS LOJAS (SKIN)'!$X$22</f>
        <v>2.8000000000000001E-2</v>
      </c>
      <c r="P12" s="6">
        <f t="shared" si="5"/>
        <v>1.6470588235294117</v>
      </c>
      <c r="Q12" s="21">
        <f t="shared" si="12"/>
        <v>1.7000000000000001E-2</v>
      </c>
      <c r="R12" s="5">
        <f t="shared" si="11"/>
        <v>2.8000000000000001E-2</v>
      </c>
      <c r="S12" s="6">
        <f t="shared" si="6"/>
        <v>1.6470588235294117</v>
      </c>
    </row>
    <row r="13" spans="1:28" x14ac:dyDescent="0.25">
      <c r="A13" s="18" t="s">
        <v>42</v>
      </c>
      <c r="B13" s="21">
        <v>0.27</v>
      </c>
      <c r="C13" s="5">
        <f>'[1]PENETRAÇÃO BP'!$D$22</f>
        <v>0.2432</v>
      </c>
      <c r="D13" s="6">
        <f t="shared" si="1"/>
        <v>0.90074074074074073</v>
      </c>
      <c r="E13" s="21">
        <f t="shared" si="7"/>
        <v>0.27</v>
      </c>
      <c r="F13" s="5">
        <f>'[1]PENETRAÇÃO BP'!$I$22</f>
        <v>0.23680000000000001</v>
      </c>
      <c r="G13" s="6">
        <f t="shared" si="2"/>
        <v>0.87703703703703706</v>
      </c>
      <c r="H13" s="21">
        <f t="shared" si="8"/>
        <v>0.27</v>
      </c>
      <c r="I13" s="5">
        <f>'[1]PENETRAÇÃO BP'!$N$22</f>
        <v>0.31640000000000001</v>
      </c>
      <c r="J13" s="6">
        <f t="shared" si="3"/>
        <v>1.1718518518518519</v>
      </c>
      <c r="K13" s="21">
        <f t="shared" si="9"/>
        <v>0.27</v>
      </c>
      <c r="L13" s="5">
        <f>'[1]PENETRAÇÃO BP'!$S$22</f>
        <v>0.35049999999999998</v>
      </c>
      <c r="M13" s="6">
        <f t="shared" si="4"/>
        <v>1.2981481481481481</v>
      </c>
      <c r="N13" s="21">
        <f t="shared" si="10"/>
        <v>0.27</v>
      </c>
      <c r="O13" s="5">
        <f>'[1]PENETRAÇÃO BP'!$X$22</f>
        <v>0.3619</v>
      </c>
      <c r="P13" s="6">
        <f t="shared" si="5"/>
        <v>1.3403703703703702</v>
      </c>
      <c r="Q13" s="21">
        <f t="shared" si="12"/>
        <v>0.27</v>
      </c>
      <c r="R13" s="5">
        <f t="shared" si="11"/>
        <v>0.3619</v>
      </c>
      <c r="S13" s="6">
        <f t="shared" si="6"/>
        <v>1.3403703703703702</v>
      </c>
    </row>
    <row r="14" spans="1:28" x14ac:dyDescent="0.25">
      <c r="A14" s="28" t="s">
        <v>43</v>
      </c>
      <c r="B14" s="21">
        <v>0.22</v>
      </c>
      <c r="C14" s="5">
        <f>'[1]PENETRAÇÃO BT'!$D$22</f>
        <v>0.2203</v>
      </c>
      <c r="D14" s="6">
        <f t="shared" si="1"/>
        <v>1.0013636363636362</v>
      </c>
      <c r="E14" s="21">
        <f t="shared" si="7"/>
        <v>0.22</v>
      </c>
      <c r="F14" s="5">
        <f>'[1]PENETRAÇÃO BT'!$I$22</f>
        <v>0.2505</v>
      </c>
      <c r="G14" s="6">
        <f t="shared" si="2"/>
        <v>1.1386363636363637</v>
      </c>
      <c r="H14" s="21">
        <f t="shared" si="8"/>
        <v>0.22</v>
      </c>
      <c r="I14" s="5">
        <f>'[1]PENETRAÇÃO BT'!$N$22</f>
        <v>0.30520000000000003</v>
      </c>
      <c r="J14" s="6">
        <f t="shared" si="3"/>
        <v>1.3872727272727274</v>
      </c>
      <c r="K14" s="21">
        <f t="shared" si="9"/>
        <v>0.22</v>
      </c>
      <c r="L14" s="5">
        <f>'[1]PENETRAÇÃO BT'!$S$22</f>
        <v>0.29389999999999999</v>
      </c>
      <c r="M14" s="6">
        <f>L14/K14</f>
        <v>1.3359090909090909</v>
      </c>
      <c r="N14" s="21">
        <f t="shared" si="10"/>
        <v>0.22</v>
      </c>
      <c r="O14" s="5">
        <f>'[1]PENETRAÇÃO BT'!$X$22</f>
        <v>0.27900000000000003</v>
      </c>
      <c r="P14" s="6">
        <f t="shared" si="5"/>
        <v>1.2681818181818183</v>
      </c>
      <c r="Q14" s="21">
        <f t="shared" si="12"/>
        <v>0.22</v>
      </c>
      <c r="R14" s="5">
        <f t="shared" si="11"/>
        <v>0.27900000000000003</v>
      </c>
      <c r="S14" s="6">
        <f t="shared" si="6"/>
        <v>1.2681818181818183</v>
      </c>
    </row>
    <row r="15" spans="1:28" x14ac:dyDescent="0.25">
      <c r="A15" s="28" t="s">
        <v>44</v>
      </c>
      <c r="B15" s="22">
        <v>0.6</v>
      </c>
      <c r="C15" s="5">
        <f>'[1]ID DO CLIENTE'!$D$22</f>
        <v>0.55930000000000002</v>
      </c>
      <c r="D15" s="6">
        <f t="shared" si="1"/>
        <v>0.9321666666666667</v>
      </c>
      <c r="E15" s="22">
        <f t="shared" si="7"/>
        <v>0.6</v>
      </c>
      <c r="F15" s="5">
        <f>'[1]ID DO CLIENTE'!$I$22</f>
        <v>0.5595</v>
      </c>
      <c r="G15" s="6">
        <f t="shared" si="2"/>
        <v>0.9325</v>
      </c>
      <c r="H15" s="22">
        <f t="shared" si="8"/>
        <v>0.6</v>
      </c>
      <c r="I15" s="5">
        <f>'[1]ID DO CLIENTE'!$N$22</f>
        <v>0.58619999999999994</v>
      </c>
      <c r="J15" s="6">
        <f t="shared" si="3"/>
        <v>0.97699999999999998</v>
      </c>
      <c r="K15" s="22">
        <f t="shared" si="9"/>
        <v>0.6</v>
      </c>
      <c r="L15" s="5">
        <f>'[1]ID DO CLIENTE'!$S$22</f>
        <v>0.61159999999999992</v>
      </c>
      <c r="M15" s="6">
        <f t="shared" si="4"/>
        <v>1.0193333333333332</v>
      </c>
      <c r="N15" s="22">
        <f t="shared" si="10"/>
        <v>0.6</v>
      </c>
      <c r="O15" s="5">
        <f>'[1]ID DO CLIENTE'!$X$22</f>
        <v>0.62970000000000004</v>
      </c>
      <c r="P15" s="6">
        <f t="shared" si="5"/>
        <v>1.0495000000000001</v>
      </c>
      <c r="Q15" s="22">
        <f t="shared" si="12"/>
        <v>0.6</v>
      </c>
      <c r="R15" s="5">
        <f t="shared" si="11"/>
        <v>0.62970000000000004</v>
      </c>
      <c r="S15" s="6">
        <f t="shared" si="6"/>
        <v>1.0495000000000001</v>
      </c>
    </row>
    <row r="16" spans="1:28" x14ac:dyDescent="0.25">
      <c r="A16" s="28" t="s">
        <v>45</v>
      </c>
      <c r="B16" s="22">
        <v>0.98</v>
      </c>
      <c r="C16" s="9">
        <f>'[1]SEPARAÇÃO NO PRAZO C&amp;R'!$D$22</f>
        <v>1</v>
      </c>
      <c r="D16" s="6">
        <f t="shared" si="1"/>
        <v>1.0204081632653061</v>
      </c>
      <c r="E16" s="22">
        <f t="shared" si="7"/>
        <v>0.98</v>
      </c>
      <c r="F16" s="55">
        <f>'[1]SEPARAÇÃO NO PRAZO C&amp;R'!$I$22</f>
        <v>1</v>
      </c>
      <c r="G16" s="6">
        <f t="shared" si="2"/>
        <v>1.0204081632653061</v>
      </c>
      <c r="H16" s="22">
        <f t="shared" si="8"/>
        <v>0.98</v>
      </c>
      <c r="I16" s="9">
        <f>'[1]SEPARAÇÃO NO PRAZO C&amp;R'!$N$22</f>
        <v>1</v>
      </c>
      <c r="J16" s="6">
        <f t="shared" si="3"/>
        <v>1.0204081632653061</v>
      </c>
      <c r="K16" s="22">
        <f t="shared" si="9"/>
        <v>0.98</v>
      </c>
      <c r="L16" s="9">
        <f>'[1]SEPARAÇÃO NO PRAZO C&amp;R'!$S$22</f>
        <v>1</v>
      </c>
      <c r="M16" s="6">
        <f t="shared" si="4"/>
        <v>1.0204081632653061</v>
      </c>
      <c r="N16" s="22">
        <f t="shared" si="10"/>
        <v>0.98</v>
      </c>
      <c r="O16" s="9">
        <f>'[1]SEPARAÇÃO NO PRAZO C&amp;R'!$X$22</f>
        <v>0.99378881987577639</v>
      </c>
      <c r="P16" s="6">
        <f t="shared" si="5"/>
        <v>1.0140702243630371</v>
      </c>
      <c r="Q16" s="22">
        <f t="shared" si="12"/>
        <v>0.98</v>
      </c>
      <c r="R16" s="5">
        <f t="shared" si="11"/>
        <v>0.99378881987577639</v>
      </c>
      <c r="S16" s="6">
        <f t="shared" si="6"/>
        <v>1.0140702243630371</v>
      </c>
    </row>
    <row r="17" spans="1:19" ht="30" x14ac:dyDescent="0.25">
      <c r="A17" s="28" t="s">
        <v>46</v>
      </c>
      <c r="B17" s="23">
        <v>3</v>
      </c>
      <c r="C17" s="66">
        <f>'[1]Q° DE SERVIÇOS'!$D$18</f>
        <v>0</v>
      </c>
      <c r="D17" s="6">
        <f t="shared" si="1"/>
        <v>0</v>
      </c>
      <c r="E17" s="23">
        <f t="shared" si="7"/>
        <v>3</v>
      </c>
      <c r="F17" s="66">
        <f>'[1]Q° DE SERVIÇOS'!$I$18</f>
        <v>3</v>
      </c>
      <c r="G17" s="6">
        <f t="shared" si="2"/>
        <v>1</v>
      </c>
      <c r="H17" s="23">
        <f t="shared" si="8"/>
        <v>3</v>
      </c>
      <c r="I17" s="72">
        <f>'[1]Q° DE SERVIÇOS'!$N$18</f>
        <v>8</v>
      </c>
      <c r="J17" s="6">
        <f t="shared" si="3"/>
        <v>2.6666666666666665</v>
      </c>
      <c r="K17" s="23">
        <v>2</v>
      </c>
      <c r="L17" s="72">
        <f>'[1]Q° DE SERVIÇOS'!$S$18</f>
        <v>4</v>
      </c>
      <c r="M17" s="6">
        <f t="shared" si="4"/>
        <v>2</v>
      </c>
      <c r="N17" s="23">
        <v>2</v>
      </c>
      <c r="O17" s="100">
        <f>'[1]Q° DE SERVIÇOS'!$X$18</f>
        <v>9</v>
      </c>
      <c r="P17" s="6">
        <f t="shared" si="5"/>
        <v>4.5</v>
      </c>
      <c r="Q17" s="78">
        <f>IF(O17 = 0, IF(L17 = 0, IF(I17 = 0, IF(F17 = 0, B17, SUM(B17, E17)), SUM(B17, E17, H17)), SUM(B17, E17, H17, K17)), SUM(B17, E17, H17, K17, N17))</f>
        <v>13</v>
      </c>
      <c r="R17" s="10">
        <f>C17+F17+I17+L17+O17</f>
        <v>24</v>
      </c>
      <c r="S17" s="6">
        <f t="shared" si="6"/>
        <v>1.8461538461538463</v>
      </c>
    </row>
    <row r="18" spans="1:19" x14ac:dyDescent="0.25">
      <c r="A18" s="28" t="s">
        <v>47</v>
      </c>
      <c r="B18" s="19">
        <v>0.25</v>
      </c>
      <c r="C18" s="9">
        <f>'[1]CONVERSÃO AÇÃO DE FLUXO'!$D$22</f>
        <v>0</v>
      </c>
      <c r="D18" s="6">
        <f t="shared" si="1"/>
        <v>0</v>
      </c>
      <c r="E18" s="19">
        <f t="shared" si="7"/>
        <v>0.25</v>
      </c>
      <c r="F18" s="9">
        <f>'[1]CONVERSÃO AÇÃO DE FLUXO'!$I$22</f>
        <v>0</v>
      </c>
      <c r="G18" s="6">
        <f t="shared" si="2"/>
        <v>0</v>
      </c>
      <c r="H18" s="19">
        <f t="shared" si="8"/>
        <v>0.25</v>
      </c>
      <c r="I18" s="9">
        <f>'[1]CONVERSÃO AÇÃO DE FLUXO'!$N$22</f>
        <v>0</v>
      </c>
      <c r="J18" s="6">
        <f t="shared" si="3"/>
        <v>0</v>
      </c>
      <c r="K18" s="19">
        <f t="shared" si="9"/>
        <v>0.25</v>
      </c>
      <c r="L18" s="9">
        <f>'[1]CONVERSÃO AÇÃO DE FLUXO'!$S$22</f>
        <v>0</v>
      </c>
      <c r="M18" s="6">
        <f t="shared" si="4"/>
        <v>0</v>
      </c>
      <c r="N18" s="19">
        <f t="shared" si="10"/>
        <v>0.25</v>
      </c>
      <c r="O18" s="9">
        <f>'[1]CONVERSÃO AÇÃO DE FLUXO'!$X$22</f>
        <v>0</v>
      </c>
      <c r="P18" s="6">
        <f t="shared" si="5"/>
        <v>0</v>
      </c>
      <c r="Q18" s="19">
        <f t="shared" ref="Q18:Q21" si="13">B18</f>
        <v>0.25</v>
      </c>
      <c r="R18" s="5">
        <f>O18</f>
        <v>0</v>
      </c>
      <c r="S18" s="6">
        <f t="shared" si="6"/>
        <v>0</v>
      </c>
    </row>
    <row r="19" spans="1:19" x14ac:dyDescent="0.25">
      <c r="A19" s="28" t="s">
        <v>48</v>
      </c>
      <c r="B19" s="19">
        <v>0.86099999999999999</v>
      </c>
      <c r="C19" s="5">
        <f>[1]NPS!$D$22</f>
        <v>1</v>
      </c>
      <c r="D19" s="6">
        <f t="shared" si="1"/>
        <v>1.1614401858304297</v>
      </c>
      <c r="E19" s="19">
        <f t="shared" si="7"/>
        <v>0.86099999999999999</v>
      </c>
      <c r="F19" s="5">
        <f>[1]NPS!$I$22</f>
        <v>0.92310000000000003</v>
      </c>
      <c r="G19" s="6">
        <f t="shared" si="2"/>
        <v>1.0721254355400698</v>
      </c>
      <c r="H19" s="19">
        <f t="shared" si="8"/>
        <v>0.86099999999999999</v>
      </c>
      <c r="I19" s="5">
        <f>[1]NPS!$N$22</f>
        <v>0.9</v>
      </c>
      <c r="J19" s="6">
        <f t="shared" si="3"/>
        <v>1.0452961672473868</v>
      </c>
      <c r="K19" s="19">
        <f t="shared" si="9"/>
        <v>0.86099999999999999</v>
      </c>
      <c r="L19" s="5">
        <f>[1]NPS!$S$22</f>
        <v>0.92110000000000003</v>
      </c>
      <c r="M19" s="6">
        <f t="shared" si="4"/>
        <v>1.0698025551684089</v>
      </c>
      <c r="N19" s="19">
        <f t="shared" si="10"/>
        <v>0.86099999999999999</v>
      </c>
      <c r="O19" s="5">
        <f>[1]NPS!$X$22</f>
        <v>0.93879999999999997</v>
      </c>
      <c r="P19" s="6">
        <f t="shared" si="5"/>
        <v>1.0903600464576073</v>
      </c>
      <c r="Q19" s="19">
        <f t="shared" si="13"/>
        <v>0.86099999999999999</v>
      </c>
      <c r="R19" s="5">
        <f>O19</f>
        <v>0.93879999999999997</v>
      </c>
      <c r="S19" s="6">
        <f t="shared" si="6"/>
        <v>1.0903600464576073</v>
      </c>
    </row>
    <row r="20" spans="1:19" x14ac:dyDescent="0.25">
      <c r="A20" s="28" t="s">
        <v>49</v>
      </c>
      <c r="B20" s="22">
        <v>0.95</v>
      </c>
      <c r="C20" s="5">
        <f>'[1]LOJA DIGITAL ATIVO (BEXD)'!$D$22</f>
        <v>1</v>
      </c>
      <c r="D20" s="6">
        <f t="shared" si="1"/>
        <v>1.0526315789473684</v>
      </c>
      <c r="E20" s="22">
        <f t="shared" si="7"/>
        <v>0.95</v>
      </c>
      <c r="F20" s="5">
        <f>'[1]LOJA DIGITAL ATIVO (BEXD)'!$I$22</f>
        <v>1</v>
      </c>
      <c r="G20" s="6">
        <f t="shared" si="2"/>
        <v>1.0526315789473684</v>
      </c>
      <c r="H20" s="22">
        <f t="shared" si="8"/>
        <v>0.95</v>
      </c>
      <c r="I20" s="5">
        <f>'[1]LOJA DIGITAL ATIVO (BEXD)'!$N$22</f>
        <v>0.91269999999999996</v>
      </c>
      <c r="J20" s="6">
        <f t="shared" si="3"/>
        <v>0.96073684210526311</v>
      </c>
      <c r="K20" s="22">
        <f t="shared" si="9"/>
        <v>0.95</v>
      </c>
      <c r="L20" s="5">
        <f>'[1]LOJA DIGITAL ATIVO (BEXD)'!$S$22</f>
        <v>0.85499999999999998</v>
      </c>
      <c r="M20" s="6">
        <f t="shared" si="4"/>
        <v>0.9</v>
      </c>
      <c r="N20" s="22">
        <f t="shared" si="10"/>
        <v>0.95</v>
      </c>
      <c r="O20" s="5">
        <f>'[1]LOJA DIGITAL ATIVO (BEXD)'!$X$22</f>
        <v>0.89700000000000002</v>
      </c>
      <c r="P20" s="6">
        <f t="shared" si="5"/>
        <v>0.9442105263157895</v>
      </c>
      <c r="Q20" s="22">
        <f t="shared" si="13"/>
        <v>0.95</v>
      </c>
      <c r="R20" s="5">
        <f>O20</f>
        <v>0.89700000000000002</v>
      </c>
      <c r="S20" s="6">
        <f t="shared" si="6"/>
        <v>0.9442105263157895</v>
      </c>
    </row>
    <row r="21" spans="1:19" x14ac:dyDescent="0.25">
      <c r="A21" s="28" t="s">
        <v>50</v>
      </c>
      <c r="B21" s="22">
        <v>0.85</v>
      </c>
      <c r="C21" s="49">
        <f>'[1]TREINAMENTOS FV (UB)'!$D$22</f>
        <v>0.95588235294117652</v>
      </c>
      <c r="D21" s="6">
        <f t="shared" si="1"/>
        <v>1.124567474048443</v>
      </c>
      <c r="E21" s="22">
        <f t="shared" si="7"/>
        <v>0.85</v>
      </c>
      <c r="F21" s="49">
        <f>'[1]TREINAMENTOS FV (UB)'!$I$22</f>
        <v>0.95588235294117652</v>
      </c>
      <c r="G21" s="6">
        <f t="shared" si="2"/>
        <v>1.124567474048443</v>
      </c>
      <c r="H21" s="22">
        <f t="shared" si="8"/>
        <v>0.85</v>
      </c>
      <c r="I21" s="70">
        <f>'[1]TREINAMENTOS FV (UB)'!$N$22</f>
        <v>0.96666666666666667</v>
      </c>
      <c r="J21" s="6">
        <f t="shared" si="3"/>
        <v>1.1372549019607843</v>
      </c>
      <c r="K21" s="22">
        <f t="shared" si="9"/>
        <v>0.85</v>
      </c>
      <c r="L21" s="70">
        <f>'[1]TREINAMENTOS FV (UB)'!$S$22</f>
        <v>0.9732142857142857</v>
      </c>
      <c r="M21" s="6">
        <f t="shared" si="4"/>
        <v>1.1449579831932772</v>
      </c>
      <c r="N21" s="22">
        <f t="shared" si="10"/>
        <v>0.85</v>
      </c>
      <c r="O21" s="70">
        <f>'[1]TREINAMENTOS FV (UB)'!$X$22</f>
        <v>0.9732142857142857</v>
      </c>
      <c r="P21" s="6">
        <f t="shared" si="5"/>
        <v>1.1449579831932772</v>
      </c>
      <c r="Q21" s="22">
        <f t="shared" si="13"/>
        <v>0.85</v>
      </c>
      <c r="R21" s="5">
        <f>O21</f>
        <v>0.9732142857142857</v>
      </c>
      <c r="S21" s="6">
        <f t="shared" si="6"/>
        <v>1.1449579831932772</v>
      </c>
    </row>
    <row r="22" spans="1:19" hidden="1" x14ac:dyDescent="0.25">
      <c r="A22" s="28" t="s">
        <v>51</v>
      </c>
      <c r="B22" s="24"/>
      <c r="C22" s="10"/>
      <c r="D22" s="6" t="e">
        <f t="shared" si="1"/>
        <v>#DIV/0!</v>
      </c>
      <c r="E22" s="24"/>
      <c r="F22" s="10"/>
      <c r="G22" s="6" t="e">
        <f t="shared" si="2"/>
        <v>#DIV/0!</v>
      </c>
      <c r="H22" s="24"/>
      <c r="I22" s="10"/>
      <c r="J22" s="6" t="e">
        <f t="shared" si="3"/>
        <v>#DIV/0!</v>
      </c>
      <c r="K22" s="24"/>
      <c r="L22" s="10"/>
      <c r="M22" s="6" t="e">
        <f t="shared" si="4"/>
        <v>#DIV/0!</v>
      </c>
      <c r="N22" s="24"/>
      <c r="O22" s="10"/>
      <c r="P22" s="6" t="e">
        <f t="shared" si="5"/>
        <v>#DIV/0!</v>
      </c>
      <c r="Q22" s="23">
        <v>3</v>
      </c>
      <c r="R22" s="10"/>
      <c r="S22" s="6" t="e">
        <f>Q22/R22</f>
        <v>#DIV/0!</v>
      </c>
    </row>
    <row r="23" spans="1:19" hidden="1" x14ac:dyDescent="0.25">
      <c r="A23" s="28" t="s">
        <v>52</v>
      </c>
      <c r="B23" s="22"/>
      <c r="C23" s="10"/>
      <c r="D23" s="6" t="e">
        <f t="shared" si="1"/>
        <v>#DIV/0!</v>
      </c>
      <c r="E23" s="22"/>
      <c r="F23" s="10"/>
      <c r="G23" s="6" t="e">
        <f t="shared" si="2"/>
        <v>#DIV/0!</v>
      </c>
      <c r="H23" s="22"/>
      <c r="I23" s="10"/>
      <c r="J23" s="6" t="e">
        <f>H23/I23</f>
        <v>#DIV/0!</v>
      </c>
      <c r="K23" s="22"/>
      <c r="L23" s="10"/>
      <c r="M23" s="6" t="e">
        <f>K23/L23</f>
        <v>#DIV/0!</v>
      </c>
      <c r="N23" s="22"/>
      <c r="O23" s="10"/>
      <c r="P23" s="6" t="e">
        <f>N23/O23</f>
        <v>#DIV/0!</v>
      </c>
      <c r="Q23" s="22">
        <v>1.7000000000000001E-2</v>
      </c>
      <c r="R23" s="5"/>
      <c r="S23" s="6" t="e">
        <f>Q23/R23</f>
        <v>#DIV/0!</v>
      </c>
    </row>
    <row r="24" spans="1:19" hidden="1" x14ac:dyDescent="0.25">
      <c r="A24" s="28" t="s">
        <v>53</v>
      </c>
      <c r="B24" s="22"/>
      <c r="C24" s="25"/>
      <c r="D24" s="6" t="e">
        <f t="shared" si="1"/>
        <v>#DIV/0!</v>
      </c>
      <c r="E24" s="22"/>
      <c r="F24" s="25"/>
      <c r="G24" s="6" t="e">
        <f t="shared" si="2"/>
        <v>#DIV/0!</v>
      </c>
      <c r="H24" s="22"/>
      <c r="I24" s="25"/>
      <c r="J24" s="6" t="e">
        <f t="shared" ref="J24" si="14">I24/H24</f>
        <v>#DIV/0!</v>
      </c>
      <c r="K24" s="22"/>
      <c r="L24" s="25"/>
      <c r="M24" s="6" t="e">
        <f t="shared" ref="M24" si="15">L24/K24</f>
        <v>#DIV/0!</v>
      </c>
      <c r="N24" s="22"/>
      <c r="O24" s="25"/>
      <c r="P24" s="6" t="e">
        <f t="shared" ref="P24" si="16">O24/N24</f>
        <v>#DIV/0!</v>
      </c>
      <c r="Q24" s="22"/>
      <c r="R24" s="12"/>
      <c r="S24" s="6" t="e">
        <f t="shared" si="6"/>
        <v>#DIV/0!</v>
      </c>
    </row>
    <row r="25" spans="1:19" hidden="1" x14ac:dyDescent="0.25">
      <c r="C25" s="48"/>
    </row>
  </sheetData>
  <mergeCells count="7">
    <mergeCell ref="Y1:AB1"/>
    <mergeCell ref="Q1:S1"/>
    <mergeCell ref="B1:D1"/>
    <mergeCell ref="E1:G1"/>
    <mergeCell ref="H1:J1"/>
    <mergeCell ref="K1:M1"/>
    <mergeCell ref="N1:P1"/>
  </mergeCells>
  <phoneticPr fontId="9" type="noConversion"/>
  <conditionalFormatting sqref="D4:D24">
    <cfRule type="cellIs" dxfId="89" priority="34" operator="between">
      <formula>1</formula>
      <formula>1.1999</formula>
    </cfRule>
    <cfRule type="containsText" dxfId="88" priority="32" operator="containsText" text="-">
      <formula>NOT(ISERROR(SEARCH("-",D4)))</formula>
    </cfRule>
    <cfRule type="containsErrors" dxfId="87" priority="31">
      <formula>ISERROR(D4)</formula>
    </cfRule>
    <cfRule type="cellIs" dxfId="86" priority="33" operator="greaterThan">
      <formula>1.2</formula>
    </cfRule>
    <cfRule type="cellIs" dxfId="85" priority="36" operator="between">
      <formula>0</formula>
      <formula>0.7999</formula>
    </cfRule>
    <cfRule type="cellIs" dxfId="84" priority="35" operator="between">
      <formula>0.8</formula>
      <formula>0.9999</formula>
    </cfRule>
  </conditionalFormatting>
  <conditionalFormatting sqref="G4:G24">
    <cfRule type="cellIs" dxfId="83" priority="30" operator="between">
      <formula>0</formula>
      <formula>0.7999</formula>
    </cfRule>
    <cfRule type="cellIs" dxfId="82" priority="28" operator="between">
      <formula>1</formula>
      <formula>1.1999</formula>
    </cfRule>
    <cfRule type="cellIs" dxfId="81" priority="29" operator="between">
      <formula>0.8</formula>
      <formula>0.9999</formula>
    </cfRule>
    <cfRule type="containsErrors" dxfId="80" priority="25">
      <formula>ISERROR(G4)</formula>
    </cfRule>
    <cfRule type="containsText" dxfId="79" priority="26" operator="containsText" text="-">
      <formula>NOT(ISERROR(SEARCH("-",G4)))</formula>
    </cfRule>
    <cfRule type="cellIs" dxfId="78" priority="27" operator="greaterThan">
      <formula>1.2</formula>
    </cfRule>
  </conditionalFormatting>
  <conditionalFormatting sqref="J4:J24">
    <cfRule type="cellIs" dxfId="77" priority="57" operator="greaterThan">
      <formula>1.2</formula>
    </cfRule>
    <cfRule type="cellIs" dxfId="76" priority="58" operator="between">
      <formula>1</formula>
      <formula>1.1999</formula>
    </cfRule>
    <cfRule type="cellIs" dxfId="75" priority="59" operator="between">
      <formula>0.8</formula>
      <formula>0.9999</formula>
    </cfRule>
    <cfRule type="cellIs" dxfId="74" priority="60" operator="between">
      <formula>0</formula>
      <formula>0.7999</formula>
    </cfRule>
    <cfRule type="containsErrors" dxfId="73" priority="55">
      <formula>ISERROR(J4)</formula>
    </cfRule>
    <cfRule type="containsText" dxfId="72" priority="56" operator="containsText" text="-">
      <formula>NOT(ISERROR(SEARCH("-",J4)))</formula>
    </cfRule>
  </conditionalFormatting>
  <conditionalFormatting sqref="M4:M24">
    <cfRule type="containsErrors" dxfId="71" priority="49">
      <formula>ISERROR(M4)</formula>
    </cfRule>
    <cfRule type="cellIs" dxfId="70" priority="51" operator="greaterThan">
      <formula>1.2</formula>
    </cfRule>
    <cfRule type="cellIs" dxfId="69" priority="52" operator="between">
      <formula>1</formula>
      <formula>1.1999</formula>
    </cfRule>
    <cfRule type="cellIs" dxfId="68" priority="53" operator="between">
      <formula>0.8</formula>
      <formula>0.9999</formula>
    </cfRule>
    <cfRule type="cellIs" dxfId="67" priority="54" operator="between">
      <formula>0</formula>
      <formula>0.7999</formula>
    </cfRule>
    <cfRule type="containsText" dxfId="66" priority="50" operator="containsText" text="-">
      <formula>NOT(ISERROR(SEARCH("-",M4)))</formula>
    </cfRule>
  </conditionalFormatting>
  <conditionalFormatting sqref="P4:P24">
    <cfRule type="containsErrors" dxfId="65" priority="19">
      <formula>ISERROR(P4)</formula>
    </cfRule>
    <cfRule type="cellIs" dxfId="64" priority="24" operator="between">
      <formula>0</formula>
      <formula>0.7999</formula>
    </cfRule>
    <cfRule type="cellIs" dxfId="63" priority="22" operator="between">
      <formula>1</formula>
      <formula>1.1999</formula>
    </cfRule>
    <cfRule type="cellIs" dxfId="62" priority="21" operator="greaterThan">
      <formula>1.2</formula>
    </cfRule>
    <cfRule type="containsText" dxfId="61" priority="20" operator="containsText" text="-">
      <formula>NOT(ISERROR(SEARCH("-",P4)))</formula>
    </cfRule>
    <cfRule type="cellIs" dxfId="60" priority="23" operator="between">
      <formula>0.8</formula>
      <formula>0.9999</formula>
    </cfRule>
  </conditionalFormatting>
  <conditionalFormatting sqref="S4:S24">
    <cfRule type="cellIs" dxfId="59" priority="17" operator="between">
      <formula>0.8</formula>
      <formula>0.9999</formula>
    </cfRule>
    <cfRule type="containsErrors" dxfId="58" priority="13">
      <formula>ISERROR(S4)</formula>
    </cfRule>
    <cfRule type="containsText" dxfId="57" priority="14" operator="containsText" text="-">
      <formula>NOT(ISERROR(SEARCH("-",S4)))</formula>
    </cfRule>
    <cfRule type="cellIs" dxfId="56" priority="15" operator="greaterThan">
      <formula>1.2</formula>
    </cfRule>
    <cfRule type="cellIs" dxfId="55" priority="16" operator="between">
      <formula>1</formula>
      <formula>1.1999</formula>
    </cfRule>
    <cfRule type="cellIs" dxfId="54" priority="18" operator="between">
      <formula>0</formula>
      <formula>0.7999</formula>
    </cfRule>
  </conditionalFormatting>
  <conditionalFormatting sqref="AB3:AB6">
    <cfRule type="containsText" dxfId="53" priority="2" operator="containsText" text="-">
      <formula>NOT(ISERROR(SEARCH("-",AB3)))</formula>
    </cfRule>
    <cfRule type="cellIs" dxfId="52" priority="3" operator="greaterThan">
      <formula>1.2</formula>
    </cfRule>
    <cfRule type="cellIs" dxfId="51" priority="4" operator="between">
      <formula>1</formula>
      <formula>1.1999</formula>
    </cfRule>
    <cfRule type="cellIs" dxfId="50" priority="5" operator="between">
      <formula>0.8</formula>
      <formula>0.9999</formula>
    </cfRule>
    <cfRule type="cellIs" dxfId="49" priority="6" operator="between">
      <formula>0</formula>
      <formula>0.7999</formula>
    </cfRule>
    <cfRule type="containsErrors" dxfId="48" priority="1">
      <formula>ISERROR(AB3)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A5673-E5C1-4C6D-B3AB-6A9D14E9238B}">
  <sheetPr>
    <tabColor rgb="FFFFFF00"/>
  </sheetPr>
  <dimension ref="A1:AB27"/>
  <sheetViews>
    <sheetView topLeftCell="H1" zoomScale="90" zoomScaleNormal="90" workbookViewId="0">
      <selection activeCell="W21" sqref="W21"/>
    </sheetView>
  </sheetViews>
  <sheetFormatPr defaultColWidth="9.140625" defaultRowHeight="15" x14ac:dyDescent="0.25"/>
  <cols>
    <col min="1" max="1" width="39.28515625" style="79" customWidth="1"/>
    <col min="2" max="2" width="14.7109375" style="2" customWidth="1"/>
    <col min="3" max="3" width="14.140625" style="2" customWidth="1"/>
    <col min="4" max="4" width="14.42578125" style="2" customWidth="1"/>
    <col min="5" max="5" width="16" style="2" customWidth="1"/>
    <col min="6" max="6" width="15.7109375" style="2" customWidth="1"/>
    <col min="7" max="7" width="11.42578125" style="2" customWidth="1"/>
    <col min="8" max="13" width="15.5703125" style="2" customWidth="1"/>
    <col min="14" max="14" width="15.140625" style="2" customWidth="1"/>
    <col min="15" max="15" width="15.5703125" style="2" bestFit="1" customWidth="1"/>
    <col min="16" max="16" width="12.42578125" style="2" customWidth="1"/>
    <col min="17" max="17" width="16.140625" style="2" customWidth="1"/>
    <col min="18" max="18" width="16.85546875" style="2" customWidth="1"/>
    <col min="19" max="19" width="11.5703125" style="2" customWidth="1"/>
    <col min="20" max="20" width="14.42578125" style="2" customWidth="1"/>
    <col min="21" max="21" width="9.140625" style="2" customWidth="1"/>
    <col min="22" max="22" width="3.7109375" style="2" customWidth="1"/>
    <col min="23" max="23" width="14.42578125" style="2" customWidth="1"/>
    <col min="24" max="24" width="9.140625" style="2" customWidth="1"/>
    <col min="25" max="25" width="18.140625" style="2" bestFit="1" customWidth="1"/>
    <col min="26" max="26" width="18.28515625" style="2" customWidth="1"/>
    <col min="27" max="27" width="15" style="2" customWidth="1"/>
    <col min="28" max="28" width="16.85546875" style="2" customWidth="1"/>
    <col min="29" max="16384" width="9.140625" style="2"/>
  </cols>
  <sheetData>
    <row r="1" spans="1:28" ht="27" customHeight="1" x14ac:dyDescent="0.25">
      <c r="B1" s="113" t="s">
        <v>114</v>
      </c>
      <c r="C1" s="113"/>
      <c r="D1" s="113"/>
      <c r="E1" s="113" t="s">
        <v>115</v>
      </c>
      <c r="F1" s="113"/>
      <c r="G1" s="113"/>
      <c r="H1" s="113" t="s">
        <v>116</v>
      </c>
      <c r="I1" s="113"/>
      <c r="J1" s="113"/>
      <c r="K1" s="113" t="s">
        <v>117</v>
      </c>
      <c r="L1" s="113"/>
      <c r="M1" s="113"/>
      <c r="N1" s="113" t="s">
        <v>118</v>
      </c>
      <c r="O1" s="113"/>
      <c r="P1" s="113"/>
      <c r="Q1" s="110" t="s">
        <v>1</v>
      </c>
      <c r="R1" s="111"/>
      <c r="S1" s="112"/>
      <c r="Y1" s="109" t="s">
        <v>2</v>
      </c>
      <c r="Z1" s="109"/>
      <c r="AA1" s="109"/>
      <c r="AB1" s="109"/>
    </row>
    <row r="2" spans="1:28" ht="30" x14ac:dyDescent="0.25">
      <c r="A2" s="15" t="s">
        <v>75</v>
      </c>
      <c r="B2" s="16" t="s">
        <v>4</v>
      </c>
      <c r="C2" s="16" t="s">
        <v>5</v>
      </c>
      <c r="D2" s="16" t="s">
        <v>6</v>
      </c>
      <c r="E2" s="16" t="s">
        <v>7</v>
      </c>
      <c r="F2" s="16" t="s">
        <v>8</v>
      </c>
      <c r="G2" s="16" t="s">
        <v>9</v>
      </c>
      <c r="H2" s="16" t="s">
        <v>10</v>
      </c>
      <c r="I2" s="16" t="s">
        <v>11</v>
      </c>
      <c r="J2" s="16" t="s">
        <v>12</v>
      </c>
      <c r="K2" s="16" t="s">
        <v>13</v>
      </c>
      <c r="L2" s="16" t="s">
        <v>14</v>
      </c>
      <c r="M2" s="16" t="s">
        <v>15</v>
      </c>
      <c r="N2" s="16" t="s">
        <v>16</v>
      </c>
      <c r="O2" s="16" t="s">
        <v>17</v>
      </c>
      <c r="P2" s="16" t="s">
        <v>18</v>
      </c>
      <c r="Q2" s="16" t="s">
        <v>19</v>
      </c>
      <c r="R2" s="16" t="s">
        <v>20</v>
      </c>
      <c r="S2" s="16" t="s">
        <v>21</v>
      </c>
      <c r="Y2" s="17" t="s">
        <v>22</v>
      </c>
      <c r="Z2" s="17" t="s">
        <v>23</v>
      </c>
      <c r="AA2" s="92" t="s">
        <v>24</v>
      </c>
      <c r="AB2" s="92" t="s">
        <v>25</v>
      </c>
    </row>
    <row r="3" spans="1:28" x14ac:dyDescent="0.25">
      <c r="A3" s="73"/>
      <c r="B3" s="17" t="s">
        <v>26</v>
      </c>
      <c r="C3" s="10" t="s">
        <v>27</v>
      </c>
      <c r="D3" s="17" t="s">
        <v>28</v>
      </c>
      <c r="E3" s="17" t="s">
        <v>26</v>
      </c>
      <c r="F3" s="10" t="s">
        <v>27</v>
      </c>
      <c r="G3" s="17" t="s">
        <v>28</v>
      </c>
      <c r="H3" s="17" t="s">
        <v>26</v>
      </c>
      <c r="I3" s="10" t="s">
        <v>27</v>
      </c>
      <c r="J3" s="17" t="s">
        <v>28</v>
      </c>
      <c r="K3" s="17" t="s">
        <v>26</v>
      </c>
      <c r="L3" s="10" t="s">
        <v>27</v>
      </c>
      <c r="M3" s="17" t="s">
        <v>28</v>
      </c>
      <c r="N3" s="17" t="s">
        <v>26</v>
      </c>
      <c r="O3" s="10" t="s">
        <v>27</v>
      </c>
      <c r="P3" s="17" t="s">
        <v>28</v>
      </c>
      <c r="Q3" s="17" t="s">
        <v>26</v>
      </c>
      <c r="R3" s="10" t="s">
        <v>27</v>
      </c>
      <c r="S3" s="26" t="s">
        <v>28</v>
      </c>
      <c r="Y3" s="14" t="s">
        <v>29</v>
      </c>
      <c r="Z3" s="56">
        <f>[1]RECEITA!$AF$27</f>
        <v>180485.91999999998</v>
      </c>
      <c r="AA3" s="90">
        <f>R4</f>
        <v>140187.41</v>
      </c>
      <c r="AB3" s="6">
        <f>AA3/Z3</f>
        <v>0.77672213987661765</v>
      </c>
    </row>
    <row r="4" spans="1:28" ht="30" x14ac:dyDescent="0.25">
      <c r="A4" s="28" t="s">
        <v>30</v>
      </c>
      <c r="B4" s="20">
        <f>[1]RECEITA!$B$27</f>
        <v>15023.688172010245</v>
      </c>
      <c r="C4" s="12">
        <f>[1]RECEITA!$D$27</f>
        <v>6724.13</v>
      </c>
      <c r="D4" s="6">
        <f>C4/B4</f>
        <v>0.44756852798152014</v>
      </c>
      <c r="E4" s="20">
        <f>[1]RECEITA!$H$27</f>
        <v>36408.046678940547</v>
      </c>
      <c r="F4" s="12">
        <f>[1]RECEITA!$J$27</f>
        <v>32115.05</v>
      </c>
      <c r="G4" s="6">
        <f>F4/E4</f>
        <v>0.88208659704274273</v>
      </c>
      <c r="H4" s="20">
        <f>[1]RECEITA!$N$27</f>
        <v>41882.056081831499</v>
      </c>
      <c r="I4" s="12">
        <f>[1]RECEITA!$P$27</f>
        <v>35723.879999999997</v>
      </c>
      <c r="J4" s="6">
        <f>I4/H4</f>
        <v>0.85296385474009884</v>
      </c>
      <c r="K4" s="20">
        <f>[1]RECEITA!$T$27</f>
        <v>46357.616858745547</v>
      </c>
      <c r="L4" s="12">
        <f>[1]RECEITA!$V$27</f>
        <v>31925.7</v>
      </c>
      <c r="M4" s="6">
        <f>L4/K4</f>
        <v>0.68868294281130826</v>
      </c>
      <c r="N4" s="20">
        <f>[1]RECEITA!$Z$27</f>
        <v>40814.512208472152</v>
      </c>
      <c r="O4" s="12">
        <f>[1]RECEITA!$AB$27</f>
        <v>33698.65</v>
      </c>
      <c r="P4" s="6">
        <f>O4/N4</f>
        <v>0.82565362604051751</v>
      </c>
      <c r="Q4" s="20">
        <f>IF(O4 = 0, IF(L4 = 0, IF(I4 = 0, IF(F4 = 0, B4, SUM(B4, E4)), SUM(B4, E4, H4)), SUM(B4, E4, H4, K4)), SUM(B4, E4, H4, K4, N4))</f>
        <v>180485.91999999998</v>
      </c>
      <c r="R4" s="52">
        <f>O4+L4+I4+F4+C4</f>
        <v>140187.41</v>
      </c>
      <c r="S4" s="6">
        <f>R4/Q4</f>
        <v>0.77672213987661765</v>
      </c>
      <c r="W4" s="61">
        <f>N4+K4+H4+E4+B4</f>
        <v>180485.91999999998</v>
      </c>
      <c r="X4" s="47"/>
      <c r="Y4" s="14" t="s">
        <v>31</v>
      </c>
      <c r="Z4" s="56">
        <f>Z3/Z5</f>
        <v>92.131659009698822</v>
      </c>
      <c r="AA4" s="90">
        <f>R5</f>
        <v>104.61747014925373</v>
      </c>
      <c r="AB4" s="6">
        <f t="shared" ref="AB4:AB6" si="0">AA4/Z4</f>
        <v>1.1355213970285776</v>
      </c>
    </row>
    <row r="5" spans="1:28" x14ac:dyDescent="0.25">
      <c r="A5" s="28" t="s">
        <v>32</v>
      </c>
      <c r="B5" s="20">
        <f>B4/B8</f>
        <v>103.43005333325412</v>
      </c>
      <c r="C5" s="7">
        <f>'[1]VENDA MÉDIA'!$D$27</f>
        <v>105.06453125</v>
      </c>
      <c r="D5" s="6">
        <f>C5/B5</f>
        <v>1.0158027368648797</v>
      </c>
      <c r="E5" s="20">
        <f>E4/E8</f>
        <v>53.941876203562359</v>
      </c>
      <c r="F5" s="7">
        <f>'[1]VENDA MÉDIA'!$I$27</f>
        <v>104.26964285714286</v>
      </c>
      <c r="G5" s="6">
        <f>F5/E5</f>
        <v>1.9329999287317488</v>
      </c>
      <c r="H5" s="20">
        <f>H4/H8</f>
        <v>108.39682085963393</v>
      </c>
      <c r="I5" s="7">
        <f>'[1]VENDA MÉDIA'!$N$27</f>
        <v>123.61204152249134</v>
      </c>
      <c r="J5" s="6">
        <f>I5/H5</f>
        <v>1.1403659308658141</v>
      </c>
      <c r="K5" s="20">
        <f>K4/K8</f>
        <v>110.05082220607773</v>
      </c>
      <c r="L5" s="7">
        <f>'[1]VENDA MÉDIA'!$S$27</f>
        <v>99.767812500000005</v>
      </c>
      <c r="M5" s="64">
        <f>L5/K5</f>
        <v>0.90656126415101124</v>
      </c>
      <c r="N5" s="20">
        <f>N4/N8</f>
        <v>123.23950666699378</v>
      </c>
      <c r="O5" s="7">
        <f>'[1]VENDA MÉDIA'!$X$27</f>
        <v>93.868105849582179</v>
      </c>
      <c r="P5" s="64">
        <f>O5/N5</f>
        <v>0.76167219740033332</v>
      </c>
      <c r="Q5" s="60">
        <f>Q4/Q8</f>
        <v>92.131659009698808</v>
      </c>
      <c r="R5" s="8">
        <f>R4/R8</f>
        <v>104.61747014925373</v>
      </c>
      <c r="S5" s="6">
        <f>R5/Q5</f>
        <v>1.1355213970285776</v>
      </c>
      <c r="Y5" s="14" t="s">
        <v>33</v>
      </c>
      <c r="Z5" s="67">
        <f>[1]BOLETOS!$AB$26</f>
        <v>1958.9999999999998</v>
      </c>
      <c r="AA5" s="91">
        <f>R8</f>
        <v>1340</v>
      </c>
      <c r="AB5" s="6">
        <f t="shared" si="0"/>
        <v>0.68402246043899961</v>
      </c>
    </row>
    <row r="6" spans="1:28" x14ac:dyDescent="0.25">
      <c r="A6" s="28" t="s">
        <v>34</v>
      </c>
      <c r="B6" s="41">
        <f>'[1]ITENS POR BOLETO'!$A$26</f>
        <v>2.85</v>
      </c>
      <c r="C6" s="10">
        <f>'[1]ITENS POR BOLETO'!$D$26</f>
        <v>2.34375</v>
      </c>
      <c r="D6" s="6">
        <f t="shared" ref="D6:D19" si="1">C6/B6</f>
        <v>0.82236842105263153</v>
      </c>
      <c r="E6" s="17">
        <f t="shared" ref="E6:E22" si="2">B6</f>
        <v>2.85</v>
      </c>
      <c r="F6" s="11">
        <f>'[1]ITENS POR BOLETO'!$I$26</f>
        <v>2.4123376623376624</v>
      </c>
      <c r="G6" s="6">
        <f t="shared" ref="G6:G19" si="3">F6/E6</f>
        <v>0.84643426748689909</v>
      </c>
      <c r="H6" s="17">
        <f t="shared" ref="H6:H22" si="4">E6</f>
        <v>2.85</v>
      </c>
      <c r="I6" s="11">
        <f>'[1]ITENS POR BOLETO'!$N$26</f>
        <v>2.9031141868512109</v>
      </c>
      <c r="J6" s="6">
        <f t="shared" ref="J6:J19" si="5">I6/H6</f>
        <v>1.0186365567898985</v>
      </c>
      <c r="K6" s="17">
        <f t="shared" ref="K6:K22" si="6">H6</f>
        <v>2.85</v>
      </c>
      <c r="L6" s="11">
        <f>'[1]ITENS POR BOLETO'!$S$26</f>
        <v>2.6812499999999999</v>
      </c>
      <c r="M6" s="6">
        <f t="shared" ref="M6:M19" si="7">L6/K6</f>
        <v>0.94078947368421051</v>
      </c>
      <c r="N6" s="17">
        <f t="shared" ref="N6:N22" si="8">K6</f>
        <v>2.85</v>
      </c>
      <c r="O6" s="11">
        <f>'[1]ITENS POR BOLETO'!$X$26</f>
        <v>2.7103064066852367</v>
      </c>
      <c r="P6" s="6">
        <f t="shared" ref="P6:P19" si="9">O6/N6</f>
        <v>0.95098470410008307</v>
      </c>
      <c r="Q6" s="17">
        <f>B6</f>
        <v>2.85</v>
      </c>
      <c r="R6" s="11">
        <f>'[1]ITENS POR BOLETO'!$AC$26</f>
        <v>2.6589552238805969</v>
      </c>
      <c r="S6" s="6">
        <f t="shared" ref="S6:S19" si="10">R6/Q6</f>
        <v>0.93296674522126199</v>
      </c>
      <c r="Y6" s="93" t="s">
        <v>35</v>
      </c>
      <c r="Z6" s="93">
        <v>13</v>
      </c>
      <c r="AA6" s="93">
        <f>R17</f>
        <v>18</v>
      </c>
      <c r="AB6" s="99">
        <f t="shared" si="0"/>
        <v>1.3846153846153846</v>
      </c>
    </row>
    <row r="7" spans="1:28" x14ac:dyDescent="0.25">
      <c r="A7" s="29" t="s">
        <v>36</v>
      </c>
      <c r="B7" s="27">
        <f>'[1]PREÇO MÉDIO'!$A$26</f>
        <v>32.332631578947371</v>
      </c>
      <c r="C7" s="12">
        <f>'[1]PREÇO MÉDIO'!$D$26</f>
        <v>44.827533333333335</v>
      </c>
      <c r="D7" s="6">
        <f>C7/B7</f>
        <v>1.3864486478274081</v>
      </c>
      <c r="E7" s="27">
        <f t="shared" si="2"/>
        <v>32.332631578947371</v>
      </c>
      <c r="F7" s="12">
        <f>'[1]PREÇO MÉDIO'!$I$26</f>
        <v>43.223485868102287</v>
      </c>
      <c r="G7" s="6">
        <f>F7/E7</f>
        <v>1.3368378556679636</v>
      </c>
      <c r="H7" s="27">
        <f t="shared" si="4"/>
        <v>32.332631578947371</v>
      </c>
      <c r="I7" s="12">
        <f>'[1]PREÇO MÉDIO'!$N$26</f>
        <v>42.579117997616208</v>
      </c>
      <c r="J7" s="6">
        <f>I7/H7</f>
        <v>1.3169085199158548</v>
      </c>
      <c r="K7" s="27">
        <f t="shared" si="6"/>
        <v>32.332631578947371</v>
      </c>
      <c r="L7" s="12">
        <f>'[1]PREÇO MÉDIO'!$S$26</f>
        <v>37.209440559440559</v>
      </c>
      <c r="M7" s="6">
        <f>L7/K7</f>
        <v>1.1508324173547508</v>
      </c>
      <c r="N7" s="27">
        <f t="shared" si="8"/>
        <v>32.332631578947371</v>
      </c>
      <c r="O7" s="12">
        <f>'[1]PREÇO MÉDIO'!$X$26</f>
        <v>34.633761562178833</v>
      </c>
      <c r="P7" s="6">
        <f t="shared" ref="P7:P12" si="11">O7/N7</f>
        <v>1.0711705132201423</v>
      </c>
      <c r="Q7" s="27">
        <f>B7</f>
        <v>32.332631578947371</v>
      </c>
      <c r="R7" s="12">
        <f>'[1]PREÇO MÉDIO'!$AC$26</f>
        <v>39.345329778276735</v>
      </c>
      <c r="S7" s="6">
        <f>R7/Q7</f>
        <v>1.2168922805496449</v>
      </c>
    </row>
    <row r="8" spans="1:28" x14ac:dyDescent="0.25">
      <c r="A8" s="28" t="s">
        <v>37</v>
      </c>
      <c r="B8" s="58">
        <f>[1]BOLETOS!$C$26</f>
        <v>145.25457241720218</v>
      </c>
      <c r="C8" s="10">
        <f>[1]BOLETOS!$D$26</f>
        <v>64</v>
      </c>
      <c r="D8" s="6">
        <f>C8/B8</f>
        <v>0.44060575123362256</v>
      </c>
      <c r="E8" s="58">
        <f>[1]BOLETOS!$H$26</f>
        <v>674.94957983193274</v>
      </c>
      <c r="F8" s="59">
        <f>[1]BOLETOS!$I$26</f>
        <v>308</v>
      </c>
      <c r="G8" s="6">
        <f>F8/E8</f>
        <v>0.45633038259938496</v>
      </c>
      <c r="H8" s="58">
        <f>[1]BOLETOS!$M$26</f>
        <v>386.37716262975778</v>
      </c>
      <c r="I8" s="59">
        <f>[1]BOLETOS!$N$26</f>
        <v>289</v>
      </c>
      <c r="J8" s="6">
        <f>I8/H8</f>
        <v>0.74797381406553654</v>
      </c>
      <c r="K8" s="58">
        <f>[1]BOLETOS!$R$26</f>
        <v>421.2382600098864</v>
      </c>
      <c r="L8" s="59">
        <f>[1]BOLETOS!$S$26</f>
        <v>320</v>
      </c>
      <c r="M8" s="6">
        <f>L8/K8</f>
        <v>0.75966508833383184</v>
      </c>
      <c r="N8" s="58">
        <f>[1]BOLETOS!$W$26</f>
        <v>331.18042511122098</v>
      </c>
      <c r="O8" s="59">
        <f>[1]BOLETOS!$X$26</f>
        <v>359</v>
      </c>
      <c r="P8" s="6">
        <f t="shared" si="11"/>
        <v>1.0840012657132025</v>
      </c>
      <c r="Q8" s="51">
        <f>IF(O8 = 0, IF(L8 = 0, IF(I8 = 0, IF(F8 = 0, B8, SUM(B8, E8)), SUM(B8, E8, H8)), SUM(B8, E8, H8, K8)), SUM(B8, E8, H8, K8, N8))</f>
        <v>1959.0000000000002</v>
      </c>
      <c r="R8" s="59">
        <f>C8+F8+I8+L8+O8</f>
        <v>1340</v>
      </c>
      <c r="S8" s="6">
        <f>R8/Q8</f>
        <v>0.68402246043899939</v>
      </c>
      <c r="W8" s="62">
        <f>N8+K8+H8+E8+B8</f>
        <v>1958.9999999999998</v>
      </c>
    </row>
    <row r="9" spans="1:28" x14ac:dyDescent="0.25">
      <c r="A9" s="18" t="s">
        <v>38</v>
      </c>
      <c r="B9" s="19">
        <v>0.34</v>
      </c>
      <c r="C9" s="5">
        <f>'[1]TAXA DE CONVERSÃO'!$D$26</f>
        <v>0.48099999999999998</v>
      </c>
      <c r="D9" s="6">
        <f>C9/B9</f>
        <v>1.414705882352941</v>
      </c>
      <c r="E9" s="19">
        <f>Tabela124252627282933343546[[#This Row],[1° SEMANA ]]</f>
        <v>0.34</v>
      </c>
      <c r="F9" s="65">
        <f>'[1]TAXA DE CONVERSÃO'!$I$26</f>
        <v>0.34599999999999997</v>
      </c>
      <c r="G9" s="6">
        <f>F9/E9</f>
        <v>1.0176470588235293</v>
      </c>
      <c r="H9" s="19">
        <f>Tabela124252627282933343546[[#This Row],[2° SEMANA ]]</f>
        <v>0.34</v>
      </c>
      <c r="I9" s="65">
        <f>'[1]TAXA DE CONVERSÃO'!$N$26</f>
        <v>0.33600000000000002</v>
      </c>
      <c r="J9" s="6">
        <f>I9/H9</f>
        <v>0.9882352941176471</v>
      </c>
      <c r="K9" s="19">
        <f>Tabela124252627282933343546[[#This Row],[3° SEMANA ]]</f>
        <v>0.34</v>
      </c>
      <c r="L9" s="65">
        <f>'[1]TAXA DE CONVERSÃO'!$S$26</f>
        <v>0.35199999999999998</v>
      </c>
      <c r="M9" s="6">
        <f>L9/K9</f>
        <v>1.0352941176470587</v>
      </c>
      <c r="N9" s="19">
        <f>Tabela124252627282933343546[[#This Row],[4° SEMANA ]]</f>
        <v>0.34</v>
      </c>
      <c r="O9" s="65">
        <f>'[1]TAXA DE CONVERSÃO'!$X$26</f>
        <v>0.36299999999999999</v>
      </c>
      <c r="P9" s="6">
        <f t="shared" si="11"/>
        <v>1.0676470588235294</v>
      </c>
      <c r="Q9" s="19">
        <f>Tabela1[[#This Row],[5° SEMANA ]]</f>
        <v>0.34</v>
      </c>
      <c r="R9" s="65">
        <f t="shared" ref="R9:R16" si="12">O9</f>
        <v>0.36299999999999999</v>
      </c>
      <c r="S9" s="6">
        <f t="shared" ref="S9" si="13">R9/Q9</f>
        <v>1.0676470588235294</v>
      </c>
    </row>
    <row r="10" spans="1:28" x14ac:dyDescent="0.25">
      <c r="A10" s="28" t="s">
        <v>39</v>
      </c>
      <c r="B10" s="19">
        <v>0.88</v>
      </c>
      <c r="C10" s="5">
        <f>'[1]PENETRAÇÃO D BOLETOS FIDELIDADE'!$D$27</f>
        <v>0.47370000000000001</v>
      </c>
      <c r="D10" s="6">
        <f>C10/B10</f>
        <v>0.53829545454545458</v>
      </c>
      <c r="E10" s="19">
        <f t="shared" si="2"/>
        <v>0.88</v>
      </c>
      <c r="F10" s="5">
        <f>'[1]PENETRAÇÃO D BOLETOS FIDELIDADE'!$I$27</f>
        <v>0.55210000000000004</v>
      </c>
      <c r="G10" s="6">
        <f>F10/E10</f>
        <v>0.62738636363636369</v>
      </c>
      <c r="H10" s="19">
        <f t="shared" si="4"/>
        <v>0.88</v>
      </c>
      <c r="I10" s="5">
        <f>'[1]PENETRAÇÃO D BOLETOS FIDELIDADE'!$N$27</f>
        <v>0.58750000000000002</v>
      </c>
      <c r="J10" s="6">
        <f>I10/H10</f>
        <v>0.66761363636363635</v>
      </c>
      <c r="K10" s="19">
        <f t="shared" si="6"/>
        <v>0.88</v>
      </c>
      <c r="L10" s="5">
        <f>'[1]PENETRAÇÃO D BOLETOS FIDELIDADE'!$S$27</f>
        <v>0.63270000000000004</v>
      </c>
      <c r="M10" s="6">
        <f>L10/K10</f>
        <v>0.71897727272727274</v>
      </c>
      <c r="N10" s="19">
        <f t="shared" si="8"/>
        <v>0.88</v>
      </c>
      <c r="O10" s="5">
        <f>'[1]PENETRAÇÃO D BOLETOS FIDELIDADE'!$X$27</f>
        <v>0.65549999999999997</v>
      </c>
      <c r="P10" s="6">
        <f t="shared" si="11"/>
        <v>0.74488636363636362</v>
      </c>
      <c r="Q10" s="19">
        <f t="shared" ref="Q10:Q16" si="14">B10</f>
        <v>0.88</v>
      </c>
      <c r="R10" s="5">
        <f t="shared" si="12"/>
        <v>0.65549999999999997</v>
      </c>
      <c r="S10" s="6">
        <f>R10/Q10</f>
        <v>0.74488636363636362</v>
      </c>
      <c r="U10" s="48"/>
    </row>
    <row r="11" spans="1:28" x14ac:dyDescent="0.25">
      <c r="A11" s="18" t="s">
        <v>40</v>
      </c>
      <c r="B11" s="21">
        <v>0.45</v>
      </c>
      <c r="C11" s="5">
        <f>'[1]RESGATE FIDELIDADE'!$D$26</f>
        <v>0.22220000000000001</v>
      </c>
      <c r="D11" s="6">
        <f>C11/B11</f>
        <v>0.49377777777777776</v>
      </c>
      <c r="E11" s="21">
        <f t="shared" si="2"/>
        <v>0.45</v>
      </c>
      <c r="F11" s="5">
        <f>'[1]RESGATE FIDELIDADE'!$I$26</f>
        <v>0.2326</v>
      </c>
      <c r="G11" s="6">
        <f>F11/E11</f>
        <v>0.51688888888888884</v>
      </c>
      <c r="H11" s="21">
        <f t="shared" si="4"/>
        <v>0.45</v>
      </c>
      <c r="I11" s="5">
        <f>'[1]RESGATE FIDELIDADE'!$N$26</f>
        <v>0.25380000000000003</v>
      </c>
      <c r="J11" s="6">
        <f>I11/H11</f>
        <v>0.56400000000000006</v>
      </c>
      <c r="K11" s="21">
        <f t="shared" si="6"/>
        <v>0.45</v>
      </c>
      <c r="L11" s="5">
        <f>'[1]RESGATE FIDELIDADE'!$S$26</f>
        <v>0.25</v>
      </c>
      <c r="M11" s="6">
        <f>L11/K11</f>
        <v>0.55555555555555558</v>
      </c>
      <c r="N11" s="21">
        <f t="shared" si="8"/>
        <v>0.45</v>
      </c>
      <c r="O11" s="5">
        <f>'[1]RESGATE FIDELIDADE'!$X$26</f>
        <v>0.26050000000000001</v>
      </c>
      <c r="P11" s="6">
        <f t="shared" si="11"/>
        <v>0.5788888888888889</v>
      </c>
      <c r="Q11" s="21">
        <f t="shared" si="14"/>
        <v>0.45</v>
      </c>
      <c r="R11" s="5">
        <f t="shared" si="12"/>
        <v>0.26050000000000001</v>
      </c>
      <c r="S11" s="6">
        <f>R11/Q11</f>
        <v>0.5788888888888889</v>
      </c>
    </row>
    <row r="12" spans="1:28" s="101" customFormat="1" x14ac:dyDescent="0.25">
      <c r="A12" s="18" t="s">
        <v>41</v>
      </c>
      <c r="B12" s="21">
        <v>1.7000000000000001E-2</v>
      </c>
      <c r="C12" s="5">
        <f>'[1]GESTÃO CATEGORIAS LOJAS (SKIN)'!$D$26</f>
        <v>5.9900000000000002E-2</v>
      </c>
      <c r="D12" s="6">
        <f t="shared" si="1"/>
        <v>3.5235294117647058</v>
      </c>
      <c r="E12" s="21">
        <f t="shared" si="2"/>
        <v>1.7000000000000001E-2</v>
      </c>
      <c r="F12" s="5">
        <f>'[1]GESTÃO CATEGORIAS LOJAS (SKIN)'!$I$26</f>
        <v>3.9E-2</v>
      </c>
      <c r="G12" s="6">
        <f t="shared" si="3"/>
        <v>2.2941176470588234</v>
      </c>
      <c r="H12" s="21">
        <f t="shared" si="4"/>
        <v>1.7000000000000001E-2</v>
      </c>
      <c r="I12" s="5">
        <f>'[1]GESTÃO CATEGORIAS LOJAS (SKIN)'!$N$26</f>
        <v>4.1099999999999998E-2</v>
      </c>
      <c r="J12" s="6">
        <f t="shared" si="5"/>
        <v>2.4176470588235293</v>
      </c>
      <c r="K12" s="21">
        <f t="shared" si="6"/>
        <v>1.7000000000000001E-2</v>
      </c>
      <c r="L12" s="5">
        <f>'[1]GESTÃO CATEGORIAS LOJAS (SKIN)'!$S$26</f>
        <v>3.73E-2</v>
      </c>
      <c r="M12" s="6">
        <f t="shared" si="7"/>
        <v>2.1941176470588233</v>
      </c>
      <c r="N12" s="21">
        <f t="shared" si="8"/>
        <v>1.7000000000000001E-2</v>
      </c>
      <c r="O12" s="5">
        <f>'[1]GESTÃO CATEGORIAS LOJAS (SKIN)'!$X$26</f>
        <v>3.1099999999999999E-2</v>
      </c>
      <c r="P12" s="6">
        <f t="shared" si="11"/>
        <v>1.8294117647058821</v>
      </c>
      <c r="Q12" s="21">
        <f t="shared" si="14"/>
        <v>1.7000000000000001E-2</v>
      </c>
      <c r="R12" s="5">
        <f t="shared" si="12"/>
        <v>3.1099999999999999E-2</v>
      </c>
      <c r="S12" s="6">
        <f t="shared" si="10"/>
        <v>1.8294117647058821</v>
      </c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5">
      <c r="A13" s="18" t="s">
        <v>42</v>
      </c>
      <c r="B13" s="21">
        <v>0.1</v>
      </c>
      <c r="C13" s="5">
        <f>'[1]PENETRAÇÃO BP'!$D$26</f>
        <v>6.9800000000000001E-2</v>
      </c>
      <c r="D13" s="6">
        <f t="shared" ref="D13:D18" si="15">C13/B13</f>
        <v>0.69799999999999995</v>
      </c>
      <c r="E13" s="21">
        <v>0.1</v>
      </c>
      <c r="F13" s="5">
        <f>'[1]PENETRAÇÃO BP'!$I$26</f>
        <v>5.4300000000000001E-2</v>
      </c>
      <c r="G13" s="6">
        <f t="shared" ref="G13:G18" si="16">F13/E13</f>
        <v>0.54299999999999993</v>
      </c>
      <c r="H13" s="21">
        <f t="shared" si="4"/>
        <v>0.1</v>
      </c>
      <c r="I13" s="5">
        <f>'[1]PENETRAÇÃO BP'!$N$26</f>
        <v>9.1600000000000001E-2</v>
      </c>
      <c r="J13" s="6">
        <f t="shared" ref="J13:J18" si="17">I13/H13</f>
        <v>0.91599999999999993</v>
      </c>
      <c r="K13" s="21">
        <f t="shared" si="6"/>
        <v>0.1</v>
      </c>
      <c r="L13" s="5">
        <f>'[1]PENETRAÇÃO BP'!$S$26</f>
        <v>0.12620000000000001</v>
      </c>
      <c r="M13" s="6">
        <f t="shared" ref="M13:M18" si="18">L13/K13</f>
        <v>1.262</v>
      </c>
      <c r="N13" s="21">
        <f t="shared" si="8"/>
        <v>0.1</v>
      </c>
      <c r="O13" s="5">
        <f>'[1]PENETRAÇÃO BP'!$X$26</f>
        <v>0.12520000000000001</v>
      </c>
      <c r="P13" s="6">
        <f t="shared" ref="P13:P18" si="19">O13/N13</f>
        <v>1.252</v>
      </c>
      <c r="Q13" s="21">
        <f t="shared" si="14"/>
        <v>0.1</v>
      </c>
      <c r="R13" s="5">
        <f t="shared" si="12"/>
        <v>0.12520000000000001</v>
      </c>
      <c r="S13" s="6">
        <f t="shared" ref="S13:S18" si="20">R13/Q13</f>
        <v>1.252</v>
      </c>
    </row>
    <row r="14" spans="1:28" x14ac:dyDescent="0.25">
      <c r="A14" s="28" t="s">
        <v>43</v>
      </c>
      <c r="B14" s="21">
        <v>0.22</v>
      </c>
      <c r="C14" s="5">
        <f>'[1]PENETRAÇÃO BT'!$D$26</f>
        <v>0.1053</v>
      </c>
      <c r="D14" s="6">
        <f t="shared" si="15"/>
        <v>0.47863636363636364</v>
      </c>
      <c r="E14" s="21">
        <f t="shared" si="2"/>
        <v>0.22</v>
      </c>
      <c r="F14" s="5">
        <f>'[1]PENETRAÇÃO BT'!$I$26</f>
        <v>0.12529999999999999</v>
      </c>
      <c r="G14" s="6">
        <f t="shared" si="16"/>
        <v>0.56954545454545447</v>
      </c>
      <c r="H14" s="21">
        <f t="shared" si="4"/>
        <v>0.22</v>
      </c>
      <c r="I14" s="5">
        <f>'[1]PENETRAÇÃO BT'!$N$26</f>
        <v>0.18309999999999998</v>
      </c>
      <c r="J14" s="6">
        <f t="shared" si="17"/>
        <v>0.83227272727272716</v>
      </c>
      <c r="K14" s="21">
        <f t="shared" si="6"/>
        <v>0.22</v>
      </c>
      <c r="L14" s="5">
        <f>'[1]PENETRAÇÃO BT'!$S$26</f>
        <v>0.21659999999999999</v>
      </c>
      <c r="M14" s="6">
        <f t="shared" si="18"/>
        <v>0.9845454545454545</v>
      </c>
      <c r="N14" s="21">
        <f t="shared" si="8"/>
        <v>0.22</v>
      </c>
      <c r="O14" s="5">
        <f>'[1]PENETRAÇÃO BT'!$X$26</f>
        <v>0.23279999999999998</v>
      </c>
      <c r="P14" s="6">
        <f t="shared" si="19"/>
        <v>1.0581818181818181</v>
      </c>
      <c r="Q14" s="21">
        <f t="shared" si="14"/>
        <v>0.22</v>
      </c>
      <c r="R14" s="5">
        <f t="shared" si="12"/>
        <v>0.23279999999999998</v>
      </c>
      <c r="S14" s="6">
        <f t="shared" si="20"/>
        <v>1.0581818181818181</v>
      </c>
    </row>
    <row r="15" spans="1:28" x14ac:dyDescent="0.25">
      <c r="A15" s="28" t="s">
        <v>44</v>
      </c>
      <c r="B15" s="22">
        <v>0.6</v>
      </c>
      <c r="C15" s="5">
        <f>'[1]ID DO CLIENTE'!$D$26</f>
        <v>0.34380000000000005</v>
      </c>
      <c r="D15" s="6">
        <f t="shared" si="15"/>
        <v>0.57300000000000006</v>
      </c>
      <c r="E15" s="22">
        <f t="shared" si="2"/>
        <v>0.6</v>
      </c>
      <c r="F15" s="5">
        <f>'[1]ID DO CLIENTE'!$I$26</f>
        <v>0.37430000000000002</v>
      </c>
      <c r="G15" s="6">
        <f t="shared" si="16"/>
        <v>0.62383333333333335</v>
      </c>
      <c r="H15" s="22">
        <f t="shared" si="4"/>
        <v>0.6</v>
      </c>
      <c r="I15" s="5">
        <f>'[1]ID DO CLIENTE'!$N$26</f>
        <v>0.39179999999999998</v>
      </c>
      <c r="J15" s="6">
        <f t="shared" si="17"/>
        <v>0.65300000000000002</v>
      </c>
      <c r="K15" s="22">
        <f t="shared" si="6"/>
        <v>0.6</v>
      </c>
      <c r="L15" s="5">
        <f>'[1]ID DO CLIENTE'!$S$26</f>
        <v>0.45380000000000004</v>
      </c>
      <c r="M15" s="6">
        <f t="shared" si="18"/>
        <v>0.75633333333333341</v>
      </c>
      <c r="N15" s="22">
        <f t="shared" si="8"/>
        <v>0.6</v>
      </c>
      <c r="O15" s="5">
        <f>'[1]ID DO CLIENTE'!$X$26</f>
        <v>0.49640000000000001</v>
      </c>
      <c r="P15" s="6">
        <f t="shared" si="19"/>
        <v>0.82733333333333337</v>
      </c>
      <c r="Q15" s="22">
        <f t="shared" si="14"/>
        <v>0.6</v>
      </c>
      <c r="R15" s="5">
        <f t="shared" si="12"/>
        <v>0.49640000000000001</v>
      </c>
      <c r="S15" s="6">
        <f t="shared" si="20"/>
        <v>0.82733333333333337</v>
      </c>
    </row>
    <row r="16" spans="1:28" x14ac:dyDescent="0.25">
      <c r="A16" s="28" t="s">
        <v>45</v>
      </c>
      <c r="B16" s="22">
        <v>0.98</v>
      </c>
      <c r="C16" s="55">
        <f>'[1]SEPARAÇÃO NO PRAZO C&amp;R'!$D$26</f>
        <v>1</v>
      </c>
      <c r="D16" s="6">
        <f t="shared" si="15"/>
        <v>1.0204081632653061</v>
      </c>
      <c r="E16" s="22">
        <f t="shared" si="2"/>
        <v>0.98</v>
      </c>
      <c r="F16" s="55">
        <f>'[1]SEPARAÇÃO NO PRAZO C&amp;R'!$I$26</f>
        <v>1</v>
      </c>
      <c r="G16" s="6">
        <f t="shared" si="16"/>
        <v>1.0204081632653061</v>
      </c>
      <c r="H16" s="22">
        <f t="shared" si="4"/>
        <v>0.98</v>
      </c>
      <c r="I16" s="55">
        <f>'[1]SEPARAÇÃO NO PRAZO C&amp;R'!$N$26</f>
        <v>1</v>
      </c>
      <c r="J16" s="6">
        <f t="shared" si="17"/>
        <v>1.0204081632653061</v>
      </c>
      <c r="K16" s="22">
        <f t="shared" si="6"/>
        <v>0.98</v>
      </c>
      <c r="L16" s="55">
        <f>'[1]SEPARAÇÃO NO PRAZO C&amp;R'!$S$26</f>
        <v>1</v>
      </c>
      <c r="M16" s="6">
        <f t="shared" si="18"/>
        <v>1.0204081632653061</v>
      </c>
      <c r="N16" s="22">
        <f t="shared" si="8"/>
        <v>0.98</v>
      </c>
      <c r="O16" s="9">
        <f>'[1]SEPARAÇÃO NO PRAZO C&amp;R'!$X$26</f>
        <v>1</v>
      </c>
      <c r="P16" s="6">
        <f t="shared" si="19"/>
        <v>1.0204081632653061</v>
      </c>
      <c r="Q16" s="22">
        <f t="shared" si="14"/>
        <v>0.98</v>
      </c>
      <c r="R16" s="5">
        <f t="shared" si="12"/>
        <v>1</v>
      </c>
      <c r="S16" s="6">
        <f t="shared" si="20"/>
        <v>1.0204081632653061</v>
      </c>
    </row>
    <row r="17" spans="1:19" x14ac:dyDescent="0.25">
      <c r="A17" s="28" t="s">
        <v>46</v>
      </c>
      <c r="B17" s="23">
        <v>3</v>
      </c>
      <c r="C17" s="59">
        <f>'[1]Q° DE SERVIÇOS'!$D$21</f>
        <v>3</v>
      </c>
      <c r="D17" s="6">
        <f t="shared" si="15"/>
        <v>1</v>
      </c>
      <c r="E17" s="23">
        <f t="shared" si="2"/>
        <v>3</v>
      </c>
      <c r="F17" s="59">
        <f>'[1]Q° DE SERVIÇOS'!$I$21</f>
        <v>2</v>
      </c>
      <c r="G17" s="6">
        <f t="shared" si="16"/>
        <v>0.66666666666666663</v>
      </c>
      <c r="H17" s="23">
        <f t="shared" si="4"/>
        <v>3</v>
      </c>
      <c r="I17" s="10">
        <f>'[1]Q° DE SERVIÇOS'!$N$21</f>
        <v>5</v>
      </c>
      <c r="J17" s="6">
        <f t="shared" si="17"/>
        <v>1.6666666666666667</v>
      </c>
      <c r="K17" s="23">
        <v>2</v>
      </c>
      <c r="L17" s="10">
        <f>'[1]Q° DE SERVIÇOS'!$S$21</f>
        <v>4</v>
      </c>
      <c r="M17" s="6">
        <f t="shared" si="18"/>
        <v>2</v>
      </c>
      <c r="N17" s="23">
        <v>2</v>
      </c>
      <c r="O17" s="5">
        <f>'[1]Q° DE SERVIÇOS'!$X$21</f>
        <v>4</v>
      </c>
      <c r="P17" s="6">
        <f t="shared" si="19"/>
        <v>2</v>
      </c>
      <c r="Q17" s="78">
        <f>IF(O17 = 0, IF(L17 = 0, IF(I17 = 0, IF(F17 = 0, B17, SUM(B17, E17)), SUM(B17, E17, H17)), SUM(B17, E17, H17, K17)), SUM(B17, E17, H17, K17, N17))</f>
        <v>13</v>
      </c>
      <c r="R17" s="10">
        <f>C17+F17+I17+L17+O17</f>
        <v>18</v>
      </c>
      <c r="S17" s="6">
        <f t="shared" si="20"/>
        <v>1.3846153846153846</v>
      </c>
    </row>
    <row r="18" spans="1:19" x14ac:dyDescent="0.25">
      <c r="A18" s="28" t="s">
        <v>47</v>
      </c>
      <c r="B18" s="46">
        <v>0.25</v>
      </c>
      <c r="C18" s="5">
        <f>'[1]CONVERSÃO AÇÃO DE FLUXO'!$D$26</f>
        <v>0</v>
      </c>
      <c r="D18" s="6">
        <f t="shared" si="15"/>
        <v>0</v>
      </c>
      <c r="E18" s="46">
        <f>B18</f>
        <v>0.25</v>
      </c>
      <c r="F18" s="65">
        <f>'[1]CONVERSÃO AÇÃO DE FLUXO'!$I$26</f>
        <v>0</v>
      </c>
      <c r="G18" s="6">
        <f t="shared" si="16"/>
        <v>0</v>
      </c>
      <c r="H18" s="46">
        <f>E18</f>
        <v>0.25</v>
      </c>
      <c r="I18" s="65">
        <f>'[1]CONVERSÃO AÇÃO DE FLUXO'!$N$26</f>
        <v>0</v>
      </c>
      <c r="J18" s="6">
        <f t="shared" si="17"/>
        <v>0</v>
      </c>
      <c r="K18" s="17">
        <f>H18</f>
        <v>0.25</v>
      </c>
      <c r="L18" s="65">
        <f>'[1]CONVERSÃO AÇÃO DE FLUXO'!$S$26</f>
        <v>0</v>
      </c>
      <c r="M18" s="6">
        <f t="shared" si="18"/>
        <v>0</v>
      </c>
      <c r="N18" s="17">
        <f>K18</f>
        <v>0.25</v>
      </c>
      <c r="O18" s="65">
        <f>'[1]CONVERSÃO AÇÃO DE FLUXO'!$X$26</f>
        <v>0</v>
      </c>
      <c r="P18" s="6">
        <f t="shared" si="19"/>
        <v>0</v>
      </c>
      <c r="Q18" s="68">
        <f>Tabela124252627282933343546[[#This Row],[3° SEMANA ]]</f>
        <v>0.25</v>
      </c>
      <c r="R18" s="65">
        <f>O18</f>
        <v>0</v>
      </c>
      <c r="S18" s="6">
        <f t="shared" si="20"/>
        <v>0</v>
      </c>
    </row>
    <row r="19" spans="1:19" x14ac:dyDescent="0.25">
      <c r="A19" s="28" t="s">
        <v>48</v>
      </c>
      <c r="B19" s="19">
        <v>0.86099999999999999</v>
      </c>
      <c r="C19" s="5">
        <f>[1]NPS!$D$26</f>
        <v>0.75</v>
      </c>
      <c r="D19" s="6">
        <f t="shared" si="1"/>
        <v>0.87108013937282236</v>
      </c>
      <c r="E19" s="19">
        <f t="shared" si="2"/>
        <v>0.86099999999999999</v>
      </c>
      <c r="F19" s="5">
        <f>[1]NPS!$I$26</f>
        <v>0.8125</v>
      </c>
      <c r="G19" s="6">
        <f t="shared" si="3"/>
        <v>0.94367015098722418</v>
      </c>
      <c r="H19" s="19">
        <f t="shared" si="4"/>
        <v>0.86099999999999999</v>
      </c>
      <c r="I19" s="5">
        <f>[1]NPS!$N$26</f>
        <v>0.85709999999999997</v>
      </c>
      <c r="J19" s="6">
        <f t="shared" si="5"/>
        <v>0.99547038327526127</v>
      </c>
      <c r="K19" s="19">
        <f t="shared" si="6"/>
        <v>0.86099999999999999</v>
      </c>
      <c r="L19" s="5">
        <f>[1]NPS!$S$26</f>
        <v>0.8</v>
      </c>
      <c r="M19" s="6">
        <f t="shared" si="7"/>
        <v>0.92915214866434381</v>
      </c>
      <c r="N19" s="19">
        <f t="shared" si="8"/>
        <v>0.86099999999999999</v>
      </c>
      <c r="O19" s="5">
        <f>[1]NPS!$X$26</f>
        <v>0.75860000000000005</v>
      </c>
      <c r="P19" s="6">
        <f t="shared" si="9"/>
        <v>0.88106852497096411</v>
      </c>
      <c r="Q19" s="19">
        <f>B19</f>
        <v>0.86099999999999999</v>
      </c>
      <c r="R19" s="5">
        <f>O19</f>
        <v>0.75860000000000005</v>
      </c>
      <c r="S19" s="6">
        <f t="shared" si="10"/>
        <v>0.88106852497096411</v>
      </c>
    </row>
    <row r="20" spans="1:19" x14ac:dyDescent="0.25">
      <c r="A20" s="28" t="s">
        <v>49</v>
      </c>
      <c r="B20" s="22">
        <v>0.95</v>
      </c>
      <c r="C20" s="5">
        <f>'[1]LOJA DIGITAL ATIVO (BEXD)'!$D$26</f>
        <v>1</v>
      </c>
      <c r="D20" s="6">
        <f>C20/B20</f>
        <v>1.0526315789473684</v>
      </c>
      <c r="E20" s="22">
        <f t="shared" si="2"/>
        <v>0.95</v>
      </c>
      <c r="F20" s="5">
        <f>'[1]LOJA DIGITAL ATIVO (BEXD)'!$I$26</f>
        <v>0.74199999999999999</v>
      </c>
      <c r="G20" s="6">
        <f>F20/E20</f>
        <v>0.78105263157894744</v>
      </c>
      <c r="H20" s="22">
        <f t="shared" si="4"/>
        <v>0.95</v>
      </c>
      <c r="I20" s="5">
        <f>'[1]LOJA DIGITAL ATIVO (BEXD)'!$N$26</f>
        <v>0.94850000000000001</v>
      </c>
      <c r="J20" s="6">
        <f>I20/H20</f>
        <v>0.99842105263157899</v>
      </c>
      <c r="K20" s="22">
        <f t="shared" si="6"/>
        <v>0.95</v>
      </c>
      <c r="L20" s="5">
        <f>'[1]LOJA DIGITAL ATIVO (BEXD)'!$S$26</f>
        <v>0.87069999999999992</v>
      </c>
      <c r="M20" s="6">
        <f>L20/K20</f>
        <v>0.91652631578947363</v>
      </c>
      <c r="N20" s="22">
        <f t="shared" si="8"/>
        <v>0.95</v>
      </c>
      <c r="O20" s="5">
        <f>'[1]LOJA DIGITAL ATIVO (BEXD)'!$X$26</f>
        <v>0.90150000000000008</v>
      </c>
      <c r="P20" s="6">
        <f>O20/N20</f>
        <v>0.94894736842105276</v>
      </c>
      <c r="Q20" s="19">
        <f>B20</f>
        <v>0.95</v>
      </c>
      <c r="R20" s="5">
        <f>O20</f>
        <v>0.90150000000000008</v>
      </c>
      <c r="S20" s="6">
        <f>R20/Q20</f>
        <v>0.94894736842105276</v>
      </c>
    </row>
    <row r="21" spans="1:19" ht="30" x14ac:dyDescent="0.25">
      <c r="A21" s="18" t="s">
        <v>76</v>
      </c>
      <c r="B21" s="76">
        <v>1.3888888888888888E-2</v>
      </c>
      <c r="C21" s="75">
        <v>0.14209490740740741</v>
      </c>
      <c r="D21" s="6">
        <f>B21/C21</f>
        <v>9.7743748472753925E-2</v>
      </c>
      <c r="E21" s="76">
        <v>1.3888888888888888E-2</v>
      </c>
      <c r="F21" s="75">
        <v>3.5069444444444445E-2</v>
      </c>
      <c r="G21" s="6">
        <f>Tabela124252627282933343546[[#This Row],[2° SEMANA ]]/Tabela124252627282933343546[[#This Row],[2° SEMANA]]</f>
        <v>0.396039603960396</v>
      </c>
      <c r="H21" s="76">
        <v>1.3888888888888888E-2</v>
      </c>
      <c r="I21" s="75">
        <v>2.8252314814814813E-2</v>
      </c>
      <c r="J21" s="6">
        <f>Tabela124252627282933343546[[#This Row],[3° SEMANA ]]/Tabela124252627282933343546[[#This Row],[3° SEMANA]]</f>
        <v>0.49160180253994262</v>
      </c>
      <c r="K21" s="76">
        <v>1.3888888888888888E-2</v>
      </c>
      <c r="L21" s="75">
        <v>2.3043981481481481E-2</v>
      </c>
      <c r="M21" s="6">
        <f>K21/L21</f>
        <v>0.60271220492214961</v>
      </c>
      <c r="N21" s="76">
        <f>Tabela124252627282933343546[[#This Row],[4° SEMANA ]]</f>
        <v>1.3888888888888888E-2</v>
      </c>
      <c r="O21" s="75">
        <v>1.3298611111111112E-2</v>
      </c>
      <c r="P21" s="6">
        <f>N21/O21</f>
        <v>1.0443864229765012</v>
      </c>
      <c r="Q21" s="74">
        <f>K21</f>
        <v>1.3888888888888888E-2</v>
      </c>
      <c r="R21" s="75">
        <f>O21</f>
        <v>1.3298611111111112E-2</v>
      </c>
      <c r="S21" s="6">
        <f>Q21/R21</f>
        <v>1.0443864229765012</v>
      </c>
    </row>
    <row r="22" spans="1:19" x14ac:dyDescent="0.25">
      <c r="A22" s="28" t="s">
        <v>50</v>
      </c>
      <c r="B22" s="22">
        <v>0.85</v>
      </c>
      <c r="C22" s="49">
        <f>'[1]TREINAMENTOS FV (UB)'!$D$26</f>
        <v>0.97840000000000005</v>
      </c>
      <c r="D22" s="6">
        <f>C22/B22</f>
        <v>1.1510588235294119</v>
      </c>
      <c r="E22" s="22">
        <f t="shared" si="2"/>
        <v>0.85</v>
      </c>
      <c r="F22" s="49">
        <f>'[1]TREINAMENTOS FV (UB)'!$I$26</f>
        <v>0.97840000000000005</v>
      </c>
      <c r="G22" s="6">
        <f>F22/E22</f>
        <v>1.1510588235294119</v>
      </c>
      <c r="H22" s="22">
        <f t="shared" si="4"/>
        <v>0.85</v>
      </c>
      <c r="I22" s="70">
        <f>'[1]TREINAMENTOS FV (UB)'!$N$26</f>
        <v>0.97840000000000005</v>
      </c>
      <c r="J22" s="6">
        <f>I22/H22</f>
        <v>1.1510588235294119</v>
      </c>
      <c r="K22" s="22">
        <f t="shared" si="6"/>
        <v>0.85</v>
      </c>
      <c r="L22" s="70">
        <f>'[1]TREINAMENTOS FV (UB)'!$S$26</f>
        <v>0.97840000000000005</v>
      </c>
      <c r="M22" s="6">
        <f>L22/K22</f>
        <v>1.1510588235294119</v>
      </c>
      <c r="N22" s="22">
        <f t="shared" si="8"/>
        <v>0.85</v>
      </c>
      <c r="O22" s="70">
        <f>'[1]TREINAMENTOS FV (UB)'!$X$26</f>
        <v>0.97840000000000005</v>
      </c>
      <c r="P22" s="6">
        <f>O22/N22</f>
        <v>1.1510588235294119</v>
      </c>
      <c r="Q22" s="22">
        <f>B22</f>
        <v>0.85</v>
      </c>
      <c r="R22" s="5">
        <f>O22</f>
        <v>0.97840000000000005</v>
      </c>
      <c r="S22" s="6">
        <f>R22/Q22</f>
        <v>1.1510588235294119</v>
      </c>
    </row>
    <row r="23" spans="1:19" hidden="1" x14ac:dyDescent="0.25">
      <c r="A23" s="28" t="s">
        <v>51</v>
      </c>
      <c r="B23" s="24"/>
      <c r="C23" s="10"/>
      <c r="D23" s="6" t="e">
        <f>B23/C23</f>
        <v>#DIV/0!</v>
      </c>
      <c r="E23" s="24"/>
      <c r="F23" s="10"/>
      <c r="G23" s="6" t="e">
        <f>E23/F23</f>
        <v>#DIV/0!</v>
      </c>
      <c r="H23" s="24"/>
      <c r="I23" s="10"/>
      <c r="J23" s="6" t="e">
        <f>H23/I23</f>
        <v>#DIV/0!</v>
      </c>
      <c r="K23" s="24"/>
      <c r="L23" s="10"/>
      <c r="M23" s="6" t="e">
        <f>K23/L23</f>
        <v>#DIV/0!</v>
      </c>
      <c r="N23" s="24"/>
      <c r="O23" s="5"/>
      <c r="P23" s="6" t="e">
        <f>N23/O23</f>
        <v>#DIV/0!</v>
      </c>
      <c r="Q23" s="23">
        <v>2</v>
      </c>
      <c r="R23" s="10"/>
      <c r="S23" s="6" t="e">
        <f>Q23/R23</f>
        <v>#DIV/0!</v>
      </c>
    </row>
    <row r="24" spans="1:19" hidden="1" x14ac:dyDescent="0.25">
      <c r="A24" s="28" t="s">
        <v>52</v>
      </c>
      <c r="B24" s="22"/>
      <c r="C24" s="10"/>
      <c r="D24" s="6" t="e">
        <f>B24/C24</f>
        <v>#DIV/0!</v>
      </c>
      <c r="E24" s="22"/>
      <c r="F24" s="10"/>
      <c r="G24" s="6" t="e">
        <f>E24/F24</f>
        <v>#DIV/0!</v>
      </c>
      <c r="H24" s="22"/>
      <c r="I24" s="10"/>
      <c r="J24" s="6" t="e">
        <f>H24/I24</f>
        <v>#DIV/0!</v>
      </c>
      <c r="K24" s="22"/>
      <c r="L24" s="10"/>
      <c r="M24" s="6" t="e">
        <f>K24/L24</f>
        <v>#DIV/0!</v>
      </c>
      <c r="N24" s="22"/>
      <c r="O24" s="5"/>
      <c r="P24" s="6" t="e">
        <f>N24/O24</f>
        <v>#DIV/0!</v>
      </c>
      <c r="Q24" s="22">
        <v>1.7000000000000001E-2</v>
      </c>
      <c r="R24" s="5"/>
      <c r="S24" s="6" t="e">
        <f>Q24/R24</f>
        <v>#DIV/0!</v>
      </c>
    </row>
    <row r="25" spans="1:19" hidden="1" x14ac:dyDescent="0.25">
      <c r="A25" s="28" t="s">
        <v>53</v>
      </c>
      <c r="B25" s="22"/>
      <c r="C25" s="25"/>
      <c r="D25" s="42" t="e">
        <f>C25/B25</f>
        <v>#DIV/0!</v>
      </c>
      <c r="E25" s="22"/>
      <c r="F25" s="25"/>
      <c r="G25" s="42" t="e">
        <f>F25/E25</f>
        <v>#DIV/0!</v>
      </c>
      <c r="H25" s="22"/>
      <c r="I25" s="25"/>
      <c r="J25" s="42" t="e">
        <f>I25/H25</f>
        <v>#DIV/0!</v>
      </c>
      <c r="K25" s="22"/>
      <c r="L25" s="13"/>
      <c r="M25" s="42" t="e">
        <f>L25/K25</f>
        <v>#DIV/0!</v>
      </c>
      <c r="N25" s="22"/>
      <c r="O25" s="104"/>
      <c r="P25" s="42" t="e">
        <f>O25/N25</f>
        <v>#DIV/0!</v>
      </c>
      <c r="Q25" s="22"/>
      <c r="R25" s="12"/>
      <c r="S25" s="42" t="e">
        <f>R25/Q25</f>
        <v>#DIV/0!</v>
      </c>
    </row>
    <row r="26" spans="1:19" x14ac:dyDescent="0.25">
      <c r="C26" s="48"/>
    </row>
    <row r="27" spans="1:19" x14ac:dyDescent="0.25">
      <c r="D27" s="85"/>
    </row>
  </sheetData>
  <mergeCells count="7">
    <mergeCell ref="Y1:AB1"/>
    <mergeCell ref="Q1:S1"/>
    <mergeCell ref="B1:D1"/>
    <mergeCell ref="E1:G1"/>
    <mergeCell ref="H1:J1"/>
    <mergeCell ref="K1:M1"/>
    <mergeCell ref="N1:P1"/>
  </mergeCells>
  <phoneticPr fontId="9" type="noConversion"/>
  <conditionalFormatting sqref="D4:D25">
    <cfRule type="containsErrors" dxfId="47" priority="25">
      <formula>ISERROR(D4)</formula>
    </cfRule>
    <cfRule type="containsText" dxfId="46" priority="26" operator="containsText" text="-">
      <formula>NOT(ISERROR(SEARCH("-",D4)))</formula>
    </cfRule>
    <cfRule type="cellIs" dxfId="45" priority="27" operator="greaterThan">
      <formula>1.2</formula>
    </cfRule>
    <cfRule type="cellIs" dxfId="44" priority="30" operator="between">
      <formula>0</formula>
      <formula>0.7999</formula>
    </cfRule>
    <cfRule type="cellIs" dxfId="43" priority="28" operator="between">
      <formula>1</formula>
      <formula>1.1999</formula>
    </cfRule>
    <cfRule type="cellIs" dxfId="42" priority="29" operator="between">
      <formula>0.8</formula>
      <formula>0.9999</formula>
    </cfRule>
  </conditionalFormatting>
  <conditionalFormatting sqref="G4:G25">
    <cfRule type="cellIs" dxfId="41" priority="89" operator="between">
      <formula>0.8</formula>
      <formula>0.9999</formula>
    </cfRule>
    <cfRule type="cellIs" dxfId="40" priority="90" operator="between">
      <formula>0</formula>
      <formula>0.7999</formula>
    </cfRule>
    <cfRule type="cellIs" dxfId="39" priority="88" operator="between">
      <formula>1</formula>
      <formula>1.1999</formula>
    </cfRule>
    <cfRule type="cellIs" dxfId="38" priority="87" operator="greaterThan">
      <formula>1.2</formula>
    </cfRule>
    <cfRule type="containsText" dxfId="37" priority="86" operator="containsText" text="-">
      <formula>NOT(ISERROR(SEARCH("-",G4)))</formula>
    </cfRule>
    <cfRule type="containsErrors" dxfId="36" priority="85">
      <formula>ISERROR(G4)</formula>
    </cfRule>
  </conditionalFormatting>
  <conditionalFormatting sqref="J4:J25">
    <cfRule type="containsText" dxfId="35" priority="74" operator="containsText" text="-">
      <formula>NOT(ISERROR(SEARCH("-",J4)))</formula>
    </cfRule>
    <cfRule type="cellIs" dxfId="34" priority="78" operator="between">
      <formula>0</formula>
      <formula>0.7999</formula>
    </cfRule>
    <cfRule type="cellIs" dxfId="33" priority="77" operator="between">
      <formula>0.8</formula>
      <formula>0.9999</formula>
    </cfRule>
    <cfRule type="cellIs" dxfId="32" priority="76" operator="between">
      <formula>1</formula>
      <formula>1.1999</formula>
    </cfRule>
    <cfRule type="cellIs" dxfId="31" priority="75" operator="greaterThan">
      <formula>1.2</formula>
    </cfRule>
    <cfRule type="containsErrors" dxfId="30" priority="73">
      <formula>ISERROR(J4)</formula>
    </cfRule>
  </conditionalFormatting>
  <conditionalFormatting sqref="M4:M25">
    <cfRule type="cellIs" dxfId="29" priority="64" operator="between">
      <formula>1</formula>
      <formula>1.1999</formula>
    </cfRule>
    <cfRule type="cellIs" dxfId="28" priority="65" operator="between">
      <formula>0.8</formula>
      <formula>0.9999</formula>
    </cfRule>
    <cfRule type="cellIs" dxfId="27" priority="66" operator="between">
      <formula>0</formula>
      <formula>0.7999</formula>
    </cfRule>
    <cfRule type="cellIs" dxfId="26" priority="63" operator="greaterThan">
      <formula>1.2</formula>
    </cfRule>
    <cfRule type="containsErrors" dxfId="25" priority="61">
      <formula>ISERROR(M4)</formula>
    </cfRule>
    <cfRule type="containsText" dxfId="24" priority="62" operator="containsText" text="-">
      <formula>NOT(ISERROR(SEARCH("-",M4)))</formula>
    </cfRule>
  </conditionalFormatting>
  <conditionalFormatting sqref="P4:P25">
    <cfRule type="cellIs" dxfId="23" priority="24" operator="between">
      <formula>0</formula>
      <formula>0.7999</formula>
    </cfRule>
    <cfRule type="cellIs" dxfId="22" priority="22" operator="between">
      <formula>1</formula>
      <formula>1.1999</formula>
    </cfRule>
    <cfRule type="cellIs" dxfId="21" priority="23" operator="between">
      <formula>0.8</formula>
      <formula>0.9999</formula>
    </cfRule>
    <cfRule type="cellIs" dxfId="20" priority="21" operator="greaterThan">
      <formula>1.2</formula>
    </cfRule>
    <cfRule type="containsText" dxfId="19" priority="20" operator="containsText" text="-">
      <formula>NOT(ISERROR(SEARCH("-",P4)))</formula>
    </cfRule>
    <cfRule type="containsErrors" dxfId="18" priority="19">
      <formula>ISERROR(P4)</formula>
    </cfRule>
  </conditionalFormatting>
  <conditionalFormatting sqref="S4:S25">
    <cfRule type="cellIs" dxfId="17" priority="17" operator="between">
      <formula>0.8</formula>
      <formula>0.9999</formula>
    </cfRule>
    <cfRule type="cellIs" dxfId="16" priority="18" operator="between">
      <formula>0</formula>
      <formula>0.7999</formula>
    </cfRule>
    <cfRule type="cellIs" dxfId="15" priority="16" operator="between">
      <formula>1</formula>
      <formula>1.1999</formula>
    </cfRule>
    <cfRule type="cellIs" dxfId="14" priority="15" operator="greaterThan">
      <formula>1.2</formula>
    </cfRule>
    <cfRule type="containsText" dxfId="13" priority="14" operator="containsText" text="-">
      <formula>NOT(ISERROR(SEARCH("-",S4)))</formula>
    </cfRule>
    <cfRule type="containsErrors" dxfId="12" priority="13">
      <formula>ISERROR(S4)</formula>
    </cfRule>
  </conditionalFormatting>
  <conditionalFormatting sqref="AB3:AB6">
    <cfRule type="containsText" dxfId="11" priority="2" operator="containsText" text="-">
      <formula>NOT(ISERROR(SEARCH("-",AB3)))</formula>
    </cfRule>
    <cfRule type="cellIs" dxfId="10" priority="3" operator="greaterThan">
      <formula>1.2</formula>
    </cfRule>
    <cfRule type="cellIs" dxfId="9" priority="6" operator="between">
      <formula>0</formula>
      <formula>0.7999</formula>
    </cfRule>
    <cfRule type="containsErrors" dxfId="8" priority="1">
      <formula>ISERROR(AB3)</formula>
    </cfRule>
    <cfRule type="cellIs" dxfId="7" priority="5" operator="between">
      <formula>0.8</formula>
      <formula>0.9999</formula>
    </cfRule>
    <cfRule type="cellIs" dxfId="6" priority="4" operator="between">
      <formula>1</formula>
      <formula>1.1999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f909c54-0a6a-48a9-bca9-9c1e0c5712a2" xsi:nil="true"/>
    <lcf76f155ced4ddcb4097134ff3c332f xmlns="4c8a4bf6-5f32-4563-8a99-96b10fa2aa1a">
      <Terms xmlns="http://schemas.microsoft.com/office/infopath/2007/PartnerControls"/>
    </lcf76f155ced4ddcb4097134ff3c332f>
    <_Flow_SignoffStatus xmlns="4c8a4bf6-5f32-4563-8a99-96b10fa2aa1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2E7F01DDBC334E8130649B8B5648D8" ma:contentTypeVersion="18" ma:contentTypeDescription="Crie um novo documento." ma:contentTypeScope="" ma:versionID="8327ab52ff3feabfa679780d58220d2d">
  <xsd:schema xmlns:xsd="http://www.w3.org/2001/XMLSchema" xmlns:xs="http://www.w3.org/2001/XMLSchema" xmlns:p="http://schemas.microsoft.com/office/2006/metadata/properties" xmlns:ns2="4c8a4bf6-5f32-4563-8a99-96b10fa2aa1a" xmlns:ns3="ff909c54-0a6a-48a9-bca9-9c1e0c5712a2" targetNamespace="http://schemas.microsoft.com/office/2006/metadata/properties" ma:root="true" ma:fieldsID="6c89575ba576795342ad3b1e9739da3b" ns2:_="" ns3:_="">
    <xsd:import namespace="4c8a4bf6-5f32-4563-8a99-96b10fa2aa1a"/>
    <xsd:import namespace="ff909c54-0a6a-48a9-bca9-9c1e0c5712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a4bf6-5f32-4563-8a99-96b10fa2aa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384d62ef-55d8-42c0-bfdf-3a6cae3117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Flow_SignoffStatus" ma:index="24" nillable="true" ma:displayName="Status de liberação" ma:format="Dropdown" ma:internalName="Status_x0020_de_x0020_libera_x00e7__x00e3_o" ma:percentage="FALSE">
      <xsd:simpleType>
        <xsd:restriction base="dms:Number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909c54-0a6a-48a9-bca9-9c1e0c5712a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64d40bd-33dc-406b-9342-b47787351268}" ma:internalName="TaxCatchAll" ma:showField="CatchAllData" ma:web="ff909c54-0a6a-48a9-bca9-9c1e0c5712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V S w W 7 b M A z 9 F U G n 7 e D Y T t b O K W w X R Y t g A d K m W F o s O X I S b Q u z J c + S 5 3 S / t s M + a b 8 w 2 k 6 T D D v s t J N E v i e + R 4 q / f v y M r / d V y b 5 h Y 5 X R C Q 8 n A W e o h Z F K 5 w l v X e Z F / D q N b 1 v r T H U P t V 0 p 6 x i 9 0 f Z q b 2 X C C + f q K 9 / v u m 7 S z S a m y f 1 p E I T + 9 n 6 1 E Q V W w I 9 k 9 W + y p 7 R 1 o A X y c 8 m z O 3 v W 6 m u L R z t L c j C L 5 p f z i 2 j u B Q F K 7 5 0 I w Y t m 4 d T L Z l M p I 5 A X 4 e V 7 z h 6 g w o R T B 8 A e q V u j o V T f Q R o W c r a s I M c 7 Z e s S X k b e A + q i r d 7 A 2 w P 4 S U l X r G l M H 1 D l h a N B E W C f s K p N A 8 1 L w j M o 7 c n 1 p g a B d 5 i l 8 d J u O q i 3 o O U u H T i x f 5 4 i / J a M f G 7 A 4 V o v V G N d 6 p o W e 9 Z f A J F X R n x B e a p 0 i O O b v b J b t h F Q 4 q M Y 7 Q 3 B O s s s u i F F H 7 u 0 N 6 0 z V F e 0 J Q n S 7 E b b P U A F F q W q 6 1 M 2 H a p + B J 0 j W z S m S r g X R l T l y V D 7 / c V P Y 3 8 Q H p m 7 / 6 8 / P 8 j 3 5 6 v 6 j l y M + 3 C a + i F B v 3 0 E + 9 3 9 I + g X O f 0 N K 8 R d g A I D A A A A A A A A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5.xml>��< ? x m l   v e r s i o n = " 1 . 0 "   e n c o d i n g = " u t f - 1 6 " ? > < D a t a M a s h u p   x m l n s = " h t t p : / / s c h e m a s . m i c r o s o f t . c o m / D a t a M a s h u p " > A A A A A O A D A A B Q S w M E F A A C A A g A q 4 B s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K u A b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g G x Z b d Y 5 V t k A A A A t A Q A A E w A c A E Z v c m 1 1 b G F z L 1 N l Y 3 R p b 2 4 x L m 0 g o h g A K K A U A A A A A A A A A A A A A A A A A A A A A A A A A A A A b Y 5 B a 8 J A E I X v g f y H Y U t B I Q i F 3 s T D k q Z F i a b o Q q H i Y R N H G 9 z s y G Q C l p D / 3 q 2 2 N + c y 8 L 3 3 Z l 6 L l d T k Y X P b T 9 M 4 i q P 2 y z L u w d g S n X 2 G G T i U O I I w r + Q F A 8 g u F b p J 2 j G j l w / i U 0 l 0 G o 3 7 7 c o 2 O F N / S b U b t u l v w s s u u R 1 4 U K Y + E 2 g n y H Z P K t w K Z o c T w 9 a 3 B + I m J d c 1 3 n y f s R 1 d 3 y V 9 r 9 6 y t c 4 h L x Z 6 A 6 Y w O l c J S L C A 4 E W G B H q 1 z I z + h 7 5 r S u Q r X m c 6 n 3 / q l + K O 9 h j Y O 3 I V 6 t l j a B D k Y R j H U e 3 v d 5 3 + A F B L A Q I t A B Q A A g A I A K u A b F k O 0 S B S p Q A A A P Y A A A A S A A A A A A A A A A A A A A A A A A A A A A B D b 2 5 m a W c v U G F j a 2 F n Z S 5 4 b W x Q S w E C L Q A U A A I A C A C r g G x Z D 8 r p q 6 Q A A A D p A A A A E w A A A A A A A A A A A A A A A A D x A A A A W 0 N v b n R l b n R f V H l w Z X N d L n h t b F B L A Q I t A B Q A A g A I A K u A b F l t 1 j l W 2 Q A A A C 0 B A A A T A A A A A A A A A A A A A A A A A O I B A A B G b 3 J t d W x h c y 9 T Z W N 0 a W 9 u M S 5 t U E s F B g A A A A A D A A M A w g A A A A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J A A A A A A A A d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U 3 N D E 4 Z W I t N W I z Z C 0 0 Y 2 Q w L W I 5 N G U t N T k y M G N m N D Q 4 Z W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J U M j A 6 M D M 6 M T I u M T A x M z Y x N V o i I C 8 + P E V u d H J 5 I F R 5 c G U 9 I k Z p b G x D b 2 x 1 b W 5 U e X B l c y I g V m F s d W U 9 I n N C Z 1 V G Q k E 9 P S I g L z 4 8 R W 5 0 c n k g V H l w Z T 0 i R m l s b E N v b H V t b k 5 h b W V z I i B W Y W x 1 Z T 0 i c 1 s m c X V v d D t H R V J B T C B M T 0 p B U y B U T 1 R B T C Z x d W 9 0 O y w m c X V v d D t N R V R B J n F 1 b 3 Q 7 L C Z x d W 9 0 O 1 J F Q U x J W k F E T y Z x d W 9 0 O y w m c X V v d D s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N C 9 U a X B v I E F s d G V y Y W R v L n t H R V J B T C B M T 0 p B U y B U T 1 R B T C w w f S Z x d W 9 0 O y w m c X V v d D t T Z W N 0 a W 9 u M S 9 U Y W J l b G E 0 L 1 R p c G 8 g Q W x 0 Z X J h Z G 8 u e 0 1 F V E E s M X 0 m c X V v d D s s J n F 1 b 3 Q 7 U 2 V j d G l v b j E v V G F i Z W x h N C 9 U a X B v I E F s d G V y Y W R v L n t S R U F M S V p B R E 8 s M n 0 m c X V v d D s s J n F 1 b 3 Q 7 U 2 V j d G l v b j E v V G F i Z W x h N C 9 U a X B v I E F s d G V y Y W R v L n s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Q v V G l w b y B B b H R l c m F k b y 5 7 R 0 V S Q U w g T E 9 K Q V M g V E 9 U Q U w s M H 0 m c X V v d D s s J n F 1 b 3 Q 7 U 2 V j d G l v b j E v V G F i Z W x h N C 9 U a X B v I E F s d G V y Y W R v L n t N R V R B L D F 9 J n F 1 b 3 Q 7 L C Z x d W 9 0 O 1 N l Y 3 R p b 2 4 x L 1 R h Y m V s Y T Q v V G l w b y B B b H R l c m F k b y 5 7 U k V B T E l a Q U R P L D J 9 J n F 1 b 3 Q 7 L C Z x d W 9 0 O 1 N l Y 3 R p b 2 4 x L 1 R h Y m V s Y T Q v V G l w b y B B b H R l c m F k b y 5 7 J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Q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7 D + I + J D 3 B A m 6 G M a o X V T j I A A A A A A g A A A A A A A 2 Y A A M A A A A A Q A A A A c Z 8 y 4 S s 3 G h L j P z H p e D A w O Q A A A A A E g A A A o A A A A B A A A A B V g h I w 9 t J 5 E t E 3 0 F 5 K z V i M U A A A A B C g M w T T u v m H v F X 8 x v r 7 q d 6 j B A s / y y + 5 h B h 6 5 2 h S J 3 v y 2 s m P W z F + 7 t T C 5 Y g l F 9 Q / g J L J O p j h r 3 C R 1 z T 2 j p u O E v B P + r c z J + x x d Z A K r W B l r b 7 z F A A A A I c R 2 w N V D J p s X s J + t 4 s L i 1 Z Z o t s S < / D a t a M a s h u p > 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d 1 3 e 0 5 a - b d 1 6 - 4 9 3 a - 9 c 8 f - 4 5 8 4 2 2 f c f b 6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 - 7 . 4 8 8 6 5 0 4 6 3 4 6 9 6 0 6 5 < / L a t i t u d e > < L o n g i t u d e > - 6 1 . 4 8 8 2 5 6 8 3 1 6 1 6 1 7 7 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U M S U R B V H h e 7 X 0 H d 1 t H l u Z F B g k G M I l J F C l R w b J l y Y q 2 J d m y L c f p c f f 0 n O 3 T O 7 t z 9 s z u 7 N n d / z Z n z s 7 u j t v u d p K D c r K S l U i J Q c w 5 g c j c + 9 2 q e n g A A R K k Z P O B 7 I + 8 q P A e g I e q + t 6 9 d S s 8 1 2 f n r y 3 R X 2 H h z O G X y b u U I H K 5 K B a N k t f n o 6 W l J U q n 0 3 J 8 e m q C w j V 1 l E q l a G 5 u l s r K y m l m e p I a t j X J c U D O 5 1 L t G v d R 3 5 R H 5 z o P L v 6 N h W A / h r h d 3 G 4 3 + b h c q q q I J v u u 6 7 P + C u C v h N K o L C + j 0 w f 3 U D I R Z 0 k Q C i W V T J K L G w 8 I k k o l m V R L 5 P F 4 p F E h b 3 Z 2 m i o q K j n P S 0 k + F 8 e G J q P U N 1 d N c 7 H C j d W J w G / K B 3 u + I R Q E p M L v D Q Q 8 l J z 9 m Z L x R X 3 W 1 g Y T 6 v q W J 9 S x / Z 3 k j s 9 R e a h C G g u 0 U S z G 2 s n r 5 a M u m p m a p B A T J 8 o a K x g M U p x J V 1 4 e k v d O T o x R T W 2 9 x H 9 4 E q B Y s r S I l A s 7 g e w w + f Y Q p F L a y k t B 3 w L N j z 2 S Y 1 s Z r s 8 u b G 1 C f f z 6 Q U o n W S u x h l l c X J Q G M j k + S v X a h I t G I 3 w X L q M 0 m 3 h u v i M b Q E M Z X O n 1 0 m w M 5 N s 8 K I Z Y R l B m u P k E g 2 6 K j N 2 Q 4 1 s V b h 1 u O d S H q + i T 1 w 9 Q I r Z I c 7 O z 0 i d C v w A N x J B p c V G R a X Z m x i L T P P e b 7 G S 6 3 B v Y d G Q C 8 B v t v 9 P A 5 C G E J o e g 7 B J s J k c i S f L X H K F A q F b O 2 Y p w / W k L a q j W b X V 0 o L 2 R R o Y H q a q 6 R v L Q Q O Z m Z 6 S v 5 H K 5 p Y H U 1 i l T D k D D G R 0 Z w o n k D w T E P P R 5 f f R N t z L 9 N j u M Z r L D 5 B l N B U G / S m 5 M 8 V 5 K L k 7 I 8 a 0 E J t S N L U W o M 4 f 3 i x c v F o + J M y E a X Z Q Q Z o t x L E Q i C + T 3 B 8 S M g a d v e C F A Y x E / t d e k 6 K c B H + 1 t S N A O j g N f P Q p K u B W w G q k A l C P K U E x A f 4 o i 4 3 c k f 6 t g S 5 l 8 7 x z Z T z 5 X i p J s o o B E 0 D o + n 1 8 a g Z g 4 n A b g c J i L + + n L h w H 6 v r e a H o 0 H a S r i F j I B c 7 H l x e b m 9 u T z b O 5 7 k 5 Q R i x 0 m z 0 i W C c j l F K g 7 r M / c G n A T b i x b Q D 7 m / p K X U l L Z p u I R A g h j s R i N L Q a p Z 9 J D j 8 e 9 d P 2 Z I k 8 + 1 J Y r 4 g E g E o B x p 0 R K J z Y 5 T L n Z Y S 9 L Q y o M O 8 R i K Q r W H M x b J 5 t R X J 9 f 3 N w m H 0 y R j 1 4 / S P F o R E w 6 V D T y 7 A 3 g x j M / T b I G M u l i 8 P 7 e q I R b y e T L h 1 w z 0 G 4 C Q m D + i Q n o c V N q 9 i c 5 t p m x 6 U 2 + j 0 4 c o F h k X v p C I I u d T N G E I s R a y Q T c H / b R N 4 + D b C 7 i M 4 k a K 1 W f C g h 4 O U / H C w H n b A b k l p l J I 4 T g B o Y b W S K Z I n c l a 6 p N D t Z Q N z d H z e Y B z L y p y Q m K R m N U V l 5 G A 8 8 G q K m p U b x Q o 3 M e u j 2 U M e u K I R O I 4 3 E t U T K 9 G l 2 K Q 0 U g L Q P B m 8 F U X E 1 T G W c F K y p a m r 8 r x z Y j N m 0 f 6 v h L b f S k q 0 t m N m D W A z O G G h u 3 i X 0 / s e B e M 5 k A n P a i y A T M c 6 f 9 1 y K T 9 x e 2 R X L L 0 G g o I 1 a / K r V E D X U t e e t s M 4 j r 8 0 u b T 0 O 9 1 L 6 b W m t c u g K V E w I y P T 0 t 2 u r a U D U F y q v l X O Q X i 8 6 6 J N W F 0 l Q Z T E v 5 s R V D s 1 E 3 d U 1 4 J f w r u E H l a C r A a C m v B y 3 O w 2 W 3 R G / s m K O r j 5 / p M z Y P X F 9 s M k J V V 1 b R w Z 3 N 5 F 5 K Z J H J E O f h q J f 6 p 9 X M h m L J t L 8 x Q U / G v R S z a R P E y v 2 q / / R G e 4 y i b L o N z 3 h o J u a i s X n n z j D / N b A S q R S x c P N Z o o 6 K I X o 2 M a N O 2 C T g X 4 Y f v z k k W L m N E r 4 O I Z N x i 9 t J g / 7 K W s k E 3 B / x E V s q W U B y I e 5 i s 8 0 l j o 2 R O T d 1 s A Z 7 t T l B p 3 d F y a / H p I L e J f K 7 Y t T o H a T 9 2 x J U G S j + e 0 s V h c r W 1 E c q D a e N i 2 q q w l T p B 7 n y 1 2 c p i u u L y z 9 t k h p 2 0 c 7 2 V 2 h m P k G v N E a X j T M B 3 3 c H K M 5 a p l C F h 7 i x t 4 e T t K 0 y R e e 6 V n a H 4 y a M j 0 E x F i p A e P I a K 5 M U j P Z R e V m Q 6 u v r J B 9 L O y J x N 9 2 x 9 e M M M D i 8 W c a z c j W V S S O E k + J I 4 w R N T 4 7 R E J v L 6 Q J 1 U m r Y N I Q K 1 B w i T y p O h 1 o W W e 0 q U w / I h E R f P w 7 m J R N M t z f Z b D M k w X n 5 g O Y Q 8 C 1 R N L F y g 8 d g 7 0 u s j e Z Z g y W Z H L O D d 6 i 9 p Y Z 6 o j t E S y b T J N 6 u F I f 4 z i O t c T Y T 3 T Q w 6 5 W 8 X H j c u K u v / J 1 O x U q k e q s z Q T 5 X Q g b V b / S O S 3 6 p Y 1 P 0 p A P V O y m Z S N H 0 4 h L F E h n C 2 M k z t a i m F + X D 0 e 1 x a d j A j 0 8 D K p I H e H c u m W r K 0 n S m M 0 o 7 a 5 M 6 R 8 2 a + J n N x L 4 p L w 3 O e m j K v 5 / u z + 0 Q E x F k A g x x c E n X n / m p j 0 3 R X D J 5 m U h A q Z I J y C 1 z e / r 8 E 7 + M U T 1 7 N k i 7 G 5 W T q N T B N 9 P S / 4 s l K + l E 2 4 K Y e Q t x V W m 5 F f l k I r + j o C q Y t g Z Z k 9 y i 1 7 p A E E T 9 r j t I T y c L L + H w + Q N M s r W T w r j o o a F K e Z 5 g P l J B Y O Y F A g G q q q o g S k R t N V q 6 f y U / D u W p P i h 3 u Z F Z 1 T f C w G s u k L + r L m n N u z N o r U 7 R i R 1 x O X 7 z 5 k 9 0 f g X t t L E o / c F f l H E u D K n q 6 u o o X F 1 N u 8 L c p 7 T V b S l K S Z t 8 5 Q 0 H K R 5 P i W b 6 e d g r F R R m E 8 x e e S Y O b 5 u 5 y 4 N c m I v X 6 B u m H 3 4 4 T / / 2 b / + X m n e 9 R o m 0 M 9 3 d M C F / 6 Y H Z X w P 5 6 m V g a E K W e s T j c a p m U r W y x V D K K O l q i k S W R D s Z j 1 5 z V c Y Z k Y s y 3 x K 9 t S s m R A K h U I H d 3 T 3 0 1 l u n q K 1 t O 4 1 H C s 8 u 3 2 j g J 5 m + V 6 n D X j 2 o q 1 s j l T Q 8 P E x d X d 3 k Z h M C 0 5 N K G U y o P H q r B M T L p l 4 i k Z R K M d J a l X E M A I X I B W B V 7 t J S W g g Z X / J R b G G S z u 6 J 0 s m d i n R n 9 y z S 0 Z Z 5 m h 7 r 1 + / Y W B h z F d 7 B H M d Z i S G 7 T n z B C h p L b 6 d D h w 6 K 5 6 + m J k y 7 a 2 B 6 Z 9 d 3 q Y j U U 6 l J T c t + 1 j B q P w M 7 a a 7 2 + + n B q E + q L B + Z j L d s b m 6 O R k Z G 6 P A R t f j N n V q k I 5 3 Y 8 Y j N S N Z k c / P z 9 P n n X z C Z n l F N f Y u c s 9 G A 2 Q f A E 7 j C f c L R 6 K h V M / J z 6 2 Z 4 T m k l j E 1 B Q K x 9 j Z V 5 6 9 7 x 8 p e r t 0 u u e l w V r 1 I s l h D t g s o x Y k d D R Y q 2 V y d l M e D Q r J f u c R 8 L 2 F 2 f p K n e a 3 T 4 8 G u S v n z l K r 3 G d 0 f Y 8 f i M R 4 8 e y 5 S l V 1 8 9 I G b W a g O 8 q w F 3 L P T f I j Z 3 O 4 i L P H P J C S Z 6 v v E n A 5 i r i 6 u M f Z U a c s e n 9 j Y k q S 2 c k J W + s D w W I h F 6 O p P Q R 0 s H J U c o b 2 g 7 R Z N V U v A g A L Q U Y C d U L r n s S C Y T t L 9 m g n Y 0 h + n 6 t e u 0 e 8 9 u + v n e f W p p a a a u 7 i d 0 6 u S b V F a m S H S p J y C D s + s B 3 2 j 5 j r V E b a E p m p 9 4 R k O 0 j + q q f D K J N u R L 0 0 J i 7 d 3 X 2 v I U T U Y 2 z z x B O 6 k Q e 4 / N b N w k I R j s n Y 4 m a W S + t E j F h L p T U o S i 0 A E u 7 H j e i a / A S m T K B X Y 4 q i r z 0 E I 0 Q a G F n + n w K x 2 y 3 M P g Q o 9 f p g i t F V j n V B 1 c o q b g F F 2 9 8 T O l t r 1 B N R U + 6 q x L y G x 1 u M A v M l n X 4 m h A g y u t i i o O d l I d b x y h U C i k + r V 8 w 5 y b m 6 e B C G 5 L p Y O S 6 k O F t r E Z l s w m 0 l o I l A t s 1 I L Z C + T 2 0 2 L V a x R g M t 0 a V N 4 + f O p a y Y S J r y c 7 Y v R G e 5 x 2 h e f p 3 p 1 b d P b t o / R a m 5 q R 3 l C R l g L H Q D J m s N e H U n R q Z 0 y 8 j x h g B n A 8 5 F + i d 3 Z H Z Q Y G f j e w s y 7 b 4 b I Z g Y H s v r 4 + I Z m b B Z u L Y m w K Z V A y 8 u W 1 0 t F Q S + U v T j v l g 8 / N p t j A T a q r 9 F B t b Z i 6 F l p k V 6 R i g K U + 7 + 5 R + 0 w A P T 0 9 F A 6 H 6 f Z E o 5 D k N J N m P Y A W w 0 J E z H i P c 5 9 + s 0 y c t c N o q Q N N c W o I J W h w c I j L v 0 b M + l g 8 T r 1 z a 1 D l G 4 y 1 2 z M b B F / F d t F O y r O n y P O 8 B M o F Z q K / 9 3 o n H X q 5 n W o r / e Q v k k x o D v U V m T 0 l 0 B A u X 7 4 q m g / a 5 n m A A V 0 M V h 9 o j s t E W z E p N i k e j K K 8 X T I r / + G D R 1 L f I 8 M j V B c s n R 9 d M o R K L I U t z Z S v N / E i y A U z I 7 p U R l 5 / O d X V 1 V K H v 4 u m x w f 0 U a W F Y I q d Z j P t t V Y 8 p U N N W 8 K A M t Z B G W B w 8 s M P 3 6 d n / T 1 0 t C 2 + b u 1 k B 8 x J a E D v 5 D X y 6 b m H m w W m 7 q C N r 9 6 8 K 4 P u i W S C x s f G p U 9 V r i c J l w L Y 5 L v r + K v 1 h 2 o p k m y U O 7 / d 3 L P j R R D K j o 7 a J A 3 c + 4 Z O n T p J s 3 G / j E 9 h 6 t K 3 2 o 3 + J v e V e r v u U 6 x 8 F x 3 u W K 7 J o E n / / O c v 6 a O P P p C x l f X g 9 q C f 9 n F f K 6 C n T N 2 + f Z c O H j w g c Z i A g z O e T e O o M G Z f O H q X Q r 4 k t b a 2 c p 2 q g f e p q W m K + y p o v g S 6 k b g p 8 4 9 x t q Q 8 z T b t t B w v m k x A z / g S L S Z d 9 G Q y K G N Z Y w t u i 0 y A K x m h o c F B 2 t 9 U 2 L 7 H Y 1 6 m Z 2 Z o Y W F B B E / 3 W A s i O R 5 j z H X D 5 w B w a s C b u F l g 6 n D c 3 U m L 0 S j d u X O X e n p 7 u f 7 d V F F Z Q V U e 7 D m / v G 0 4 T r 6 6 7 m w N 5 f U H K e b e x W a A 0 k 5 r H X d 6 H k Q j C x Q s D 8 l 0 n 2 N t M b r W H 7 A G Y G e H H t H 7 h 8 N U h c f 4 F Q B m Z I y P T 8 h d d n E x S q O j o / T m m 6 / L U x H l o W 5 8 3 T B p 7 K 5 j A 8 y M Q J 8 O A 8 D A J e 6 T H T 9 2 J G u u G 3 7 2 p d 4 A z b N F m e 8 z S h H 4 H Q E m T 2 3 0 D k U i E d q 1 a y f 3 H d W j h k a T A c f / T s c T K r T t F Z q c V I N 9 Z q r R r 0 G m 1 Q D z D 8 6 C Q y 3 F D z x i S t P l S 1 c o H K 7 i u 2 4 V D Q 8 N 0 Y k T x 6 m 8 v F y f U R j Q T C B f L h Z i a f o / X 1 6 j 7 f t P M f E x b Q f u f h f 5 0 q w R 0 3 7 y e p 0 7 6 T c f Q B j s M V 9 P T 2 h v W w 1 d v H i J 9 u 7 b S 7 F o T M a m I k F n P y q H 7 7 1 g v H M F F o 4 h k p M A 9 / V a d 3 + t r K i g s 2 f f p W P H j t H 2 1 h a q r 6 8 v i k w A f v + 5 c 9 / T n b v 3 d I 5 C K j Z P L a F F e r s z I W N a G A d 7 t z N C 0 1 1 f 0 d 7 a B a o L p U r K M 2 j q e S T V x q 8 u K a u F e b Y U g g F d V s v b i J P E 8 V 6 + Z D K j k R A 6 i V g 7 w h l X e b E w J s s 8 N x L s Y p u L 3 N + H N K b h z M z O i r n X 8 7 T H 6 o v N 8 9 3 m y p V r d O i 1 Q 5 I 2 w C N 6 2 t u a a F d T k A 6 3 J u j I 9 v h z u + 9 / T e B K s S 9 S 1 7 i X u p 8 8 o d p a 1 k r c l 1 I l 5 2 w 4 2 i n h r W g v 6 N U D N p p c E 3 p P 9 P U A 8 w X R v 7 I D f Y Z / + Z d / p W v X b s j g Z m 9 v H / 3 r v / 5 v + u K L v 5 C f + 1 3 o f 7 3 x x g n q 6 1 c b R C 5 G F m n f S 3 t l y Y M d H q + X p i a n r P K B a d r q 7 a X Y Q g n s g a e v m a u f e i e J W p q b u D + Z p u + / + 0 F u L I H Y T N 6 2 4 h R x t I Z K L o U K k m m j g c I z D o P 1 A O Z L d / e T L M 8 f 8 j 7 4 4 C x F u e H 4 / T 5 Z e P f p p 7 + h 3 / 7 2 b 6 m h o U F m x M + x Z s N y c Q A O k c e P u m Q 4 w Y 5 g I C B u 5 4 k J R V g 0 R E y D O r P X + V 5 B K V F d 3 5 g a V l Y e o g m + 8 R w 4 8 D J N T k 3 R c H + v H H M q H N y H c r N 2 y j b 3 7 N h o k u H r s Y / f e g F z D b 8 B D y 6 w A / 2 s x c i C u M h f f / 2 E b G J i 9 2 w N D g w w k S o l H g j 4 R W u d + / 5 H S Z t x O j h w Z m f n q I I / C 3 j w 4 K E 4 P y p C Z Z J 2 O r j W d Y z o a p 9 f + t A e j 1 t W B J S X 4 z f k t h X n i G M 1 V L h p O z e O 7 E W E G 0 0 i A + w K i 7 3 8 M N j 7 P N i x o 4 3 N v u z 9 6 O B S 3 9 b Y K P t c 5 B u 3 w v x A e z 4 I d 5 L N w I G B Q f r 3 f / 8 T / T + W z z 7 7 j C o r K + j u 3 X v 0 l P t c Q 0 P D / D 6 l 1 Y 6 1 x S V 0 K m z 3 D g H W g W E 1 w M T E J C 2 l l y h c U 0 N + N v u c C t f X N 3 9 2 R i v N g a d y P 3 f c M 2 N P I J O d U B t J L s y S W E 8 n / 8 m T p 6 K Z p t h 0 6 e v t p 4 M H X + X 4 J L 3 z z h k 5 j t + E g e D v z 3 1 P 7 7 7 3 D k U X F 5 h c z X L M A M 6 M a 9 e u s / Y 6 T p O T k 9 T D / a w Q m 4 p o c O i D Y c p T L L o o B N v e 1 k b R a F R N 3 7 F 5 E 5 3 + k D i p 7 z Q e 9 J C k V D J B 6 f g C H W 6 Z l 3 w s P h y f m C J / U 4 c + 2 1 l w f e N Q Q q W C + 7 k x q J n l K E j A C Y T y p W b o e I e L y s u K m z h r g O v 9 y 5 d f 0 c F X D 1 A V m 3 N e j 0 d M N D g d f v e 7 T 2 l 6 W s 2 o i C 5 G q X N P p 9 V P w m / P n b q E v t E 5 7 q S f Z H M P Z D G D y / g O u 3 n 4 t P s R t e / c v e z 9 K L m v H U w q j E O l m F B p T S g s C j 3 a v E D z c 5 O q b z m d p v J 6 9 f R + p 8 G x f S h 7 / y k X G 0 U m I B m P 0 X f n z t E Y m 2 q 4 j m K v B W S p C F X Q N 9 + c I 5 / X K 6 Y a y P D H P / 6 B R k Z G x X F Q W V l J R 4 4 e t s g E z M 0 u N 2 + w j 9 3 J 1 4 9 S c 3 N z 1 k w N O 5 m A n Z 1 7 u R E u f z 8 G S Q H H j k / h u n L K 9 W p / Q N Z H Y T P J C h / M 1 k x b c Z K w h r q / c a 2 z A A K V j T S 7 W C 2 z j l + U u e f j W 0 f i O Z x c K K 6 z + r m 6 u K 7 b t + + I h s E S g / b 2 N v H C Y b V v b q M 2 g F a Z n 5 u j t h 0 7 1 j R Z F t O X Q D S D v p 4 n 1 N a + k 2 a n p 6 i 6 Z v V Z A 6 P D A 7 S t q V W n u A z 4 2 t F P i y T c s m r Y i R A N x d o J B E q m 2 O w X Z 0 u C t g f H q a H K z W b v P C W 9 Z e S q c N 6 s C U f u H B t P K F P n R e J 5 y A R g P p / h s d / v p 6 N H j 8 h G L 0 d Z o 0 Q i i / T F 5 3 + h C x c u i Y m a D 6 F Q O T 1 4 2 C W a a C 1 Y S q s H b W O w F k 9 i b G 3 b o U h b g L i 5 A J l m p i c l j v m D I B P e D 4 f K 4 e 1 x R 2 o p c 7 s U b 5 / 6 F / T M V d O V P j / 1 D k 3 R 8 C x n 6 P b i J J H y d J q Q t 2 a Z V n q R W E 8 j O r U z m t W G 0 S i h k d D Z h 4 a q q Q 1 T a 2 u L j B 3 l I 1 U w W C Z j K f 3 9 a 9 v n L 8 D v S y T i 8 n 7 y l N H j i T J 5 C E F 1 u I b 6 e 5 9 w G a 1 + p 8 C 8 w c m J M Y t M A A L M o s c k 3 N 3 1 f P c P O 2 m K k r 3 u M 2 0 A B M P k 5 E l X G 4 1 z P w q X 6 z Q p 3 v b 4 F Y H 2 W I h M 6 y W Z z 0 P U V K U a u t n j r l h g D 3 S 8 v x A G B o Z k 2 z H s Q A s y / f T T L d a w y 0 k F M w Z u 7 7 U g E G A z 0 s S 9 S 7 Q j n K S Y X h f U 1 r 6 L v 2 e J h g Z X J i k G S G v r G n Q q g 6 E Z D x 1 t i 1 F 7 b Y r 2 b U v I I 3 j C v j n r + z Y C U r + m f j i u o i C Y R B Q 4 j o e 2 O R G O d E q g k R i g g N d L I j s S 3 L 4 r 1 j m f T T Z y K Q A 8 t x c u a 8 w 3 w 1 w 7 z F D w c g N G 3 t D Q E F 2 + f E U E f S h M N c o 3 Y 3 w 1 Q E s Z Y P x r T 0 N m p R 2 + s 7 m l j R 7 + f E f n F I 8 W v l H U l G H W n C p 5 p A + 3 u e h g M 9 Z a b U S D x X e C R C Z E w K 8 q o k P A t I l M m 3 G K O F J D o f v 0 o o h k B y Z b r g f Q D M O z 2 S o K f R r M t b t 5 8 x Y d O f K a Z U q h g e / d t 4 e 1 U V q m C u 3 e 3 U k v v f Q S 9 T 8 b o M n J K c n 7 J b B 9 x / O P y 0 x P T s g 8 w I b K l D y g G / g 1 z U D h j i a Q q n p V / 0 I x y d Z / K t s K n Q R H O i V e N J G e F y N z H r o 9 6 O a q V I C 2 u X z l m j g a 3 n 7 7 r W X T h 8 r K y m Q m O T x / c H E j 3 d / X L z v 4 / B K E g q M j W F b c M h C D f C V s 9 z 6 G y 1 L 0 3 p 6 o b H + G v d 4 P N s c p 7 F 8 U z Y W 9 B X + R p 4 E o 1 g h p 5 B V x n a c P W H H k p 5 H I 0 3 4 2 U h z p l E B h O Y l U u J Z o z 7 e I i K v 8 + v U b d O r k S V n P h D l m K w H v n e Q 7 P 8 L a m h r R Y C 8 a I O l a P h d 7 U Z x / k u 0 y x + + q C m c G S 9 F n R O O A i Y l j 9 a E k d Y R G h G C H W + N 0 Y s f z b z y T D 0 I m L i u p f 4 j k I G 6 O 4 h g O L d H C f C x v + 9 l I c V w f K l i 3 T x W m g 3 B w 2 w y 5 E j M 0 O z s r f a Z 9 + / Z x I 1 6 5 A c P t P z I 6 S u d / v E A P H j z i 9 + w V p 8 U v A Y w t r Q X o K 6 G E 7 Y 8 3 h Q l b C N j d C d q r u r r W q h s Q D b s / v X D w 5 x s C G f K Y P E U y O Q k v N D k R 4 d f l b W g j x X F 9 K L 4 Z O g r o G t W E P N x P O k w 3 b / x E N 6 7 f p M b G b f p o f o B M 5 8 9 f p M V I h E 6 8 f p z e O f O W E G r 7 9 s w A 6 4 v C 8 N A A m 3 t r n 0 W O 3 W q D P r U 3 / P j Y C F V W F t 4 b w 5 D N 7 n Y H 8 H 4 8 A b I Q b K e u D Z p M w i a Q S Y s c k r g K J 6 b m J c 9 J c F w f 6 g W P 5 z 4 3 U H k e r 1 / G m N 4 8 + Y Y Q x L 7 / e T 5 g J H / b t g b q 6 O i Q Q e D 1 t 6 z V E S 5 i t k Q h o F H 2 9 T y l x U X c 6 Q v D N G b 8 j N y p U C F f g q q X M n s X 2 q H f t i r k 8 1 n U n 0 p b I j m S K W m O i K j 3 c N T W d p w g j t N Q U k 5 S c B u D f F 4 t 8 y g c z L + r 4 X 7 Q a o D T I t / y 9 h e N i f F R N e C 7 T k D b o O v V t m O n z s k H 7 v t Z Y 1 i u Z b v p j r C G P L 6 v T h w X k P V C a h w v q g G I W K S C 4 M + W 5 h c V O g z c f p z 1 Z 8 p o o w o L f Y N c j C 9 4 a C G W h 2 l 5 g L l 3 D x 9 2 s W b 6 5 e f J h U K Z O X 7 r A e Y k t r S 2 r 1 L W G B f M m A 3 R W I Y 0 G M S u r a u n q a k J 6 x y Y g e u D U E a u x Y Q q W + c h b Y v j L 5 F M W u 3 G K X + O 1 F A b i X y 0 w T j z x d 4 A D e a M R e U D 1 i G 9 v H + 3 z M G z G s U v i L X O D b Q j F l u U c a f J y e x F j g A m 3 x q S 2 N 3 p m M Z k M D 4 6 L E 8 s K W M t i V X G m A l S k c x v / q 0 K F F U O Y T C t S s p Q i 4 n L c a 4 U S T s M j u t D / Y L d j a I w v 4 I m + n l 4 9 T 3 u s P l K W X k F l Y f U 8 n N U + t j I k N z N B 9 a w H w L W M s 3 P z + l U f s z O T u n Y O q H b Y x 2 b d F M 2 U j 1 5 / F B c 6 P l m x Q 8 P P R M n B X 6 P 2 4 0 b D C r N T a G K S j Y f v b S 7 f f k U p 2 I g J L E J v + A / K 0 / + V K b E E e a 2 n 4 0 W x 2 m o j Q Z X 0 Y q 4 P b Q y q R o b G + n O n X t i T q G P A m l o b J Z x o t a 2 d u r r 6 d Z n F g Z m l W M t U w U 3 0 o W F e X E E o C H J J v q J O C 0 w 0 S D J R J I G n 6 1 v 0 x K 4 2 i u r M u u u q s O 1 N M r E B z o 6 9 0 i Y D y k 2 s 9 B v w x I L 4 x C Z m 5 2 W a 5 6 d m a L R q X V o T B B E i 4 q b J T s 6 x B C u P m 6 J Y z V U P p p t q D g b o 3 O e F Z 8 8 C A 8 g N v S / f / 9 B V o V j K T q w o 6 O T t c E E k y P T 8 E w j g Z s d m g L H D U K s 6 X x + v x A T H k M 8 r w r a A N K y f Y c Q 7 2 n 3 4 6 x + T j G A M 8 G O C B M X y + 3 7 e 5 / m 1 U x A 3 9 N u u X 6 5 1 s W I d V 1 V 1 W G Z x F t V X U N T c a W Z i w Z + O / 5 s J J I 8 K 2 T R 5 F H n a J F b H y R f G 9 o 4 c d x M C Q N U 1 E Z i p a k 1 e N L 8 S o A 2 w k O X f / j h v G y o g u 3 C v v / + R 2 k U Q E 1 t n R B j 8 F k f z c 3 N 0 s O H D + m 7 b 7 + l x 1 3 d f K y e m p q z x 6 t A J P P e f N j J G g U k Q C P H e R N j o 6 L B Y J 6 N c T / H a D m Q D q Y a N N H 2 9 m z P H g i K 4 y H b Y s a 5 u R l + / 4 h 8 5 s z U J P n r 9 w r Z k Y Z 2 w / f h s 9 O p t H g c J y b G a G p x b f W G z x I x c f y Z P J E M 0 T L E Y u F r R R M x 7 c Y p 4 k i T b 6 P J B E A L 5 X O h A 7 k T Z X M B 1 / r J N 9 + Q g V w M B g e Y E I F g 9 n Z g 2 O q L 3 D 7 6 4 f s L s m X Y 0 e P H a W R k T B / N B h p Q M W V S V l Y u 5 9 U 1 b B O C N D V v p 4 Z t T a L l Q A C Q D g 2 x O s 8 S E r w P B J + 3 j T O B K A 3 b G m k 2 6 q G B e K M 8 W R 8 3 A 6 P B 8 H 3 o H 5 a V l 1 N d / T b q X s C N Y A 1 1 Z 8 g h o j W S n T Q m b 5 k o L c U H 1 e c 4 C M 5 z S n D g F H D d c k P T i R w 8 X E V L A X h y x M l T b 3 K j r G e T L y Y T Z P E E D u w K e + 7 b 7 6 i / / x l 9 9 P H 7 s j c E 5 u N h m X c + o L + D h o R + y v M C T T A Q y D 9 2 h R n r 5 u E C + C 6 Q D 8 D z f 1 9 u T M g D 5 3 I B T Y v Z G g 9 G v P K E + 7 W A q a H + L O I Y b Z Q r N i 0 F M f 0 n i G 4 3 T h H H a S h o B S d o K A P U W T 4 8 m 1 n d h W 6 A R v f a o V f F R X 3 p 0 h X Z s A U z L k 6 c O C a e M Q C E c r t Y g + T 5 Q s w k R 5 m g n w I T 7 n k w N q o c D / n Q y 3 0 k 9 M v g / s Z 3 h V k b A Y W q A 2 Y e H C 3 u y j Y u j 7 X N o l c E k Y g i E 5 M k L X m a N E I c E 8 d x k 6 f P 4 X R 9 f e H p U h s F x w 3 s u q L K C + Y k U u U D 2 s G P O T O 2 C w E m E r x / 2 P k U O 7 3 y u 8 X M s / 9 G E K q l t Y W e P n 0 q / Z x 8 x A L Q x 3 o e 5 O 7 z Z 4 f R S I b k q w F m X k / P U 3 n S 4 l q g f p s m k i X Q U p o 8 E L v p l 0 M m 7 H W O s L G x x t 5 y H P H 3 1 z 7 U c y C a d N F M d G 3 X i v V R v b 3 9 4 g K 3 A 7 / 5 l V d e F o c G t h r 7 7 r v v Z X Z 7 r v c O z o b n Q U R v A Z 0 P 8 N q t F d 3 x / T p W H P I S J l e E Q C q O 3 5 8 5 p s m k C R Y O r 3 3 1 8 y 8 N R y 4 w l L u X g y C X V A B X + w L S 1 y o W a B g Y P 8 p d l A i A V O 3 t 7 f T + + + / R 8 e N H Z T z r W y Y X n j G L G R F o X M 9 7 s 8 G g r M h i h E 2 2 j B M k F o 2 K S V o s u i e 8 s u / 4 u m o K 5 M C f a J o M W X J D p Y l 0 n i a R P f R g C Y 2 9 3 T h A H K m h A D Q c 0 3 i e t x E 9 L 9 B o V p q j N l T E l C Q D u N G x Q 9 J K v w n H 4 J k 7 d e p N O n X 6 J D 1 6 / F g 2 / P / s s 8 + z 9 p d Y D 2 p q s I K 4 X P p l N b W 1 1 q w H T C E y s z u K Q Q 8 T a m a N T g g D p k i G K B Z J t D a y 9 Z E s 4 T T I p Y 4 j V O c 4 E V w i m l p O E i 4 s 0 9 5 y G 9 5 G k c u + G C 8 X e H h A s U B / C p u 1 o A E V A w w U v 3 7 i O B 0 6 d F C W k O R 7 g E C x m J 2 Z z j L r M H U I s x 7 M a l / M 3 z M A y V b C + q u B f z d + u h C K R Q i j y K T y N H E 4 N G K I p M i E U L b F 4 g / B R T h L H D e w a 8 S 8 l g J u c a c c W 3 I V A 7 j M 8 Z i a 9 d w Y m p u b 5 G E B 6 0 V I P 9 4 m H 5 S W K q P x 0 R F x m e P 6 x H U u D T c b E b 6 5 r N X M z R Z N F i G O S c P L p / M R 1 3 0 s i 1 w g k z n O h A q F A s v a j B P E k X 0 o r 2 t O C n O j t N F 6 c G / E R 7 N F O C i m 4 9 z n y r N n X z E A m V A u 6 w F m O B T y 3 u E z 0 W B 9 P i / V b 2 s U l z k 0 K U J s 1 J + 7 7 1 + + 8 a i V w d e M 6 9 b f Y y e M I Z B F G h y X c 2 y a y p a P s g O x 6 u q q 8 r a d j R Z H 9 q G C n m k u f N U B L y V S X e k L 0 L m u Q M E Z 6 9 O L b u q d D k q f a z 3 E w K L F s b E x e Y w N H B V Y e 1 U M M F 6 E n W Z z Y d z z M 2 z q Y X l 7 m P t X u c A Y G v b 9 G x r o t 8 x A e D e L B n 6 n / B s N Z E h k N I 7 W Q o Y 8 R k y e k E j l W e c x q T p 2 F n b / b y S c 2 Y d i Q Q F K T W j Y i b X R J F t p o 6 N k 2 k W X e g P 0 b d f y Z f J 4 1 u 3 f H A 7 R t c v n K Y 4 N 3 N c I b P u M h 7 T B 5 Y 5 V w T / / f F 8 f K Q w M B G O 8 y E w X s g N 9 J 5 T l S q a g Q X N r G 3 8 G n o q S o p k 1 z N d D D Y o I s X I 1 k p 1 M J q 5 C I R t C S 5 j 8 0 E 4 S p m W Z j L 2 9 O E U c q a E E u u A B p 2 k p 7 K + 9 G n A O H m x 2 e 9 D H v 0 P l o W H c u H m L / s P f v s 3 m 1 N r H f E A A b F 3 W 1 N Q k / S k 3 p 2 V O I C M u b v W M K a k a 7 R L V N 6 y + F B 9 P B S k G m N u H a 3 g 0 t v q 0 q 2 y A T O r 3 y 3 W Z U O p Y i T m W 6 S d p U k l c P S P M k A p 5 T r V c H P 0 U e B R q q W N 0 3 k P n n 6 o Z F d A s o y O j t L j 4 / H P y s K X z r p 0 d d O H C B V l x 6 w 8 E x G s 3 N P h M + k s Y V 8 I S k W I a X r E b v Q w O 9 O n Y y j B k z p A m E w o x k A a B R L R m E u I o U e R B X G k k p a 2 U Z k J + V V X Z s r b i F H G s h q o O T u p K c D a p f B 4 4 T 3 S i A N D n + P K h n y 5 c v E z H j h 2 h W 7 d u S 8 N 4 X m A / 9 c X F G D e w z E L B 5 p b t M i P c b C 1 m X 3 d l B 2 Z c o I G D e M W Q D q u N 0 Z + 6 r z e s W R 3 K x I M I U X R d C r k 0 M U C U 9 J L S O J K n Q 3 O + I R Y 0 o x A L w i b n k a N r m 5 3 x a 8 K x f S i P W x U s l y y n O Y c r 3 V 7 x T l H 5 i Z T a W K b Q U g 8 D l 8 t N 4 d 3 v y W a X e D o 7 J s i u F 8 q 8 S 8 u Y V H 1 D v T V D P B f w 0 u G 8 Y d Z a A B r z w o I i E p Z 3 o A w x o L s a 0 L i x R K O + q Y 0 G Z l c j F O o L G o m F / 9 S E V 6 2 F j I A 4 F n k 0 w S S t S Y M 0 E 0 d C 0 U w g k s p b Y g J W V m L K U a a t O E l c 5 + 8 / V S 3 W g R i d q S a 2 2 q W v g I u V S m I x s M e d A J C K 2 0 d B 4 D j 2 C 8 f q X c z X + + S T j 4 q 6 M T z u 6 q K J 8 U k 2 5 S a p Q h Y A Y i l H X N Z b 1 d f X S b 9 q N U A T R S I L o r 3 W A 2 z H 7 H L 7 6 F z 3 y g S U O k E 9 4 c 8 i C o i h y K G I B Y J k i G M 9 T 1 e e W o j n 6 q o 4 X P b y j N 1 E n C W m d r C l J H 3 6 u 3 f 0 t z k P z n V K M A K + h B S + u q s 5 l v c W V i I T Y I 7 D U w a P X T F k m p 2 d o 8 h 8 R J 7 6 / s n f f E x v v X W K 5 T S d O f M W X b l y l b V Q c T P e 4 R b H I k M M 1 q K P h b l 8 W H F r t N d K A J n w / o J k M i S S O j J k U m m 7 F j I i R O J j Q j C b Z p J j 0 E S c J 9 p I i K Z F j s F d 3 q K + 0 6 F w t F M i H M K S b i 5 I F D a H g B P N v r U C T + P A 7 r L F 3 C S e d D + h 3 X s 6 l / 1 W T K 7 F 7 P R i y g D 9 K L i 8 s U R E 1 j n V 1 M p c P s z p q 7 D 1 v / I B j x P F d 9 3 o L + S V B H 3 w q u P C L Y S o N y 1 s p i H M E E y R S B F N H 8 N 5 E E 0 m F S I P x 1 l Y Y 2 F r t g O v 7 p G 2 4 V R x b B / K i I s L 1 l S C q b Z S B X 4 R + l w Y E 8 L E 1 4 G B z E Y p a E y 5 Q A M c H x 8 v q I U a u P 9 U D C n 7 + g e 5 s j P G i J 2 E m I R r 9 i 7 P B 2 y 8 0 v W k l 6 Y W C x g z 1 t c b M m X I I X F D I h D E H j K Z L K K x I F T E M Z o K p q B 6 c D U 0 O o 5 5 v a r s 7 O 3 D a e J o k w + o r Y p K Y Z q K K m V S e T 1 L 5 H W r 6 8 e T 3 R / c f y A N C Q + 9 / t O f v p D N X E A g P O E D D 3 I 7 f / 4 C J b k x Q b P k w 9 D Q i J y L G R P Y Y N O M S d n x Z D R J u z s L b 7 U M c q l y z Q A k w A Y v m C y L 4 z 3 J f f r I c q h f k 0 0 m R S Q d Z 1 H m n c q z w i w y Z e L q H E U g p E E q a C Z o q B O v v y r f 5 m Q 4 n l B B P w p a 3 b l U Z W Q T q h i T x y n A T k r m c k G S x q Y m G h w c F O K c P f s u 1 d X V S k f 8 3 H c / 0 B 4 2 8 4 4 d O y o D q Y V 2 h z 1 0 6 I D 0 x U Z H x / g 8 N z 1 8 8 F A f U b j b M 0 t t 4 S V x R q y k y b A O C l o A u y F B U K Y 1 D W 2 y 2 S V m f R S C + k w 7 m R A H I Z R W M u Q R 8 0 7 y V R o h z D k 7 m Q y J L I 0 k I Z O J z 0 M a p G p q X t 8 m m r 8 m X B c f 9 h Q u a Y d g c M x L 8 R S 8 f T 5 u O H y 3 5 g q 3 m z D A S g 3 G K a g r T 9 P h 7 Z m V u j C 1 o J 2 G R 0 b o 5 f 2 Z s Z X p 6 R k K h 1 X f J h K J y O r d 0 6 d P i V Y r B D S 6 C x c u i s M C g P M B / S U D l A + I M t D f Q 6 1 t + R 8 f O j o y T L d n M s f w K N R Y 7 r w 9 / p y s k u a 0 c i y A T C C F J h V I Y E h k J w 7 I A o 3 D c e X V U 8 R R Y U K 0 b J p v K t j Q U 3 n 4 l H c v y F 2 4 3 / 7 + f f 2 l z g X u m R w 4 W 1 o a c I f C X Q v u V F S U 8 8 m T D 3 M 5 D 7 9 G g 8 e s i Z b m 7 I m e h k w A N N A H H 7 w v 8 / Z u 3 7 4 j J l 6 + 3 4 + + B V Y C 3 7 j x E 3 U 9 f p h F J i C j y b O v A V h M u O j G M z / d s Z E J W E Y m h v 2 b c R 2 K T N A 8 N j J x X e U l k 4 Q 6 j n r M P Y Y 8 I Z Y + p u P p d I I + / s 0 Z / k b V H p w s j j f 5 D O C c U I U O m 1 p V W K k R i 9 u I B W w r 9 v U 3 5 2 Q 6 k n 2 m Q z 7 A P M Q a K j y 0 D f 0 l b E E G z W X / + S A M t i x 7 6 a V 9 t B A p v B 0 y d j U y 4 P Z P N w d 8 M j V q M p J 5 h v D q A H E U e R S Z U D c 2 M n F c y G T S + r x M H o t 1 L o 5 p L c V x G Z N i D Y Y 0 N B b q 2 + 1 a U s / Z K g G U D K H q w l y N U u j 6 r o W 7 G C p K t 6 p S 6 E t h J r o h A U y a c H U V 7 d z Z I S 7 t Y g B v X 1 t b G 5 1 + 6 5 T s j n T x 4 k U Z I z L A c Y w t t b Y W f l I i v g m m 5 o O n o / T N 4 y B N L K y y M B I X r E W V t S a T E E G T Q 5 M i Q y Z V N + a Y E h z T 9 a Z D 5 I N A R i M p 0 0 9 Z I c Y M T D O p 3 n j z s L q W E o A z N 2 n J I 5 U V + g 5 o F T Q 0 l S G U a q V O 5 x S u z 1 w j b g D r f e a u G o N 6 R W Z I Y D z L D m z s c v X K 1 S y i Z Y G / d z x a Q c 8 S G U 2 1 E k z p q h K 2 k U k T R m 5 q H B r T z 0 4 m 6 z x N H h H b M V W P O G Z M O 0 M k Q y w 1 s L + j o 4 W v m 7 + + B E T u j a U i 7 S 3 Y S l i R S d 3 Z l P l X H U Q l o s p x l n M h l 6 g B M w 5 7 S 6 w X m M e H 3 2 x / o q K 5 s + 9 / e T 8 N P O u X B w D g H D R g D O 6 i w 4 9 0 9 / g a J r i a k N 9 n T D m 7 G 1 y R y B Z q w o A c l k g e 4 h w a 4 t i P S 5 4 h k v o N h l j v v f / G s n b g Z C k J p 4 Q R v 4 9 D 6 f x y Y c M b p C t j c l 5 p L 4 i T Y X 8 A A Q j R 1 9 f P v 2 F 9 1 w w H R W 1 t j Z A E A m f F j z 9 e o B M n j t P Q 0 L D s S Y 5 d j K A J 4 b D A E x V B 4 i U u x w S b n q s D Z Z o J c / s 8 G e J k S G S F W h R h O O Q 6 y k 0 b 8 o h w f i o J U U R C C F M P r v L m F q z n y m 4 H T p a S 6 U M Z 1 F Z 7 V G W g c r g y j A 2 u K t K m A h y I 8 k C G P N i S + c M P z + q R / 7 X j Z d Z C e O + t W 3 f o 8 8 / / Q s P D I 7 R 3 7 2 6 6 e O E y H T 5 8 S N Z L A e Z h b w Y r d d f E n L N E M q R M D U G M t l M C k n C 5 2 0 i U P b a k 6 s S Q C f U k 5 7 M o 7 a T 7 T E g L u R T B T B w u 8 0 O H n L t M o x B c l x 7 3 O b s V 5 s H 9 x 4 t 8 5 R i X 8 m a E G 5 c K s a w b Z 6 3 Q c j Y I W A J / r C 1 O I y M j t L A Q k Y c J v A i g c W L 2 + t G j h / M + V B t E w J I P F 7 N p y R O k H 7 r z D 9 b i P G g k / c 9 p R S J D J n v a 9 J m U V k K e I o l K 2 8 i E N I i C P A 7 t x B E T F W N N L A j t 4 0 6 0 l K R / / K f f y 3 W V E k p O Q w G 7 O 7 D O J 2 N n o y I y l c W i K 9 Z p 2 F W n p g Z h K 2 Y s v X g R Q B l 8 / d U 3 M j e w 0 B P q Y f b h J j M 4 V 1 6 Q T B a E T J o 8 K E c p y 0 x a i K L z M 3 E u e x z X 5 J F 8 D u 1 p j C + Z u N 0 B Y d W h C J N K 0 g n 6 3 d 9 / o C + o t M D 3 r N L 7 8 / v c M n J u K i J j N u h Q K l l V s J N g H o G D / l O + r Z j X C j T M 8 + c v 0 d t n T s s M 9 p X g 8 Q W p a y L z n Y o k N t H l Z U y 4 b M m Q w Z h t k A y p 9 H F 9 D k I 5 J m n k o 5 5 U 3 K o v 6 S c p M S S S G y N L T b i C q q o q b T V e O n 8 l q a G A 3 R 0 h r j R d I a g c q 7 J Q k S p 0 E q l g g H b W c 0 e b G y 8 a V 0 G 3 t g 1 P J 7 3 0 0 0 D + A U 1 8 z t d f f 0 t e r 4 f u 3 3 8 o j o l 8 Q L c S + 5 B / / 2 T 5 W q Y M o V B O m l S W K A 0 j o S 5 H I Y f t H K S N q Z c R Q z S d z 7 / V 8 u g J c V Q 9 2 Q X 5 u H 4 V T 9 B v / / 4 j f Y W l h 5 I l F L C 9 q U w q Q M w / M f t M a C o N l a g q k 1 u E f t f G A N + O 5 / N i t W 5 L S 0 t R I / 8 7 a 5 P U W p 2 f K J g w 2 9 6 + g 0 6 e f F O 2 F s P j R 7 G 1 W C 6 u 9 P l p b N 7 N j V p n W F D l Y c i U S w o r b i e S i U t o F 0 M s d Z 4 4 i i D 2 O k A c x 6 W O N L F A I q 4 v 9 K G g m V L c d z p 5 + q h c V 6 m i Z A Z 2 8 0 l t r Z / w A A Z U h i E R K l X d 6 V C 5 K i 3 H O L T u x F p + b Y w w o T B 7 H C 7 u Y t F Q k V / D j o 2 N y 1 7 n A D Z r e f f d M 9 w w U / Q j E w v a D 5 o J T 8 d Y i L t p P q Y e 5 J Y R U w 7 8 2 Q i F L L p 8 E M 8 R i z j G i y d l q 0 X i t j w u e y E X 0 r Y 8 C Y 0 W k v 4 v 6 g x m H q d B J p b y M j / t 3 d + Z t 6 5 L R U q y D 2 X / O / B S D V e g u t P J H d G E I u o u a F U 8 C x o E G t F G A N 8 K z e T i W D E m 3 0 o Y Z 0 L l L j x s b N x G R 4 8 d o R v X b 1 L v p E e e j m H m 2 N n J Y g i S i a P h 6 7 h e p 2 T l 6 z J T 5 y j J T S v i c J 4 O l V Y y 5 a 5 C 0 U a 2 O k F c v H t M K o R L 6 Q T 9 x 3 / 8 O 6 t e S / W v p E 0 + g 3 2 7 w 1 x x 6 i 6 X M S l U K K a H S a M y t d a S x q X v 1 M b 8 e R 6 E / K v 3 1 b A c A n j 1 4 E H 6 6 a d b E l 8 v I o s R 0 X b L 4 a K q u k Z 5 R K f 8 N t F A I B W b d f x 7 F Q k M m R B X a S v O W i i T n z l m m X R Y n y S h T T h t y l U I B O H 3 5 R J I x T W J + I a C f O U y j 9 O n v y / d f p M d m 4 J Q o X I f V Y Y w 4 G t I h U r T F Q s y S Y W b y t Y N Q t L m b m u m 0 q y f W D C t V g O W v w P Y R n h q M v P o m P U A m i 7 f o D B 2 p H 0 8 1 0 R R V o D K r M s I v 6 i 4 R S C E h j C K Z L j J m L y s U I i m 0 0 I i c 0 y l z U J A C N K q / F W Y T S a O y w 1 O E S n N / a a 2 7 U 3 U 0 F D c Z p t O h + t K 9 7 P n v z 0 7 B N d v D j F Z W O 1 a g 7 1 6 8 B c h N z 4 X B n 8 x 8 I u 4 n p K D h Y p q p j o r b B m v 4 b i k F d S x F 4 P q Y J q O 7 4 j L h N a Z m Z k V Z 4 W v B J D i 9 o C b x i M + q i l L 0 8 t N C Z q K u O U p 7 L 1 T r L V A G v z Z S Q Q t b O J Z o v t R Q i R 1 j h p T 4 j w m j T I V d Z 5 O g 0 y i s X A u E y V D U A j H Q S Y O D Z m Q t r S U a C R o K L U 1 m N / n o f / y z 3 / Q v 6 z 0 w Y Q a 2 D S E A i 5 f 7 W e 9 C w J p U r F Z p A i l R J F K k Q t k w p P X 0 Z N E a M h k E U u s Y g T P T y p 8 x B v t M T Y N l 2 R N U 3 Q x S g 3 b 1 r 6 k G w 3 d h I u s h c w 2 z 4 A c k 3 9 F D E U Y n J + J q 3 M Q g h w m T 8 e t / p Y O D Z E k r o n E c U U o R S I T Q g M h L s 4 f p D W B 5 J j E Q S R F K C E T a y c X 9 9 f + + X / 9 Z 3 X x m w Q y t W s z y Y m j 2 / U d U d 0 J V S W q y l W e J Z 1 m W W 6 a K H P F E m 4 M x k W M x q I a G 8 Q 0 R N U 4 R d C I V w C u D W Q C 7 t 6 9 R z 5 / s T O + M 5 D v 0 y E k K a M B H E e j Z p P L N G 7 r 2 o 3 k p k X U 7 7 L i 9 n P 0 7 z e 7 D k l c H 7 e b d G L G S a i J I 2 V p H 1 N K W Y 6 H l P S Z M m R i W 5 z + 6 b / / c V n 9 l b p s i j 6 U H V i s t 3 d X L V c w S K N J J X d H h L o B S K P J N A T E p e G Y j r V d O F + Z N 6 o B 2 u / i / K I a t C X Z Z L N L f Y g / h 0 N 8 B n Z 9 r a 4 O L z s n 0 8 i X i 2 r Q C D N 5 Z d 4 U V 6 L K V 0 v Q V b 5 d i y i S s e j 3 W a S z B M f M e z O h 6 m f q u B x n Q S h i y k 0 f k 1 C V o d F C S K v x J Q 5 B J q 4 D Q y Y s F H 3 v / d M y + 3 2 z Y d M R C q i v r 6 C 9 n U w q I Z L a 7 E O I h N C q c D Q C n d Y N I j v U j c c 0 K B 1 X g o b J I R q u I Z E Q D Y K 0 z r P J 2 L z a S h r A H V w + g 9 O q 0 S r J T R u R 7 7 d C d T 0 g 1 l c P f f x Z O I f z h T D q u H X d J m 3 P F + F z r T h L 7 n E r D p J k y G P y 8 L m q 3 N R x F b I 2 0 j c u y T M k 0 u W P F c o g V J r T Z z 8 8 T Z 1 7 8 m 8 U U + p w X X 0 y u L K t U s I Y G 5 u l B 4 9 G + V e q v h R 2 T H J Z / S n 0 o x C i v 6 R C z p B 8 d H j M l r r S n 4 I y z 4 l L o F 5 U C C A f g b w C J l 8 F Z / e o x 9 j c u 3 d P H B L h M G s p Z G i i A f a 0 C k B I F T J n u X E T P R j x 0 s g c 9 o D g D D 4 o f z h H x y X U Y s X l H J O 2 E Z 4 / U M U z h D Z p i U t a h Y b g h o B 2 b a d u O o p Y h m h y 4 x D N p I i F + A c f n q H O v Z u T T M C m J h Q w N D R N j 7 r G F H k s z x 8 I Z B w U H A d R J M 2 h O C e U g 8 I u / C L E s c c V U Z C n Q n m 1 x Q U 6 i u C V p g Q 1 h J L 0 5 z 9 / S R 9 / 8 h E 3 b h z J L n 4 0 Z g M T / + Z x Q E 7 j Z o 5 M / T Z 7 q P P 1 + Y o Q m T w l G C e z p Y U o m W M I L T J J q A l l I 5 P k g T h C o g y Z M i S y h W I F K I 0 F Q q V T c X r n 7 C l 6 6 e U 9 c o 2 b F a 5 r m 5 x Q w N j E H N 2 9 N 8 C N X X v 9 R F O B T C A Y N J X y 9 h n P X 4 Z Y i k A m z i 9 C D I l z T I W S o X i j 0 / a 4 A Z L v 7 I 5 J I / / x / A U 6 f e q U P p I p f o n x c X s c G 7 v 8 0 O 2 3 H Q M B J M G h P h c h i / x J X O U x R X R c E y V L d J 4 Q R a d 1 / z C L S C Z E n o S G T E w c h M v I x O a e m I O a T C z o M 3 3 y m / e o Y 1 e b X O 9 m x p Y g F D A w M E k P H w 8 z W b T Z J 9 p K a S h l + i k y G Y L Z i W T i Y I q E D C E T 8 l U C 9 J J 8 O c c W 1 y + C f d s S k n p 6 9 0 e Z 1 G o H t 2 m 8 S n x 4 1 k 3 3 R 3 y y b X O K s 7 j d y j H r H B B A o g i R j z w 5 Q + X Z R N J y D k i i 8 2 2 O F S W K L B k y 4 R x b m s X S R l Y c Z D J E g p Z S f S k h l S Y S C I U t C 8 6 8 e 5 L 2 v 7 K 5 N Z O B 6 9 r T r U E o Y G x s h m 7 d 7 t c E U t p K x W 3 j U 4 Z U h k w W u c A U j v P n Z M g l K Q 7 x 6 Z p G K o F I J q q x q z 5 J f Z N e i v Z 8 R W f f P S 3 v 5 7 a r o S J 4 5 X Z M l 3 r 9 r D U x 1 o Q P Q a P X R + U f L / K q Q o n r Y 5 I W B k q I 9 0 n a n C d 5 H G a R C i R B i H 4 R + m q K R E I k O Q b C I G 0 j l d F I c g x E U m a e 6 j s p M r l Y Q 3 7 y 6 V l q 7 1 j f 7 k 6 l C C b U k N T L V g G 8 Y 9 9 8 e 4 d / u S K S k E q W 0 y M 0 G g t k M M R S c X 7 R c S W S F t J o 1 u g 0 / i V p i 5 t I d X C J 5 u M u O t Y 8 L b M l c h + U h s a v s E S P x r w 0 N G t m P S B L H Q Q B M i F I I A n E V B 7 i O m 3 F R Q x 5 W E A W e 5 4 m j n U M a T l H k 0 n n g T Q g n e W A 4 G P Y X E U N U U B b K c 0 E D Y W 9 1 v / b / / x P m 9 I 1 v h K 2 H K E M v v z y J j c 5 J o y l o Z a T K q t f p Y m U R S 5 N G k U q 5 O G T d R 5 e D N Q B C 2 9 3 x u j 2 r T t 0 4 M D L 8 l 0 K q h q 4 T d P A j E c W B U p C 8 k w V g Q Q m 5 A i L S q q 0 p E x c S y a t C W O P W 6 T R e S C S D i X f c s W r U G Z A W G Q C w U A i k A k O C B U i H Q w G 6 L / + j 3 / Q 5 b K 1 4 L q + R Q k F X L / R R a O j s 6 y s b K S S k E n F W s t y T i w j V U b 4 R Z F H Q g b y J L A 3 J n O M i G / c d G J H X H Y j q q 6 u p r L y M v B D g O D 2 o I 8 W W I t x u 1 U E 0 Q c k z i S Q p I Q g g a Q k n c m z p W 3 x L E I J Y V S e 0 k Q m z 6 Q 1 k W D m Y c D Y I p a N U B x a f S b t g O A P o c 4 9 O + m j T 5 z 7 y M 5 f G q 7 r P V u X U M D M z A K d P / 8 z l 0 Q + T a W J J A R j J i z z / o E o z B I d F + I Y 5 s i / C v U L N V W m Z D I r p i C N T U 5 T d V W I q s q 1 S c S 1 c I v J N B f j c 3 W N c D P X c Y l x Y A t Z V B T n I F / n 6 W N 2 Q U P P p F X c E E f 1 m V T f S W k o + / g S h 0 w c p M 3 s E i G V D E w j h E Y C m Z J c V i 7 6 w z / 8 l u o 3 y a z x 9 Y I J N a x q Z g s D J s / n n 1 / m B s Y U s F z p I J g i k x n 4 t c j E e W C O I h X n a e J k S K U I p O I 6 C n D C 7 1 6 i A 8 1 J G u r v p o 6 O d i Y v f 5 a t B m J J t Q c E Z o 8 L G Q Q g g g r V P 1 5 U X i b O I V I 6 n h F F I H 4 R g l h 5 J g 7 S 6 L Q K t U b i u C K T 1 k q a U E Z D w S 2 O E M e D w a C Y e C i v r Q 2 i / w / l 0 n n 3 W G i k g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 G u i d = " 5 7 e d 5 8 5 0 - 4 4 5 c - 4 5 f a - b 6 9 6 - 2 5 f f d d 1 1 b f 4 4 "   R e v = " 1 "   R e v G u i d = " b 9 8 f 3 8 0 2 - c d 0 3 - 4 3 a e - b 6 d f - 0 f f 7 0 9 3 e 4 2 3 0 " 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3 8 9 6 9 5 8 9 - 0 0 e d - 4 c 1 a - 8 3 1 2 - f 3 2 d d 8 a d 5 1 6 7 "   C u s t o m M a p I d = " 3 8 9 6 9 5 8 9 - 0 0 e d - 4 c 1 a - 8 3 1 2 - f 3 2 d d 8 a d 5 1 6 7 "   S c e n e I d = " 1 9 c 1 0 7 8 0 - 7 2 f 1 - 4 8 b d - b 2 7 5 - 9 e 7 d 8 d 5 9 f 4 b 2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 0 . 2 9 6 8 2 1 8 1 6 9 4 6 1 5 0 1 2 < / L a t i t u d e > < L o n g i t u d e > 0 . 3 3 7 3 4 1 1 6 0 5 6 0 2 2 7 8 4 < / L o n g i t u d e > < R o t a t i o n > 0 < / R o t a t i o n > < P i v o t A n g l e > - 0 . 6 1 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p A S U R B V H h e 7 d 1 7 d E 1 X H g f w 3 7 m 5 C f U I g h B t l K p H k T Y e F Y / G W 6 K E e h Q 1 n i W W K K Y x M 6 G 1 U q z q M D O l g 2 l n V M 1 4 D T G Y e i Y I i R a h 0 c Z b B J N p E 5 W G z k Q i r d w k 9 9 7 M P r H X K m O b Q W 7 u 2 f v c 7 y f r 1 + z f + U e 6 z t 5 r 7 9 8 + L y 0 + 5 a s y A g C X s P D f A O A C b I Z K w w w F 4 C J a / D E M K A B X w Z I P w I W 0 B M x Q A C 7 D B t R J D C g A F 8 G S D 8 C F t I T j m K E A X E X b i w E F 4 D J Y 8 g G 4 E J u h T m G G A n A R b e 8 X G F A A r o I l H 4 A L a f s w Q w G 4 D B t Q p z G g A F x E 2 5 e q / o D K + f Y q b f h k D d 0 q u E l W b x 9 + F G R k s V i o X j 1 f m h 7 z N j 9 i L q Y Y U M s X L 6 Q 3 5 6 / k G c h u b t S r t G j F c p 6 Z i y k 2 J Z L 3 x v M W q C B 8 6 B g q t h X x z F w s G q n / 0 z 1 s C P / f A R V 0 6 f k y f b x s 6 V 1 n 0 D w / F h Z s 4 a d u f J u d R W F D f s Y S U I V P l a q U e v S w 8 H y q H s o v + e a + O Y 3 a B I f w D F R R X F z C W + a i / I D 6 P v e 7 8 p 0 j U M v k n 7 9 D t i L z 1 V G s J w r m L U X C 6 S y j V k E d W R t U 0 6 P / M D p 7 M o 2 1 x O d W 1 d A S T 5 x V d t v 8 3 K k 0 8 g t o S w G B T f g R U E V Z W R m 9 2 r 0 Z b U 9 O 4 U f M Q e l N i T 2 f b i X / R o E s A d V o m s Y G l d 4 w V y h d f K R 8 l k R e X l 4 8 A 9 X 0 7 D + U H A 4 H z 8 x B 6 R q q Y 9 c + 7 D e o a s z U G L q W n c 1 a 4 v O r Y l j E h + W P z E s Z F B k 9 n 7 V A V X X r N 6 R P V n w g P L + q h r I 1 1 I f v L 6 K A w K Y s A Z W d P H F c e H 5 V D W V r q O y v / 1 l e 2 I L a g t p 3 o b I y J 8 / U p + S A c j q d N P L 1 a J 6 B y o a N n U Y 3 b + b x T H 1 K b k p 8 n f k P C u 0 3 i L V B d e 1 C e t C O u E 2 s J T 7 X q o V 2 M O 2 8 c h d 2 I 7 q 9 S N u P Z W H J Z x I R L w b Q v t T T P F O b m j W U x Y L B Z C L V f W v z l v q U G 1 D 6 h c D u / Q b z D M x g 3 p K 1 V F R 0 m 2 d q U 6 6 G 2 r 9 r B 0 V G L 2 B t M I s W b d v R r i 2 b W U t 8 z l U K 5 W a o x D 0 7 y b e 2 H 8 / A D L y 9 f W j b x n U 8 U 5 t F L 0 V U i i s Z F / m f D m Z i 9 X 5 C e L 5 V C 6 V m q D K n k 1 4 Z P Y V n Y C Y v 9 Y 0 o v 7 6 o O i 3 p Z L o y 2 + Z p x 1 P o q e Z d y K 9 + A 3 4 E z C L 3 W j b l 5 1 6 g o P Z q P z C q 1 A y 1 I C a a 6 t T z 5 x m Y S Y N G g b Q o d g 7 P 1 K X U z b H F x c V s n a o n Y D b 6 e f 3 X j e v 3 n X P V Q p n H N x x 2 O 7 3 Q 6 S X W A r N q 9 X x H c j o c w v O v T C S f u q h E D X U g Y T d 1 7 v 0 a V a n 6 B D 8 C Z n M j 5 y o 5 S 3 K p c R N 1 H 8 t R p o Z a / / F H G E w m 5 + f f k D 7 b n 8 A z N S l T Q x X e K m Q N M D O r 1 Z v i 1 q w W n n 9 V Q p k a 6 u X h 4 9 l / w e x a B 4 c I z 7 8 q o c S S L / 3 s G R o 5 Y S b P w M x G T J x B N p u N Z + p h A 0 o 0 z u S K 2 O j p V L 2 m L 2 u D 2 e m P x K 9 a t o S 1 x H 1 B 9 l B i h i o y 4 T u w Q c z b p w o l K 7 w x I f 2 m R E F B P v 1 i w Q q W g K e w e l c V 9 g U V Q v p N i b 0 7 t l H n n v 1 Z C z z F a 5 O j y X b 7 9 n 1 9 Q Y W Q v o Z a 9 6 e P y I c t A 8 B z h H Q P o 7 T U L 1 h L 3 C d k D u l r q G o 1 a / E W e I r 6 D Z 6 k 9 9 7 + J c / U I n U N V V J S T H 0 j R r E E P I l + o 6 y m K b E B f V 9 I P U P 9 4 b e / p n F R M T w D T 6 L f K G u 3 2 3 m m D q m / A n 8 0 + W D 5 N i p 4 n k k z Y y n 9 z O m 7 e o M a P 1 L P U B a r D 2 + B p 2 n e O p i 2 b l j D M 3 V I W 0 P Z b E U 0 Y s I M l o C n S k 0 5 I u w b M o e 0 M 9 S R p E T q G z G S Z + C J / A M C y 7 / F q x J p t 1 K W v D u P a p j o F b 3 w 6 F 6 f E U s F N / N Z S 9 x H Z A x p 7 5 S o U R O D y d N 1 7 N a b l i 6 c J + w f s o a U S 7 7 C W w X U f 9 h Y n o G n 0 p / Q T j m U x D M 1 S L k p E b 9 9 G 4 2 d O p s l 4 O m q 1 a g p 7 C O y h p Q z 1 I Z V f + Q t 8 H R D R k 9 h K 5 Z b P J O f l B d 2 a 9 d t y P 8 8 8 H S j J k f T k a Q D d / U O u X + k m 6 F s R U U 0 b h q W e 3 C H / u K W 9 Q q t W K S r o W a / E U n d e g 1 k C c A d p a U O Y V + R M a S b o U 5 / d Y K 8 r F a e A R C F 9 h 1 U / u V K F U h 1 Y V e / K O 4 f 8 B R r A / x k 0 K j J d F K R B w 6 1 o x c y p b m 3 4 / v r 1 + l K 5 g 1 6 v m M 3 f g T g j k m D O 9 C W f Y d 4 J i + p a q j N 6 / 6 M w Q R C 1 3 N y h H 1 G t p C q h t r x t 4 2 8 B X C v F m 2 C l a i j p K q h W r X t w H 4 D 3 O + N O Y v p y k X 9 + 8 r i v i N L S D N D 5 e f l U b / B o 3 k G c K + m z V v T g f i d P J O X N F + B n z M 9 k n o N G M 7 / L I B 7 W b 1 9 a P v m j c K + I 1 N I M 0 N d v p h O X l 6 4 / g Q P V s + / E W / J S 4 o a S r / + 1 L R 5 G 9 Y G e L D Q s F e o 2 F b M W u J + J E N I M U N d z f q G p k Q v 4 B m A 2 L i p M b R y 2 f s 8 k 5 M U A y o p Y T e 1 D G r P M w A x v Y 7 a u / 3 v P J O T F J s S + t 3 E P l W q 8 j 8 J 4 M F K S k q E f U i W M L y G 0 u u n l m 0 w O 8 H D m T h 9 L v / e s r g / G R 3 a s Y x v D L 2 X L / P y J f q h q A o 1 b Y F N C f j / b v 7 7 B m V e + J x 6 h w / g R + R i e A 3 1 + / f m 0 9 P P P s c z g P + t t l 9 9 W v n B 7 3 g m H 8 N r q P O n T 5 H F I s X e C C h A / z K H / l T C f / c j W c L Q G k r / u k K P 8 K G s D f D w g j p 0 J X u p / m U O c b 8 y M r T j l 7 I M q 6 G u Z K R T X o F G r Y J w U y w 8 v M x L 5 8 h + O 4 c 6 d Q v l R + R h 6 F p r V u R 4 a t G m H c 8 A H k 6 z l k G 0 c 8 s m n s n F 0 A c M 9 f e t o X 6 C x 5 F y K F n Y p 4 w O w 9 5 t X u Z 0 U o c u v V k L 4 N H 1 i R g l 7 F d G h 2 G b E v p L N 6 b M w v 1 7 8 H i C Q 0 L p x 8 I f W E v c v 4 w K w 9 Z b O 7 f E U a P G z / A M 4 N F 0 7 T m A f h U 1 i W f y M K y G O p y U y B o A j 8 f q 7 U 1 n 0 r 4 U 9 i 0 j w 7 A Z K n w I P l c D F V O 1 W n X e k o e W e u W q 2 6 9 D X U 4 / T z + W V K c m u O U I K i B x V x y F h X e n O n X r 8 i P G M 2 S G W h T 7 F j 3 d r C X P A B 5 P n 4 E j K X l / P M / k Y M i A y r h w j j T N s N U m m I S X l x f F / W U 1 z + T g 9 k 0 J h 9 N B b d u F s A S g 4 v L y 8 o T 9 z K h w + w f X d m 7 e R P O X r m f / O k D F h Y T 2 I 4 f d c V c P M / b H 7 e u u u L W r q b p v L Z 4 B V M z Y q T F 0 / H N 5 P i L g 9 g G V + 1 0 O q 5 / 0 + R G g 4 v S b A 5 Y t X s g z 4 7 m 1 h t L r p 1 7 9 8 X Z Y c K 2 c q 1 n C / m Z E s B l K c L S S 4 m D C H h o X h e / n g m s 9 + 9 w L 5 H A 4 W U v c 7 9 w Z 2 p e Z 1 9 x 2 Y X d 4 3 1 B a 9 W k q z w B c I y s z g 3 y 0 A m o b b P y z d W 6 t o c o / m g X g Y k 8 2 b k Z b / 7 q W Z 8 Z y 2 4 A q L L x F M + b K + 7 Y a U J d + o + y B + F 0 8 M 5 b l n l e 2 V G I c P p h I n U L D + D 8 L 4 F q N A p 8 R 9 j t 3 h 9 t m q N + 8 8 x b 5 1 v b j G Y B r 9 Y k Y S c U 2 G 8 + M 4 7 Z H 4 L 2 s P m w A 6 y 0 A 1 x s 2 N o r e n T 1 L 2 P f c G W 6 Z o e z 2 U u o z c A T P A F z P a v W m o 4 e S e G Y c t 1 z Y X b v y Q 5 o 0 M 5 Y l A J X H r n 8 l X t D / 3 B l u u b C b u H u X l E 9 X g r m M j 5 p d / m o 6 U R 9 0 V 7 h l y Z e L 6 0 / g B u F D x t C 1 7 C y e G a P S N y X s p S U 0 Y u I M 1 g K o X D V r 1 a F Z k R O E / d B d U e k 1 1 L a N 6 2 n A 8 A k s A a h 8 B f n 5 w n 7 o r q j 0 G m r 5 o o V U q 4 4 8 L 9 E A c 2 v f u S e V l p a y l r g / V m 5 o 9 B 9 D T o 5 0 o d 1 X 3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 G u i d = " 7 f a 1 e 3 6 5 - 8 2 6 1 - 4 2 a c - 9 6 9 e - b b 5 a 1 a b d d e 4 6 "   R e v = " 1 "   R e v G u i d = " d 8 6 e e 5 6 c - 2 1 8 4 - 4 1 5 2 - a 6 1 7 - 7 2 3 0 4 5 8 1 3 3 2 e " 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7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2 E F 9 A F 9 6 - 5 C 7 3 - 4 C 4 0 - 8 B 0 E - 2 2 0 B 5 F 7 4 B D 4 8 } "   T o u r I d = " d a 4 f f 3 9 8 - c 7 6 d - 4 a 5 3 - a 0 a 9 - 7 a d 8 5 1 9 9 4 b c 3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B C E A A A Q h A V l M W R s A A D U M S U R B V H h e 7 X 0 H d 1 t H l u Z F B g k G M I l J F C l R w b J l y Y q 2 J d m y L c f p c f f 0 n O 3 T O 7 t z 9 s z u 7 N n d / z Z n z s 7 u j t v u d p K D c r K S l U i J Q c w 5 g c j c + 9 2 q e n g A A R K k Z P O B 7 I + 8 q P A e g I e q + t 6 9 d S s 8 1 2 f n r y 3 R X 2 H h z O G X y b u U I H K 5 K B a N k t f n o 6 W l J U q n 0 3 J 8 e m q C w j V 1 l E q l a G 5 u l s r K y m l m e p I a t j X J c U D O 5 1 L t G v d R 3 5 R H 5 z o P L v 6 N h W A / h r h d 3 G 4 3 + b h c q q q I J v u u 6 7 P + C u C v h N K o L C + j 0 w f 3 U D I R Z 0 k Q C i W V T J K L G w 8 I k k o l m V R L 5 P F 4 p F E h b 3 Z 2 m i o q K j n P S 0 k + F 8 e G J q P U N 1 d N c 7 H C j d W J w G / K B 3 u + I R Q E p M L v D Q Q 8 l J z 9 m Z L x R X 3 W 1 g Y T 6 v q W J 9 S x / Z 3 k j s 9 R e a h C G g u 0 U S z G 2 s n r 5 a M u m p m a p B A T J 8 o a K x g M U p x J V 1 4 e k v d O T o x R T W 2 9 x H 9 4 E q B Y s r S I l A s 7 g e w w + f Y Q p F L a y k t B 3 w L N j z 2 S Y 1 s Z r s 8 u b G 1 C f f z 6 Q U o n W S u x h l l c X J Q G M j k + S v X a h I t G I 3 w X L q M 0 m 3 h u v i M b Q E M Z X O n 1 0 m w M 5 N s 8 K I Z Y R l B m u P k E g 2 6 K j N 2 Q 4 1 s V b h 1 u O d S H q + i T 1 w 9 Q I r Z I c 7 O z 0 i d C v w A N x J B p c V G R a X Z m x i L T P P e b 7 G S 6 3 B v Y d G Q C 8 B v t v 9 P A 5 C G E J o e g 7 B J s J k c i S f L X H K F A q F b O 2 Y p w / W k L a q j W b X V 0 o L 2 R R o Y H q a q 6 R v L Q Q O Z m Z 6 S v 5 H K 5 p Y H U 1 i l T D k D D G R 0 Z w o n k D w T E P P R 5 f f R N t z L 9 N j u M Z r L D 5 B l N B U G / S m 5 M 8 V 5 K L k 7 I 8 a 0 E J t S N L U W o M 4 f 3 i x c v F o + J M y E a X Z Q Q Z o t x L E Q i C + T 3 B 8 S M g a d v e C F A Y x E / t d e k 6 K c B H + 1 t S N A O j g N f P Q p K u B W w G q k A l C P K U E x A f 4 o i 4 3 c k f 6 t g S 5 l 8 7 x z Z T z 5 X i p J s o o B E 0 D o + n 1 8 a g Z g 4 n A b g c J i L + + n L h w H 6 v r e a H o 0 H a S r i F j I B c 7 H l x e b m 9 u T z b O 5 7 k 5 Q R i x 0 m z 0 i W C c j l F K g 7 r M / c G n A T b i x b Q D 7 m / p K X U l L Z p u I R A g h j s R i N L Q a p Z 9 J D j 8 e 9 d P 2 Z I k 8 + 1 J Y r 4 g E g E o B x p 0 R K J z Y 5 T L n Z Y S 9 L Q y o M O 8 R i K Q r W H M x b J 5 t R X J 9 f 3 N w m H 0 y R j 1 4 / S P F o R E w 6 V D T y 7 A 3 g x j M / T b I G M u l i 8 P 7 e q I R b y e T L h 1 w z 0 G 4 C Q m D + i Q n o c V N q 9 i c 5 t p m x 6 U 2 + j 0 4 c o F h k X v p C I I u d T N G E I s R a y Q T c H / b R N 4 + D b C 7 i M 4 k a K 1 W f C g h 4 O U / H C w H n b A b k l p l J I 4 T g B o Y b W S K Z I n c l a 6 p N D t Z Q N z d H z e Y B z L y p y Q m K R m N U V l 5 G A 8 8 G q K m p U b x Q o 3 M e u j 2 U M e u K I R O I 4 3 E t U T K 9 G l 2 K Q 0 U g L Q P B m 8 F U X E 1 T G W c F K y p a m r 8 r x z Y j N m 0 f 6 v h L b f S k q 0 t m N m D W A z O G G h u 3 i X 0 / s e B e M 5 k A n P a i y A T M c 6 f 9 1 y K T 9 x e 2 R X L L 0 G g o I 1 a / K r V E D X U t e e t s M 4 j r 8 0 u b T 0 O 9 1 L 6 b W m t c u g K V E w I y P T 0 t 2 u r a U D U F y q v l X O Q X i 8 6 6 J N W F 0 l Q Z T E v 5 s R V D s 1 E 3 d U 1 4 J f w r u E H l a C r A a C m v B y 3 O w 2 W 3 R G / s m K O r j 5 / p M z Y P X F 9 s M k J V V 1 b R w Z 3 N 5 F 5 K Z J H J E O f h q J f 6 p 9 X M h m L J t L 8 x Q U / G v R S z a R P E y v 2 q / / R G e 4 y i b L o N z 3 h o J u a i s X n n z j D / N b A S q R S x c P N Z o o 6 K I X o 2 M a N O 2 C T g X 4 Y f v z k k W L m N E r 4 O I Z N x i 9 t J g / 7 K W s k E 3 B / x E V s q W U B y I e 5 i s 8 0 l j o 2 R O T d 1 s A Z 7 t T l B p 3 d F y a / H p I L e J f K 7 Y t T o H a T 9 2 x J U G S j + e 0 s V h c r W 1 E c q D a e N i 2 q q w l T p B 7 n y 1 2 c p i u u L y z 9 t k h p 2 0 c 7 2 V 2 h m P k G v N E a X j T M B 3 3 c H K M 5 a p l C F h 7 i x t 4 e T t K 0 y R e e 6 V n a H 4 y a M j 0 E x F i p A e P I a K 5 M U j P Z R e V m Q 6 u v r J B 9 L O y J x N 9 2 x 9 e M M M D i 8 W c a z c j W V S S O E k + J I 4 w R N T 4 7 R E J v L 6 Q J 1 U m r Y N I Q K 1 B w i T y p O h 1 o W W e 0 q U w / I h E R f P w 7 m J R N M t z f Z b D M k w X n 5 g O Y Q 8 C 1 R N L F y g 8 d g 7 0 u s j e Z Z g y W Z H L O D d 6 i 9 p Y Z 6 o j t E S y b T J N 6 u F I f 4 z i O t c T Y T 3 T Q w 6 5 W 8 X H j c u K u v / J 1 O x U q k e q s z Q T 5 X Q g b V b / S O S 3 6 p Y 1 P 0 p A P V O y m Z S N H 0 4 h L F E h n C 2 M k z t a i m F + X D 0 e 1 x a d j A j 0 8 D K p I H e H c u m W r K 0 n S m M 0 o 7 a 5 M 6 R 8 2 a + J n N x L 4 p L w 3 O e m j K v 5 / u z + 0 Q E x F k A g x x c E n X n / m p j 0 3 R X D J 5 m U h A q Z I J y C 1 z e / r 8 E 7 + M U T 1 7 N k i 7 G 5 W T q N T B N 9 P S / 4 s l K + l E 2 4 K Y e Q t x V W m 5 F f l k I r + j o C q Y t g Z Z k 9 y i 1 7 p A E E T 9 r j t I T y c L L + H w + Q N M s r W T w r j o o a F K e Z 5 g P l J B Y O Y F A g G q q q o g S k R t N V q 6 f y U / D u W p P i h 3 u Z F Z 1 T f C w G s u k L + r L m n N u z N o r U 7 R i R 1 x O X 7 z 5 k 9 0 f g X t t L E o / c F f l H E u D K n q 6 u o o X F 1 N u 8 L c p 7 T V b S l K S Z t 8 5 Q 0 H K R 5 P i W b 6 e d g r F R R m E 8 x e e S Y O b 5 u 5 y 4 N c m I v X 6 B u m H 3 4 4 T / / 2 b / + X m n e 9 R o m 0 M 9 3 d M C F / 6 Y H Z X w P 5 6 m V g a E K W e s T j c a p m U r W y x V D K K O l q i k S W R D s Z j 1 5 z V c Y Z k Y s y 3 x K 9 t S s m R A K h U I H d 3 T 3 0 1 l u n q K 1 t O 4 1 H C s 8 u 3 2 j g J 5 m + V 6 n D X j 2 o q 1 s j l T Q 8 P E x d X d 3 k Z h M C 0 5 N K G U y o P H q r B M T L p l 4 i k Z R K M d J a l X E M A I X I B W B V 7 t J S W g g Z X / J R b G G S z u 6 J 0 s m d i n R n 9 y z S 0 Z Z 5 m h 7 r 1 + / Y W B h z F d 7 B H M d Z i S G 7 T n z B C h p L b 6 d D h w 6 K 5 6 + m J k y 7 a 2 B 6 Z 9 d 3 q Y j U U 6 l J T c t + 1 j B q P w M 7 a a 7 2 + + n B q E + q L B + Z j L d s b m 6 O R k Z G 6 P A R t f j N n V q k I 5 3 Y 8 Y j N S N Z k c / P z 9 P n n X z C Z n l F N f Y u c s 9 G A 2 Q f A E 7 j C f c L R 6 K h V M / J z 6 2 Z 4 T m k l j E 1 B Q K x 9 j Z V 5 6 9 7 x 8 p e r t 0 u u e l w V r 1 I s l h D t g s o x Y k d D R Y q 2 V y d l M e D Q r J f u c R 8 L 2 F 2 f p K n e a 3 T 4 8 G u S v n z l K r 3 G d 0 f Y 8 f i M R 4 8 e y 5 S l V 1 8 9 I G b W a g O 8 q w F 3 L P T f I j Z 3 O 4 i L P H P J C S Z 6 v v E n A 5 i r i 6 u M f Z U a c s e n 9 j Y k q S 2 c k J W + s D w W I h F 6 O p P Q R 0 s H J U c o b 2 g 7 R Z N V U v A g A L Q U Y C d U L r n s S C Y T t L 9 m g n Y 0 h + n 6 t e u 0 e 8 9 u + v n e f W p p a a a u 7 i d 0 6 u S b V F a m S H S p J y C D s + s B 3 2 j 5 j r V E b a E p m p 9 4 R k O 0 j + q q f D K J N u R L 0 0 J i 7 d 3 X 2 v I U T U Y 2 z z x B O 6 k Q e 4 / N b N w k I R j s n Y 4 m a W S + t E j F h L p T U o S i 0 A E u 7 H j e i a / A S m T K B X Y 4 q i r z 0 E I 0 Q a G F n + n w K x 2 y 3 M P g Q o 9 f p g i t F V j n V B 1 c o q b g F F 2 9 8 T O l t r 1 B N R U + 6 q x L y G x 1 u M A v M l n X 4 m h A g y u t i i o O d l I d b x y h U C i k + r V 8 w 5 y b m 6 e B C G 5 L p Y O S 6 k O F t r E Z l s w m 0 l o I l A t s 1 I L Z C + T 2 0 2 L V a x R g M t 0 a V N 4 + f O p a y Y S J r y c 7 Y v R G e 5 x 2 h e f p 3 p 1 b d P b t o / R a m 5 q R 3 l C R l g L H Q D J m s N e H U n R q Z 0 y 8 j x h g B n A 8 5 F + i d 3 Z H Z Q Y G f j e w s y 7 b 4 b I Z g Y H s v r 4 + I Z m b B Z u L Y m w K Z V A y 8 u W 1 0 t F Q S + U v T j v l g 8 / N p t j A T a q r 9 F B t b Z i 6 F l p k V 6 R i g K U + 7 + 5 R + 0 w A P T 0 9 F A 6 H 6 f Z E o 5 D k N J N m P Y A W w 0 J E z H i P c 5 9 + s 0 y c t c N o q Q N N c W o I J W h w c I j L v 0 b M + l g 8 T r 1 z a 1 D l G 4 y 1 2 z M b B F / F d t F O y r O n y P O 8 B M o F Z q K / 9 3 o n H X q 5 n W o r / e Q v k k x o D v U V m T 0 l 0 B A u X 7 4 q m g / a 5 n m A A V 0 M V h 9 o j s t E W z E p N i k e j K K 8 X T I r / + G D R 1 L f I 8 M j V B c s n R 9 d M o R K L I U t z Z S v N / E i y A U z I 7 p U R l 5 / O d X V 1 V K H v 4 u m x w f 0 U a W F Y I q d Z j P t t V Y 8 p U N N W 8 K A M t Z B G W B w 8 s M P 3 6 d n / T 1 0 t C 2 + b u 1 k B 8 x J a E D v 5 D X y 6 b m H m w W m 7 q C N r 9 6 8 K 4 P u i W S C x s f G p U 9 V r i c J l w L Y 5 L v r + K v 1 h 2 o p k m y U O 7 / d 3 L P j R R D K j o 7 a J A 3 c + 4 Z O n T p J s 3 G / j E 9 h 6 t K 3 2 o 3 + J v e V e r v u U 6 x 8 F x 3 u W K 7 J o E n / / O c v 6 a O P P p C x l f X g 9 q C f 9 n F f K 6 C n T N 2 + f Z c O H j w g c Z i A g z O e T e O o M G Z f O H q X Q r 4 k t b a 2 c p 2 q g f e p q W m K + y p o v g S 6 k b g p 8 4 9 x t q Q 8 z T b t t B w v m k x A z / g S L S Z d 9 G Q y K G N Z Y w t u i 0 y A K x m h o c F B 2 t 9 U 2 L 7 H Y 1 6 m Z 2 Z o Y W F B B E / 3 W A s i O R 5 j z H X D 5 w B w a s C b u F l g 6 n D c 3 U m L 0 S j d u X O X e n p 7 u f 7 d V F F Z Q V U e 7 D m / v G 0 4 T r 6 6 7 m w N 5 f U H K e b e x W a A 0 k 5 r H X d 6 H k Q j C x Q s D 8 l 0 n 2 N t M b r W H 7 A G Y G e H H t H 7 h 8 N U h c f 4 F Q B m Z I y P T 8 h d d n E x S q O j o / T m m 6 / L U x H l o W 5 8 3 T B p 7 K 5 j A 8 y M Q J 8 O A 8 D A J e 6 T H T 9 2 J G u u G 3 7 2 p d 4 A z b N F m e 8 z S h H 4 H Q E m T 2 3 0 D k U i E d q 1 a y f 3 H d W j h k a T A c f / T s c T K r T t F Z q c V I N 9 Z q r R r 0 G m 1 Q D z D 8 6 C Q y 3 F D z x i S t P l S 1 c o H K 7 i u 2 4 V D Q 8 N 0 Y k T x 6 m 8 v F y f U R j Q T C B f L h Z i a f o / X 1 6 j 7 f t P M f E x b Q f u f h f 5 0 q w R 0 3 7 y e p 0 7 6 T c f Q B j s M V 9 P T 2 h v W w 1 d v H i J 9 u 7 b S 7 F o T M a m I k F n P y q H 7 7 1 g v H M F F o 4 h k p M A 9 / V a d 3 + t r K i g s 2 f f p W P H j t H 2 1 h a q r 6 8 v i k w A f v + 5 c 9 / T n b v 3 d I 5 C K j Z P L a F F e r s z I W N a G A d 7 t z N C 0 1 1 f 0 d 7 a B a o L p U r K M 2 j q e S T V x q 8 u K a u F e b Y U g g F d V s v b i J P E 8 V 6 + Z D K j k R A 6 i V g 7 w h l X e b E w J s s 8 N x L s Y p u L 3 N + H N K b h z M z O i r n X 8 7 T H 6 o v N 8 9 3 m y p V r d O i 1 Q 5 I 2 w C N 6 2 t u a a F d T k A 6 3 J u j I 9 v h z u + 9 / T e B K s S 9 S 1 7 i X u p 8 8 o d p a 1 k r c l 1 I l 5 2 w 4 2 i n h r W g v 6 N U D N p p c E 3 p P 9 P U A 8 w X R v 7 I D f Y Z / + Z d / p W v X b s j g Z m 9 v H / 3 r v / 5 v + u K L v 5 C f + 1 3 o f 7 3 x x g n q 6 1 c b R C 5 G F m n f S 3 t l y Y M d H q + X p i a n r P K B a d r q 7 a X Y Q g n s g a e v m a u f e i e J W p q b u D + Z p u + / + 0 F u L I H Y T N 6 2 4 h R x t I Z K L o U K k m m j g c I z D o P 1 A O Z L d / e T L M 8 f 8 j 7 4 4 C x F u e H 4 / T 5 Z e P f p p 7 + h 3 / 7 2 b 6 m h o U F m x M + x Z s N y c Q A O k c e P u m Q 4 w Y 5 g I C B u 5 4 k J R V g 0 R E y D O r P X + V 5 B K V F d 3 5 g a V l Y e o g m + 8 R w 4 8 D J N T k 3 R c H + v H H M q H N y H c r N 2 y j b 3 7 N h o k u H r s Y / f e g F z D b 8 B D y 6 w A / 2 s x c i C u M h f f / 2 E b G J i 9 2 w N D g w w k S o l H g j 4 R W u d + / 5 H S Z t x O j h w Z m f n q I I / C 3 j w 4 K E 4 P y p C Z Z J 2 O r j W d Y z o a p 9 f + t A e j 1 t W B J S X 4 z f k t h X n i G M 1 V L h p O z e O 7 E W E G 0 0 i A + w K i 7 3 8 M N j 7 P N i x o 4 3 N v u z 9 6 O B S 3 9 b Y K P t c 5 B u 3 w v x A e z 4 I d 5 L N w I G B Q f r 3 f / 8 T / T + W z z 7 7 j C o r K + j u 3 X v 0 l P t c Q 0 P D / D 6 l 1 Y 6 1 x S V 0 K m z 3 D g H W g W E 1 w M T E J C 2 l l y h c U 0 N + N v u c C t f X N 3 9 2 R i v N g a d y P 3 f c M 2 N P I J O d U B t J L s y S W E 8 n / 8 m T p 6 K Z p t h 0 6 e v t p 4 M H X + X 4 J L 3 z z h k 5 j t + E g e D v z 3 1 P 7 7 7 3 D k U X F 5 h c z X L M A M 6 M a 9 e u s / Y 6 T p O T k 9 T D / a w Q m 4 p o c O i D Y c p T L L o o B N v e 1 k b R a F R N 3 7 F 5 E 5 3 + k D i p 7 z Q e 9 J C k V D J B 6 f g C H W 6 Z l 3 w s P h y f m C J / U 4 c + 2 1 l w f e N Q Q q W C + 7 k x q J n l K E j A C Y T y p W b o e I e L y s u K m z h r g O v 9 y 5 d f 0 c F X D 1 A V m 3 N e j 0 d M N D g d f v e 7 T 2 l 6 W s 2 o i C 5 G q X N P p 9 V P w m / P n b q E v t E 5 7 q S f Z H M P Z D G D y / g O u 3 n 4 t P s R t e / c v e z 9 K L m v H U w q j E O l m F B p T S g s C j 3 a v E D z c 5 O q b z m d p v J 6 9 f R + p 8 G x f S h 7 / y k X G 0 U m I B m P 0 X f n z t E Y m 2 q 4 j m K v B W S p C F X Q N 9 + c I 5 / X K 6 Y a y P D H P / 6 B R k Z G x X F Q W V l J R 4 4 e t s g E z M 0 u N 2 + w j 9 3 J 1 4 9 S c 3 N z 1 k w N O 5 m A n Z 1 7 u R E u f z 8 G S Q H H j k / h u n L K 9 W p / Q N Z H Y T P J C h / M 1 k x b c Z K w h r q / c a 2 z A A K V j T S 7 W C 2 z j l + U u e f j W 0 f i O Z x c K K 6 z + r m 6 u K 7 b t + + I h s E S g / b 2 N v H C Y b V v b q M 2 g F a Z n 5 u j t h 0 7 1 j R Z F t O X Q D S D v p 4 n 1 N a + k 2 a n p 6 i 6 Z v V Z A 6 P D A 7 S t q V W n u A z 4 2 t F P i y T c s m r Y i R A N x d o J B E q m 2 O w X Z 0 u C t g f H q a H K z W b v P C W 9 Z e S q c N 6 s C U f u H B t P K F P n R e J 5 y A R g P p / h s d / v p 6 N H j 8 h G L 0 d Z o 0 Q i i / T F 5 3 + h C x c u i Y m a D 6 F Q O T 1 4 2 C W a a C 1 Y S q s H b W O w F k 9 i b G 3 b o U h b g L i 5 A J l m p i c l j v m D I B P e D 4 f K 4 e 1 x R 2 o p c 7 s U b 5 / 6 F / T M V d O V P j / 1 D k 3 R 8 C x n 6 P b i J J H y d J q Q t 2 a Z V n q R W E 8 j O r U z m t W G 0 S i h k d D Z h 4 a q q Q 1 T a 2 u L j B 3 l I 1 U w W C Z j K f 3 9 a 9 v n L 8 D v S y T i 8 n 7 y l N H j i T J 5 C E F 1 u I b 6 e 5 9 w G a 1 + p 8 C 8 w c m J M Y t M A A L M o s c k 3 N 3 1 f P c P O 2 m K k r 3 u M 2 0 A B M P k 5 E l X G 4 1 z P w q X 6 z Q p 3 v b 4 F Y H 2 W I h M 6 y W Z z 0 P U V K U a u t n j r l h g D 3 S 8 v x A G B o Z k 2 z H s Q A s y / f T T L d a w y 0 k F M w Z u 7 7 U g E G A z 0 s S 9 S 7 Q j n K S Y X h f U 1 r 6 L v 2 e J h g Z X J i k G S G v r G n Q q g 6 E Z D x 1 t i 1 F 7 b Y r 2 b U v I I 3 j C v j n r + z Y C U r + m f j i u o i C Y R B Q 4 j o e 2 O R G O d E q g k R i g g N d L I j s S 3 L 4 r 1 j m f T T Z y K Q A 8 t x c u a 8 w 3 w 1 w 7 z F D w c g N G 3 t D Q E F 2 + f E U E f S h M N c o 3 Y 3 w 1 Q E s Z Y P x r T 0 N m p R 2 + s 7 m l j R 7 + f E f n F I 8 W v l H U l G H W n C p 5 p A + 3 u e h g M 9 Z a b U S D x X e C R C Z E w K 8 q o k P A t I l M m 3 G K O F J D o f v 0 o o h k B y Z b r g f Q D M O z 2 S o K f R r M t b t 5 8 x Y d O f K a Z U q h g e / d t 4 e 1 U V q m C u 3 e 3 U k v v f Q S 9 T 8 b o M n J K c n 7 J b B 9 x / O P y 0 x P T s g 8 w I b K l D y g G / g 1 z U D h j i a Q q n p V / 0 I x y d Z / K t s K n Q R H O i V e N J G e F y N z H r o 9 6 O a q V I C 2 u X z l m j g a 3 n 7 7 r W X T h 8 r K y m Q m O T x / c H E j 3 d / X L z v 4 / B K E g q M j W F b c M h C D f C V s 9 z 6 G y 1 L 0 3 p 6 o b H + G v d 4 P N s c p 7 F 8 U z Y W 9 B X + R p 4 E o 1 g h p 5 B V x n a c P W H H k p 5 H I 0 3 4 2 U h z p l E B h O Y l U u J Z o z 7 e I i K v 8 + v U b d O r k S V n P h D l m K w H v n e Q 7 P 8 L a m h r R Y C 8 a I O l a P h d 7 U Z x / k u 0 y x + + q C m c G S 9 F n R O O A i Y l j 9 a E k d Y R G h G C H W + N 0 Y s f z b z y T D 0 I m L i u p f 4 j k I G 6 O 4 h g O L d H C f C x v + 9 l I c V w f K l i 3 T x W m g 3 B w 2 w y 5 E j M 0 O z s r f a Z 9 + / Z x I 1 6 5 A c P t P z I 6 S u d / v E A P H j z i 9 + w V p 8 U v A Y w t r Q X o K 6 G E 7 Y 8 3 h Q l b C N j d C d q r u r r W q h s Q D b s / v X D w 5 x s C G f K Y P E U y O Q k v N D k R 4 d f l b W g j x X F 9 K L 4 Z O g r o G t W E P N x P O k w 3 b / x E N 6 7 f p M b G b f p o f o B M 5 8 9 f p M V I h E 6 8 f p z e O f O W E G r 7 9 s w A 6 4 v C 8 N A A m 3 t r n 0 W O 3 W q D P r U 3 / P j Y C F V W F t 4 b w 5 D N 7 n Y H 8 H 4 8 A b I Q b K e u D Z p M w i a Q S Y s c k r g K J 6 b m J c 9 J c F w f 6 g W P 5 z 4 3 U H k e r 1 / G m N 4 8 + Y Y Q x L 7 / e T 5 g J H / b t g b q 6 O i Q Q e D 1 t 6 z V E S 5 i t k Q h o F H 2 9 T y l x U X c 6 Q v D N G b 8 j N y p U C F f g q q X M n s X 2 q H f t i r k 8 1 n U n 0 p b I j m S K W m O i K j 3 c N T W d p w g j t N Q U k 5 S c B u D f F 4 t 8 y g c z L + r 4 X 7 Q a o D T I t / y 9 h e N i f F R N e C 7 T k D b o O v V t m O n z s k H 7 v t Z Y 1 i u Z b v p j r C G P L 6 v T h w X k P V C a h w v q g G I W K S C 4 M + W 5 h c V O g z c f p z 1 Z 8 p o o w o L f Y N c j C 9 4 a C G W h 2 l 5 g L l 3 D x 9 2 s W b 6 5 e f J h U K Z O X 7 r A e Y k t r S 2 r 1 L W G B f M m A 3 R W I Y 0 G M S u r a u n q a k J 6 x y Y g e u D U E a u x Y Q q W + c h b Y v j L 5 F M W u 3 G K X + O 1 F A b i X y 0 w T j z x d 4 A D e a M R e U D 1 i G 9 v H + 3 z M G z G s U v i L X O D b Q j F l u U c a f J y e x F j g A m 3 x q S 2 N 3 p m M Z k M D 4 6 L E 8 s K W M t i V X G m A l S k c x v / q 0 K F F U O Y T C t S s p Q i 4 n L c a 4 U S T s M j u t D / Y L d j a I w v 4 I m + n l 4 9 T 3 u s P l K W X k F l Y f U 8 n N U + t j I k N z N B 9 a w H w L W M s 3 P z + l U f s z O T u n Y O q H b Y x 2 b d F M 2 U j 1 5 / F B c 6 P l m x Q 8 P P R M n B X 6 P 2 4 0 b D C r N T a G K S j Y f v b S 7 f f k U p 2 I g J L E J v + A / K 0 / + V K b E E e a 2 n 4 0 W x 2 m o j Q Z X 0 Y q 4 P b Q y q R o b G + n O n X t i T q G P A m l o b J Z x o t a 2 d u r r 6 d Z n F g Z m l W M t U w U 3 0 o W F e X E E o C H J J v q J O C 0 w 0 S D J R J I G n 6 1 v 0 x K 4 2 i u r M u u u q s O 1 N M r E B z o 6 9 0 i Y D y k 2 s 9 B v w x I L 4 x C Z m 5 2 W a 5 6 d m a L R q X V o T B B E i 4 q b J T s 6 x B C u P m 6 J Y z V U P p p t q D g b o 3 O e F Z 8 8 C A 8 g N v S / f / 9 B V o V j K T q w o 6 O T t c E E k y P T 8 E w j g Z s d m g L H D U K s 6 X x + v x A T H k M 8 r w r a A N K y f Y c Q 7 2 n 3 4 6 x + T j G A M 8 G O C B M X y + 3 7 e 5 / m 1 U x A 3 9 N u u X 6 5 1 s W I d V 1 V 1 W G Z x F t V X U N T c a W Z i w Z + O / 5 s J J I 8 K 2 T R 5 F H n a J F b H y R f G 9 o 4 c d x M C Q N U 1 E Z i p a k 1 e N L 8 S o A 2 w k O X f / j h v G y o g u 3 C v v / + R 2 k U Q E 1 t n R B j 8 F k f z c 3 N 0 s O H D + m 7 b 7 + l x 1 3 d f K y e m p q z x 6 t A J P P e f N j J G g U k Q C P H e R N j o 6 L B Y J 6 N c T / H a D m Q D q Y a N N H 2 9 m z P H g i K 4 y H b Y s a 5 u R l + / 4 h 8 5 s z U J P n r 9 w r Z k Y Z 2 w / f h s 9 O p t H g c J y b G a G p x b f W G z x I x c f y Z P J E M 0 T L E Y u F r R R M x 7 c Y p 4 k i T b 6 P J B E A L 5 X O h A 7 k T Z X M B 1 / r J N 9 + Q g V w M B g e Y E I F g 9 n Z g 2 O q L 3 D 7 6 4 f s L s m X Y 0 e P H a W R k T B / N B h p Q M W V S V l Y u 5 9 U 1 b B O C N D V v p 4 Z t T a L l Q A C Q D g 2 x O s 8 S E r w P B J + 3 j T O B K A 3 b G m k 2 6 q G B e K M 8 W R 8 3 A 6 P B 8 H 3 o H 5 a V l 1 N d / T b q X s C N Y A 1 1 Z 8 g h o j W S n T Q m b 5 k o L c U H 1 e c 4 C M 5 z S n D g F H D d c k P T i R w 8 X E V L A X h y x M l T b 3 K j r G e T L y Y T Z P E E D u w K e + 7 b 7 6 i / / x l 9 9 P H 7 s j c E 5 u N h m X c + o L + D h o R + y v M C T T A Q y D 9 2 h R n r 5 u E C + C 6 Q D 8 D z f 1 9 u T M g D 5 3 I B T Y v Z G g 9 G v P K E + 7 W A q a H + L O I Y b Z Q r N i 0 F M f 0 n i G 4 3 T h H H a S h o B S d o K A P U W T 4 8 m 1 n d h W 6 A R v f a o V f F R X 3 p 0 h X Z s A U z L k 6 c O C a e M Q C E c r t Y g + T 5 Q s w k R 5 m g n w I T 7 n k w N q o c D / n Q y 3 0 k 9 M v g / s Z 3 h V k b A Y W q A 2 Y e H C 3 u y j Y u j 7 X N o l c E k Y g i E 5 M k L X m a N E I c E 8 d x k 6 f P 4 X R 9 f e H p U h s F x w 3 s u q L K C + Y k U u U D 2 s G P O T O 2 C w E m E r x / 2 P k U O 7 3 y u 8 X M s / 9 G E K q l t Y W e P n 0 q / Z x 8 x A L Q x 3 o e 5 O 7 z Z 4 f R S I b k q w F m X k / P U 3 n S 4 l q g f p s m k i X Q U p o 8 E L v p l 0 M m 7 H W O s L G x x t 5 y H P H 3 1 z 7 U c y C a d N F M d G 3 X i v V R v b 3 9 4 g K 3 A 7 / 5 l V d e F o c G t h r 7 7 r v v Z X Z 7 r v c O z o b n Q U R v A Z 0 P 8 N q t F d 3 x / T p W H P I S J l e E Q C q O 3 5 8 5 p s m k C R Y O r 3 3 1 8 y 8 N R y 4 w l L u X g y C X V A B X + w L S 1 y o W a B g Y P 8 p d l A i A V O 3 t 7 f T + + + / R 8 e N H Z T z r W y Y X n j G L G R F o X M 9 7 s 8 G g r M h i h E 2 2 j B M k F o 2 K S V o s u i e 8 s u / 4 u m o K 5 M C f a J o M W X J D p Y l 0 n i a R P f R g C Y 2 9 3 T h A H K m h A D Q c 0 3 i e t x E 9 L 9 B o V p q j N l T E l C Q D u N G x Q 9 J K v w n H 4 J k 7 d e p N O n X 6 J D 1 6 / F g 2 / P / s s 8 + z 9 p d Y D 2 p q s I K 4 X P p l N b W 1 1 q w H T C E y s z u K Q Q 8 T a m a N T g g D p k i G K B Z J t D a y 9 Z E s 4 T T I p Y 4 j V O c 4 E V w i m l p O E i 4 s 0 9 5 y G 9 5 G k c u + G C 8 X e H h A s U B / C p u 1 o A E V A w w U v 3 7 i O B 0 6 d F C W k O R 7 g E C x m J 2 Z z j L r M H U I s x 7 M a l / M 3 z M A y V b C + q u B f z d + u h C K R Q i j y K T y N H E 4 N G K I p M i E U L b F 4 g / B R T h L H D e w a 8 S 8 l g J u c a c c W 3 I V A 7 j M 8 Z i a 9 d w Y m p u b 5 G E B 6 0 V I P 9 4 m H 5 S W K q P x 0 R F x m e P 6 x H U u D T c b E b 6 5 r N X M z R Z N F i G O S c P L p / M R 1 3 0 s i 1 w g k z n O h A q F A s v a j B P E k X 0 o r 2 t O C n O j t N F 6 c G / E R 7 N F O C i m 4 9 z n y r N n X z E A m V A u 6 w F m O B T y 3 u E z 0 W B 9 P i / V b 2 s U l z k 0 K U J s 1 J + 7 7 1 + + 8 a i V w d e M 6 9 b f Y y e M I Z B F G h y X c 2 y a y p a P s g O x 6 u q q 8 r a d j R Z H 9 q G C n m k u f N U B L y V S X e k L 0 L m u Q M E Z 6 9 O L b u q d D k q f a z 3 E w K L F s b E x e Y w N H B V Y e 1 U M M F 6 E n W Z z Y d z z M 2 z q Y X l 7 m P t X u c A Y G v b 9 G x r o t 8 x A e D e L B n 6 n / B s N Z E h k N I 7 W Q o Y 8 R k y e k E j l W e c x q T p 2 F n b / b y S c 2 Y d i Q Q F K T W j Y i b X R J F t p o 6 N k 2 k W X e g P 0 b d f y Z f J 4 1 u 3 f H A 7 R t c v n K Y 4 N 3 N c I b P u M h 7 T B 5 Y 5 V w T / / f F 8 f K Q w M B G O 8 y E w X s g N 9 J 5 T l S q a g Q X N r G 3 8 G n o q S o p k 1 z N d D D Y o I s X I 1 k p 1 M J q 5 C I R t C S 5 j 8 0 E 4 S p m W Z j L 2 9 O E U c q a E E u u A B p 2 k p 7 K + 9 G n A O H m x 2 e 9 D H v 0 P l o W H c u H m L / s P f v s 3 m 1 N r H f E A A b F 3 W 1 N Q k / S k 3 p 2 V O I C M u b v W M K a k a 7 R L V N 6 y + F B 9 P B S k G m N u H a 3 g 0 t v q 0 q 2 y A T O r 3 y 3 W Z U O p Y i T m W 6 S d p U k l c P S P M k A p 5 T r V c H P 0 U e B R q q W N 0 3 k P n n 6 o Z F d A s o y O j t L j 4 / H P y s K X z r p 0 d d O H C B V l x 6 w 8 E x G s 3 N P h M + k s Y V 8 I S k W I a X r E b v Q w O 9 O n Y y j B k z p A m E w o x k A a B R L R m E u I o U e R B X G k k p a 2 U Z k J + V V X Z s r b i F H G s h q o O T u p K c D a p f B 4 4 T 3 S i A N D n + P K h n y 5 c v E z H j h 2 h W 7 d u S 8 N 4 X m A / 9 c X F G D e w z E L B 5 p b t M i P c b C 1 m X 3 d l B 2 Z c o I G D e M W Q D q u N 0 Z + 6 r z e s W R 3 K x I M I U X R d C r k 0 M U C U 9 J L S O J K n Q 3 O + I R Y 0 o x A L w i b n k a N r m 5 3 x a 8 K x f S i P W x U s l y y n O Y c r 3 V 7 x T l H 5 i Z T a W K b Q U g 8 D l 8 t N 4 d 3 v y W a X e D o 7 J s i u F 8 q 8 S 8 u Y V H 1 D v T V D P B f w 0 u G 8 Y d Z a A B r z w o I i E p Z 3 o A w x o L s a 0 L i x R K O + q Y 0 G Z l c j F O o L G o m F / 9 S E V 6 2 F j I A 4 F n k 0 w S S t S Y M 0 E 0 d C 0 U w g k s p b Y g J W V m L K U a a t O E l c 5 + 8 / V S 3 W g R i d q S a 2 2 q W v g I u V S m I x s M e d A J C K 2 0 d B 4 D j 2 C 8 f q X c z X + + S T j 4 q 6 M T z u 6 q K J 8 U k 2 5 S a p Q h Y A Y i l H X N Z b 1 d f X S b 9 q N U A T R S I L o r 3 W A 2 z H 7 H L 7 6 F z 3 y g S U O k E 9 4 c 8 i C o i h y K G I B Y J k i G M 9 T 1 e e W o j n 6 q o 4 X P b y j N 1 E n C W m d r C l J H 3 6 u 3 f 0 t z k P z n V K M A K + h B S + u q s 5 l v c W V i I T Y I 7 D U w a P X T F k m p 2 d o 8 h 8 R J 7 6 / s n f f E x v v X W K 5 T S d O f M W X b l y l b V Q c T P e 4 R b H I k M M 1 q K P h b l 8 W H F r t N d K A J n w / o J k M i S S O j J k U m m 7 F j I i R O J j Q j C b Z p J j 0 E S c J 9 p I i K Z F j s F d 3 q K + 0 6 F w t F M i H M K S b i 5 I F D a H g B P N v r U C T + P A 7 r L F 3 C S e d D + h 3 X s 6 l / 1 W T K 7 F 7 P R i y g D 9 K L i 8 s U R E 1 j n V 1 M p c P s z p q 7 D 1 v / I B j x P F d 9 3 o L + S V B H 3 w q u P C L Y S o N y 1 s p i H M E E y R S B F N H 8 N 5 E E 0 m F S I P x 1 l Y Y 2 F r t g O v 7 p G 2 4 V R x b B / K i I s L 1 l S C q b Z S B X 4 R + l w Y E 8 L E 1 4 G B z E Y p a E y 5 Q A M c H x 8 v q I U a u P 9 U D C n 7 + g e 5 s j P G i J 2 E m I R r 9 i 7 P B 2 y 8 0 v W k l 6 Y W C x g z 1 t c b M m X I I X F D I h D E H j K Z L K K x I F T E M Z o K p q B 6 c D U 0 O o 5 5 v a r s 7 O 3 D a e J o k w + o r Y p K Y Z q K K m V S e T 1 L 5 H W r 6 8 e T 3 R / c f y A N C Q + 9 / t O f v p D N X E A g P O E D D 3 I 7 f / 4 C J b k x Q b P k w 9 D Q i J y L G R P Y Y N O M S d n x Z D R J u z s L b 7 U M c q l y z Q A k w A Y v m C y L 4 z 3 J f f r I c q h f k 0 0 m R S Q d Z 1 H m n c q z w i w y Z e L q H E U g p E E q a C Z o q B O v v y r f 5 m Q 4 n l B B P w p a 3 b l U Z W Q T q h i T x y n A T k r m c k G S x q Y m G h w c F O K c P f s u 1 d X V S k f 8 3 H c / 0 B 4 2 8 4 4 d O y o D q Y V 2 h z 1 0 6 I D 0 x U Z H x / g 8 N z 1 8 8 F A f U b j b M 0 t t 4 S V x R q y k y b A O C l o A u y F B U K Y 1 D W 2 y 2 S V m f R S C + k w 7 m R A H I Z R W M u Q R 8 0 7 y V R o h z D k 7 m Q y J L I 0 k I Z O J z 0 M a p G p q X t 8 m m r 8 m X B c f 9 h Q u a Y d g c M x L 8 R S 8 f T 5 u O H y 3 5 g q 3 m z D A S g 3 G K a g r T 9 P h 7 Z m V u j C 1 o J 2 G R 0 b o 5 f 2 Z s Z X p 6 R k K h 1 X f J h K J y O r d 0 6 d P i V Y r B D S 6 C x c u i s M C g P M B / S U D l A + I M t D f Q 6 1 t + R 8 f O j o y T L d n M s f w K N R Y 7 r w 9 / p y s k u a 0 c i y A T C C F J h V I Y E h k J w 7 I A o 3 D c e X V U 8 R R Y U K 0 b J p v K t j Q U 3 n 4 l H c v y F 2 4 3 / 7 + f f 2 l z g X u m R w 4 W 1 o a c I f C X Q v u V F S U 8 8 m T D 3 M 5 D 7 9 G g 8 e s i Z b m 7 I m e h k w A N N A H H 7 w v 8 / Z u 3 7 4 j J l 6 + 3 4 + + B V Y C 3 7 j x E 3 U 9 f p h F J i C j y b O v A V h M u O j G M z / d s Z E J W E Y m h v 2 b c R 2 K T N A 8 N j J x X e U l k 4 Q 6 j n r M P Y Y 8 I Z Y + p u P p d I I + / s 0 Z / k b V H p w s j j f 5 D O C c U I U O m 1 p V W K k R i 9 u I B W w r 9 v U 3 5 2 Q 6 k n 2 m Q z 7 A P M Q a K j y 0 D f 0 l b E E G z W X / + S A M t i x 7 6 a V 9 t B A p v B 0 y d j U y 4 P Z P N w d 8 M j V q M p J 5 h v D q A H E U e R S Z U D c 2 M n F c y G T S + r x M H o t 1 L o 5 p L c V x G Z N i D Y Y 0 N B b q 2 + 1 a U s / Z K g G U D K H q w l y N U u j 6 r o W 7 G C p K t 6 p S 6 E t h J r o h A U y a c H U V 7 d z Z I S 7 t Y g B v X 1 t b G 5 1 + 6 5 T s j n T x 4 k U Z I z L A c Y w t t b Y W f l I i v g m m 5 o O n o / T N 4 y B N L K y y M B I X r E W V t S a T E E G T Q 5 M i Q y Z V N + a Y E h z T 9 a Z D 5 I N A R i M p 0 0 9 Z I c Y M T D O p 3 n j z s L q W E o A z N 2 n J I 5 U V + g 5 o F T Q 0 l S G U a q V O 5 x S u z 1 w j b g D r f e a u G o N 6 R W Z I Y D z L D m z s c v X K 1 S y i Z Y G / d z x a Q c 8 S G U 2 1 E k z p q h K 2 k U k T R m 5 q H B r T z 0 4 m 6 z x N H h H b M V W P O G Z M O 0 M k Q y w 1 s L + j o 4 W v m 7 + + B E T u j a U i 7 S 3 Y S l i R S d 3 Z l P l X H U Q l o s p x l n M h l 6 g B M w 5 7 S 6 w X m M e H 3 2 x / o q K 5 s + 9 / e T 8 N P O u X B w D g H D R g D O 6 i w 4 9 0 9 / g a J r i a k N 9 n T D m 7 G 1 y R y B Z q w o A c l k g e 4 h w a 4 t i P S 5 4 h k v o N h l j v v f / G s n b g Z C k J p 4 Q R v 4 9 D 6 f x y Y c M b p C t j c l 5 p L 4 i T Y X 8 A A Q j R 1 9 f P v 2 F 9 1 w w H R W 1 t j Z A E A m f F j z 9 e o B M n j t P Q 0 L D s S Y 5 d j K A J 4 b D A E x V B 4 i U u x w S b n q s D Z Z o J c / s 8 G e J k S G S F W h R h O O Q 6 y k 0 b 8 o h w f i o J U U R C C F M P r v L m F q z n y m 4 H T p a S 6 U M Z 1 F Z 7 V G W g c r g y j A 2 u K t K m A h y I 8 k C G P N i S + c M P z + q R / 7 X j Z d Z C e O + t W 3 f o 8 8 / / Q s P D I 7 R 3 7 2 6 6 e O E y H T 5 8 S N Z L A e Z h b w Y r d d f E n L N E M q R M D U G M t l M C k n C 5 2 0 i U P b a k 6 s S Q C f U k 5 7 M o 7 a T 7 T E g L u R T B T B w u 8 0 O H n L t M o x B c l x 7 3 O b s V 5 s H 9 x 4 t 8 5 R i X 8 m a E G 5 c K s a w b Z 6 3 Q c j Y I W A J / r C 1 O I y M j t L A Q k Y c J v A i g c W L 2 + t G j h / M + V B t E w J I P F 7 N p y R O k H 7 r z D 9 b i P G g k / c 9 p R S J D J n v a 9 J m U V k K e I o l K 2 8 i E N I i C P A 7 t x B E T F W N N L A j t 4 0 6 0 l K R / / K f f y 3 W V E k p O Q w G 7 O 7 D O J 2 N n o y I y l c W i K 9 Z p 2 F W n p g Z h K 2 Y s v X g R Q B l 8 / d U 3 M j e w 0 B P q Y f b h J j M 4 V 1 6 Q T B a E T J o 8 K E c p y 0 x a i K L z M 3 E u e x z X 5 J F 8 D u 1 p j C + Z u N 0 B Y d W h C J N K 0 g n 6 3 d 9 / o C + o t M D 3 r N L 7 8 / v c M n J u K i J j N u h Q K l l V s J N g H o G D / l O + r Z j X C j T M 8 + c v 0 d t n T s s M 9 p X g 8 Q W p a y L z n Y o k N t H l Z U y 4 b M m Q w Z h t k A y p 9 H F 9 D k I 5 J m n k o 5 5 U 3 K o v 6 S c p M S S S G y N L T b i C q q o q b T V e O n 8 l q a G A 3 R 0 h r j R d I a g c q 7 J Q k S p 0 E q l g g H b W c 0 e b G y 8 a V 0 G 3 t g 1 P J 7 3 0 0 0 D + A U 1 8 z t d f f 0 t e r 4 f u 3 3 8 o j o l 8 Q L c S + 5 B / / 2 T 5 W q Y M o V B O m l S W K A 0 j o S 5 H I Y f t H K S N q Z c R Q z S d z 7 / V 8 u g J c V Q 9 2 Q X 5 u H 4 V T 9 B v / / 4 j f Y W l h 5 I l F L C 9 q U w q Q M w / M f t M a C o N l a g q k 1 u E f t f G A N + O 5 / N i t W 5 L S 0 t R I / 8 7 a 5 P U W p 2 f K J g w 2 9 6 + g 0 6 e f F O 2 F s P j R 7 G 1 W C 6 u 9 P l p b N 7 N j V p n W F D l Y c i U S w o r b i e S i U t o F 0 M s d Z 4 4 i i D 2 O k A c x 6 W O N L F A I q 4 v 9 K G g m V L c d z p 5 + q h c V 6 m i Z A Z 2 8 0 l t r Z / w A A Z U h i E R K l X d 6 V C 5 K i 3 H O L T u x F p + b Y w w o T B 7 H C 7 u Y t F Q k V / D j o 2 N y 1 7 n A D Z r e f f d M 9 w w U / Q j E w v a D 5 o J T 8 d Y i L t p P q Y e 5 J Y R U w 7 8 2 Q i F L L p 8 E M 8 R i z j G i y d l q 0 X i t j w u e y E X 0 r Y 8 C Y 0 W k v 4 v 6 g x m H q d B J p b y M j / t 3 d + Z t 6 5 L R U q y D 2 X / O / B S D V e g u t P J H d G E I u o u a F U 8 C x o E G t F G A N 8 K z e T i W D E m 3 0 o Y Z 0 L l L j x s b N x G R 4 8 d o R v X b 1 L v p E e e j m H m 2 N n J Y g i S i a P h 6 7 h e p 2 T l 6 z J T 5 y j J T S v i c J 4 O l V Y y 5 a 5 C 0 U a 2 O k F c v H t M K o R L 6 Q T 9 x 3 / 8 O 6 t e S / W v p E 0 + g 3 2 7 w 1 x x 6 i 6 X M S l U K K a H S a M y t d a S x q X v 1 M b 8 e R 6 E / K v 3 1 b A c A n j 1 4 E H 6 6 a d b E l 8 v I o s R 0 X b L 4 a K q u k Z 5 R K f 8 N t F A I B W b d f x 7 F Q k M m R B X a S v O W i i T n z l m m X R Y n y S h T T h t y l U I B O H 3 5 R J I x T W J + I a C f O U y j 9 O n v y / d f p M d m 4 J Q o X I f V Y Y w 4 G t I h U r T F Q s y S Y W b y t Y N Q t L m b m u m 0 q y f W D C t V g O W v w P Y R n h q M v P o m P U A m i 7 f o D B 2 p H 0 8 1 0 R R V o D K r M s I v 6 i 4 R S C E h j C K Z L j J m L y s U I i m 0 0 I i c 0 y l z U J A C N K q / F W Y T S a O y w 1 O E S n N / a a 2 7 U 3 U 0 F D c Z p t O h + t K 9 7 P n v z 0 7 B N d v D j F Z W O 1 a g 7 1 6 8 B c h N z 4 X B n 8 x 8 I u 4 n p K D h Y p q p j o r b B m v 4 b i k F d S x F 4 P q Y J q O 7 4 j L h N a Z m Z k V Z 4 W v B J D i 9 o C b x i M + q i l L 0 8 t N C Z q K u O U p 7 L 1 T r L V A G v z Z S Q Q t b O J Z o v t R Q i R 1 j h p T 4 j w m j T I V d Z 5 O g 0 y i s X A u E y V D U A j H Q S Y O D Z m Q t r S U a C R o K L U 1 m N / n o f / y z 3 / Q v 6 z 0 w Y Q a 2 D S E A i 5 f 7 W e 9 C w J p U r F Z p A i l R J F K k Q t k w p P X 0 Z N E a M h k E U u s Y g T P T y p 8 x B v t M T Y N l 2 R N U 3 Q x S g 3 b 1 r 6 k G w 3 d h I u s h c w 2 z 4 A c k 3 9 F D E U Y n J + J q 3 M Q g h w m T 8 e t / p Y O D Z E k r o n E c U U o R S I T Q g M h L s 4 f p D W B 5 J j E Q S R F K C E T a y c X 9 9 f + + X / 9 Z 3 X x m w Q y t W s z y Y m j 2 / U d U d 0 J V S W q y l W e J Z 1 m W W 6 a K H P F E m 4 M x k W M x q I a G 8 Q 0 R N U 4 R d C I V w C u D W Q C 7 t 6 9 R z 5 / s T O + M 5 D v 0 y E k K a M B H E e j Z p P L N G 7 r 2 o 3 k p k X U 7 7 L i 9 n P 0 7 z e 7 D k l c H 7 e b d G L G S a i J I 2 V p H 1 N K W Y 6 H l P S Z M m R i W 5 z + 6 b / / c V n 9 l b p s i j 6 U H V i s t 3 d X L V c w S K N J J X d H h L o B S K P J N A T E p e G Y j r V d O F + Z N 6 o B 2 u / i / K I a t C X Z Z L N L f Y g / h 0 N 8 B n Z 9 r a 4 O L z s n 0 8 i X i 2 r Q C D N 5 Z d 4 U V 6 L K V 0 v Q V b 5 d i y i S s e j 3 W a S z B M f M e z O h 6 m f q u B x n Q S h i y k 0 f k 1 C V o d F C S K v x J Q 5 B J q 4 D Q y Y s F H 3 v / d M y + 3 2 z Y d M R C q i v r 6 C 9 n U w q I Z L a 7 E O I h N C q c D Q C n d Y N I j v U j c c 0 K B 1 X g o b J I R q u I Z E Q D Y K 0 z r P J 2 L z a S h r A H V w + g 9 O q 0 S r J T R u R 7 7 d C d T 0 g 1 l c P f f x Z O I f z h T D q u H X d J m 3 P F + F z r T h L 7 n E r D p J k y G P y 8 L m q 3 N R x F b I 2 0 j c u y T M k 0 u W P F c o g V J r T Z z 8 8 T Z 1 7 8 m 8 U U + p w X X 0 y u L K t U s I Y G 5 u l B 4 9 G + V e q v h R 2 T H J Z / S n 0 o x C i v 6 R C z p B 8 d H j M l r r S n 4 I y z 4 l L o F 5 U C C A f g b w C J l 8 F Z / e o x 9 j c u 3 d P H B L h M G s p Z G i i A f a 0 C k B I F T J n u X E T P R j x 0 s g c 9 o D g D D 4 o f z h H x y X U Y s X l H J O 2 E Z 4 / U M U z h D Z p i U t a h Y b g h o B 2 b a d u O o p Y h m h y 4 x D N p I i F + A c f n q H O v Z u T T M C m J h Q w N D R N j 7 r G F H k s z x 8 I Z B w U H A d R J M 2 h O C e U g 8 I u / C L E s c c V U Z C n Q n m 1 x Q U 6 i u C V p g Q 1 h J L 0 5 z 9 / S R 9 / 8 h E 3 b h z J L n 4 0 Z g M T / + Z x Q E 7 j Z o 5 M / T Z 7 q P P 1 + Y o Q m T w l G C e z p Y U o m W M I L T J J q A l l I 5 P k g T h C o g y Z M i S y h W I F K I 0 F Q q V T c X r n 7 C l 6 6 e U 9 c o 2 b F a 5 r m 5 x Q w N j E H N 2 9 N 8 C N X X v 9 R F O B T C A Y N J X y 9 h n P X 4 Z Y i k A m z i 9 C D I l z T I W S o X i j 0 / a 4 A Z L v 7 I 5 J I / / x / A U 6 f e q U P p I p f o n x c X s c G 7 v 8 0 O 2 3 H Q M B J M G h P h c h i / x J X O U x R X R c E y V L d J 4 Q R a d 1 / z C L S C Z E n o S G T E w c h M v I x O a e m I O a T C z o M 3 3 y m / e o Y 1 e b X O 9 m x p Y g F D A w M E k P H w 8 z W b T Z J 9 p K a S h l + i k y G Y L Z i W T i Y I q E D C E T 8 l U C 9 J J 8 O c c W 1 y + C f d s S k n p 6 9 0 e Z 1 G o H t 2 m 8 S n x 4 1 k 3 3 R 3 y y b X O K s 7 j d y j H r H B B A o g i R j z w 5 Q + X Z R N J y D k i i 8 2 2 O F S W K L B k y 4 R x b m s X S R l Y c Z D J E g p Z S f S k h l S Y S C I U t C 8 6 8 e 5 L 2 v 7 K 5 N Z O B 6 9 r T r U E o Y G x s h m 7 d 7 t c E U t p K x W 3 j U 4 Z U h k w W u c A U j v P n Z M g l K Q 7 x 6 Z p G K o F I J q q x q z 5 J f Z N e i v Z 8 R W f f P S 3 v 5 7 a r o S J 4 5 X Z M l 3 r 9 r D U x 1 o Q P Q a P X R + U f L / K q Q o n r Y 5 I W B k q I 9 0 n a n C d 5 H G a R C i R B i H 4 R + m q K R E I k O Q b C I G 0 j l d F I c g x E U m a e 6 j s p M r l Y Q 3 7 y 6 V l q 7 1 j f 7 k 6 l C C b U k N T L V g G 8 Y 9 9 8 e 4 d / u S K S k E q W 0 y M 0 G g t k M M R S c X 7 R c S W S F t J o 1 u g 0 / i V p i 5 t I d X C J 5 u M u O t Y 8 L b M l c h + U h s a v s E S P x r w 0 N G t m P S B L H Q Q B M i F I I A n E V B 7 i O m 3 F R Q x 5 W E A W e 5 4 m j n U M a T l H k 0 n n g T Q g n e W A 4 G P Y X E U N U U B b K c 0 E D Y W 9 1 v / b / / x P m 9 I 1 v h K 2 H K E M v v z y J j c 5 J o y l o Z a T K q t f p Y m U R S 5 N G k U q 5 O G T d R 5 e D N Q B C 2 9 3 x u j 2 r T t 0 4 M D L 8 l 0 K q h q 4 T d P A j E c W B U p C 8 k w V g Q Q m 5 A i L S q q 0 p E x c S y a t C W O P W 6 T R e S C S D i X f c s W r U G Z A W G Q C w U A i k A k O C B U i H Q w G 6 L / + j 3 / Q 5 b K 1 4 L q + R Q k F X L / R R a O j s 6 y s b K S S k E n F W s t y T i w j V U b 4 R Z F H Q g b y J L A 3 J n O M i G / c d G J H X H Y j q q 6 u p r L y M v B D g O D 2 o I 8 W W I t x u 1 U E 0 Q c k z i S Q p I Q g g a Q k n c m z p W 3 x L E I J Y V S e 0 k Q m z 6 Q 1 k W D m Y c D Y I p a N U B x a f S b t g O A P o c 4 9 O + m j T 5 z 7 y M 5 f G q 7 r P V u X U M D M z A K d P / 8 z l 0 Q + T a W J J A R j J i z z / o E o z B I d F + I Y 5 s i / C v U L N V W m Z D I r p i C N T U 5 T d V W I q s q 1 S c S 1 c I v J N B f j c 3 W N c D P X c Y l x Y A t Z V B T n I F / n 6 W N 2 Q U P P p F X c E E f 1 m V T f S W k o + / g S h 0 w c p M 3 s E i G V D E w j h E Y C m Z J c V i 7 6 w z / 8 l u o 3 y a z x 9 Y I J N a x q Z g s D J s / n n 1 / m B s Y U s F z p I J g i k x n 4 t c j E e W C O I h X n a e J k S K U I p O I 6 C n D C 7 1 6 i A 8 1 J G u r v p o 6 O d i Y v f 5 a t B m J J t Q c E Z o 8 L G Q Q g g g r V P 1 5 U X i b O I V I 6 n h F F I H 4 R g l h 5 J g 7 S 6 L Q K t U b i u C K T 1 k q a U E Z D w S 2 O E M e D w a C Y e C i v r Q 2 i / w / l 0 n n 3 W G i k g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2C7A77C3-2BC3-4A1A-9084-5C1A6EC14D66}">
  <ds:schemaRefs>
    <ds:schemaRef ds:uri="http://schemas.microsoft.com/office/2006/metadata/properties"/>
    <ds:schemaRef ds:uri="http://schemas.microsoft.com/office/infopath/2007/PartnerControls"/>
    <ds:schemaRef ds:uri="ff909c54-0a6a-48a9-bca9-9c1e0c5712a2"/>
    <ds:schemaRef ds:uri="4c8a4bf6-5f32-4563-8a99-96b10fa2aa1a"/>
  </ds:schemaRefs>
</ds:datastoreItem>
</file>

<file path=customXml/itemProps2.xml><?xml version="1.0" encoding="utf-8"?>
<ds:datastoreItem xmlns:ds="http://schemas.openxmlformats.org/officeDocument/2006/customXml" ds:itemID="{8EB44DEE-3D8B-42B8-A4F0-7D9E6CD56F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8a4bf6-5f32-4563-8a99-96b10fa2aa1a"/>
    <ds:schemaRef ds:uri="ff909c54-0a6a-48a9-bca9-9c1e0c5712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FF0728-4949-4056-9E13-32C463AC345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187424F-BB40-4430-A166-06AE92A5521E}">
  <ds:schemaRefs>
    <ds:schemaRef ds:uri="http://www.w3.org/2001/XMLSchema"/>
    <ds:schemaRef ds:uri="http://microsoft.data.visualization.Client.Excel.CustomMapList/1.0"/>
  </ds:schemaRefs>
</ds:datastoreItem>
</file>

<file path=customXml/itemProps5.xml><?xml version="1.0" encoding="utf-8"?>
<ds:datastoreItem xmlns:ds="http://schemas.openxmlformats.org/officeDocument/2006/customXml" ds:itemID="{EC7E3AD3-1B80-4F0A-B5DA-B6517C0A030E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2EF9AF96-5C73-4C40-8B0E-220B5F74BD48}">
  <ds:schemaRefs>
    <ds:schemaRef ds:uri="http://www.w3.org/2001/XMLSchema"/>
    <ds:schemaRef ds:uri="http://microsoft.data.visualization.engine.tours/1.0"/>
  </ds:schemaRefs>
</ds:datastoreItem>
</file>

<file path=customXml/itemProps7.xml><?xml version="1.0" encoding="utf-8"?>
<ds:datastoreItem xmlns:ds="http://schemas.openxmlformats.org/officeDocument/2006/customXml" ds:itemID="{25753F3B-9350-4413-8844-D81C824FD5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PAINEL LOJAS</vt:lpstr>
      <vt:lpstr>LOJA 05 SHOP S</vt:lpstr>
      <vt:lpstr>LOJA 07 SHOP S</vt:lpstr>
      <vt:lpstr>LOJA 09 SHOP S</vt:lpstr>
      <vt:lpstr>LOJA 10 SHOP S</vt:lpstr>
      <vt:lpstr>LOJA 12 SHOP S</vt:lpstr>
      <vt:lpstr>LOJA 13 SHOP S</vt:lpstr>
      <vt:lpstr>LOJA 18 SHOP S</vt:lpstr>
      <vt:lpstr>LOJA QDB SHOP S</vt:lpstr>
      <vt:lpstr>PAINEL LOJA SHOPPING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Isabella Gomes Lima Ferraz</dc:creator>
  <cp:keywords/>
  <dc:description/>
  <cp:lastModifiedBy>RAFAEL LEMOS</cp:lastModifiedBy>
  <cp:revision/>
  <dcterms:created xsi:type="dcterms:W3CDTF">2024-06-26T19:00:20Z</dcterms:created>
  <dcterms:modified xsi:type="dcterms:W3CDTF">2024-12-13T01:17:49Z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0x010100B72E7F01DDBC334E8130649B8B5648D8</vt:lpwstr>
  </property>
  <property fmtid="{D5CDD505-2E9C-101B-9397-08002B2CF9AE}" pid="3" name="MediaServiceImageTags">
    <vt:lpwstr/>
  </property>
</Properties>
</file>